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1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drawings/drawing2.xml" ContentType="application/vnd.openxmlformats-officedocument.drawing+xml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5/Citizens/Sunrise/Cycle 14 Annual Filing/Sunrise Cycle 14 Oct Filing/"/>
    </mc:Choice>
  </mc:AlternateContent>
  <xr:revisionPtr revIDLastSave="47" documentId="13_ncr:1_{73C46B97-3AD6-4B3F-93E4-63617AFC1E80}" xr6:coauthVersionLast="47" xr6:coauthVersionMax="47" xr10:uidLastSave="{4659DE26-4716-4C2A-9AE6-7ADC0CD25F8B}"/>
  <bookViews>
    <workbookView xWindow="-23745" yWindow="345" windowWidth="21660" windowHeight="13110" tabRatio="815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3 Invoice Summary" sheetId="154" r:id="rId6"/>
    <sheet name="D2. Sec.4 C12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'AD-1'!$A$1:$G$36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'AD-4'!$A$1:$G$36</definedName>
    <definedName name="_xlnm.Print_Area" localSheetId="15">'AD-5'!$A$1:$G$30</definedName>
    <definedName name="_xlnm.Print_Area" localSheetId="16">'AD-6'!$A$1:$G$42</definedName>
    <definedName name="_xlnm.Print_Area" localSheetId="17">'AD-6A'!$A$1:$G$35</definedName>
    <definedName name="_xlnm.Print_Area" localSheetId="18">'AD-6B'!$A$1:$M$38</definedName>
    <definedName name="_xlnm.Print_Area" localSheetId="19">'AD-6C'!$A$1:$M$38</definedName>
    <definedName name="_xlnm.Print_Area" localSheetId="20">'AD-7'!$A$1:$G$33</definedName>
    <definedName name="_xlnm.Print_Area" localSheetId="21">'AD-8'!$A$1:$E$20</definedName>
    <definedName name="_xlnm.Print_Area" localSheetId="25">'AE-1'!$A$1:$G$40</definedName>
    <definedName name="_xlnm.Print_Area" localSheetId="27">'AE-1B'!$A$1:$M$39</definedName>
    <definedName name="_xlnm.Print_Area" localSheetId="28">'AE-1C'!$A$1:$M$39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'AH-1'!$A$1:$E$64</definedName>
    <definedName name="_xlnm.Print_Area" localSheetId="41">'AH-2'!$A$1:$H$74</definedName>
    <definedName name="_xlnm.Print_Area" localSheetId="42">'AH-3'!$A$1:$H$52</definedName>
    <definedName name="_xlnm.Print_Area" localSheetId="44">'AI-1'!$A$1:$F$64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'AV-2A'!$A$1:$D$36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C13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AD'!$A$1:$L$57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84" l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A19" i="84"/>
  <c r="A20" i="84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E19" i="153" l="1"/>
  <c r="E20" i="153"/>
  <c r="E21" i="153"/>
  <c r="E22" i="153"/>
  <c r="E23" i="153"/>
  <c r="E24" i="153"/>
  <c r="E25" i="153"/>
  <c r="E26" i="153"/>
  <c r="E27" i="153"/>
  <c r="E28" i="153"/>
  <c r="E29" i="153"/>
  <c r="E30" i="153"/>
  <c r="E31" i="153"/>
  <c r="E32" i="153"/>
  <c r="E33" i="153"/>
  <c r="E34" i="153"/>
  <c r="E35" i="153"/>
  <c r="E36" i="153"/>
  <c r="E37" i="153"/>
  <c r="E38" i="153"/>
  <c r="E39" i="153"/>
  <c r="E40" i="153"/>
  <c r="E41" i="153"/>
  <c r="E42" i="153"/>
  <c r="E43" i="153"/>
  <c r="E44" i="153"/>
  <c r="E45" i="153"/>
  <c r="E46" i="153"/>
  <c r="E47" i="153"/>
  <c r="E48" i="153"/>
  <c r="E49" i="153"/>
  <c r="E50" i="153"/>
  <c r="E51" i="153"/>
  <c r="E52" i="153"/>
  <c r="E53" i="153"/>
  <c r="E54" i="153"/>
  <c r="E55" i="153"/>
  <c r="E56" i="153"/>
  <c r="E57" i="153"/>
  <c r="E58" i="153"/>
  <c r="E59" i="153"/>
  <c r="A19" i="153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A46" i="153" s="1"/>
  <c r="A47" i="153" s="1"/>
  <c r="A48" i="153" s="1"/>
  <c r="A49" i="153" s="1"/>
  <c r="A50" i="153" s="1"/>
  <c r="A51" i="153" s="1"/>
  <c r="A52" i="153" s="1"/>
  <c r="A53" i="153" s="1"/>
  <c r="A54" i="153" s="1"/>
  <c r="A55" i="153" s="1"/>
  <c r="A56" i="153" s="1"/>
  <c r="A57" i="153" s="1"/>
  <c r="A58" i="153" s="1"/>
  <c r="A59" i="153" s="1"/>
  <c r="H63" i="4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A63" i="41"/>
  <c r="A64" i="4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E62" i="41"/>
  <c r="E22" i="40" s="1"/>
  <c r="E24" i="41" l="1"/>
  <c r="E42" i="40"/>
  <c r="E16" i="42"/>
  <c r="H34" i="42"/>
  <c r="H35" i="42" s="1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A34" i="42"/>
  <c r="A35" i="42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E22" i="42"/>
  <c r="E32" i="40"/>
  <c r="E33" i="40"/>
  <c r="H25" i="161" l="1"/>
  <c r="E13" i="45" l="1"/>
  <c r="D34" i="24" l="1"/>
  <c r="E34" i="24"/>
  <c r="F34" i="24"/>
  <c r="G34" i="24"/>
  <c r="H34" i="24"/>
  <c r="I34" i="24"/>
  <c r="J34" i="24"/>
  <c r="C27" i="169" l="1"/>
  <c r="E54" i="150" l="1"/>
  <c r="E53" i="150"/>
  <c r="E52" i="150"/>
  <c r="E51" i="150"/>
  <c r="E50" i="150"/>
  <c r="E49" i="150"/>
  <c r="E48" i="150"/>
  <c r="E47" i="150"/>
  <c r="E46" i="150"/>
  <c r="E27" i="150"/>
  <c r="E22" i="150"/>
  <c r="D57" i="150"/>
  <c r="F46" i="150"/>
  <c r="F47" i="150" s="1"/>
  <c r="F48" i="150" s="1"/>
  <c r="F49" i="150" s="1"/>
  <c r="F50" i="150" s="1"/>
  <c r="F51" i="150" s="1"/>
  <c r="F52" i="150" s="1"/>
  <c r="F53" i="150" s="1"/>
  <c r="F54" i="150" s="1"/>
  <c r="F55" i="150" s="1"/>
  <c r="F56" i="150" s="1"/>
  <c r="F57" i="150" s="1"/>
  <c r="F58" i="150" s="1"/>
  <c r="F59" i="150" s="1"/>
  <c r="F60" i="150" s="1"/>
  <c r="A46" i="150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D58" i="153" l="1"/>
  <c r="A10" i="153"/>
  <c r="E20" i="42"/>
  <c r="F14" i="42"/>
  <c r="C17" i="169"/>
  <c r="F22" i="42"/>
  <c r="C50" i="42"/>
  <c r="E41" i="40"/>
  <c r="E40" i="40"/>
  <c r="E39" i="40"/>
  <c r="E38" i="40"/>
  <c r="E36" i="40"/>
  <c r="E35" i="40"/>
  <c r="E34" i="40"/>
  <c r="E24" i="69"/>
  <c r="E24" i="42"/>
  <c r="F24" i="42" s="1"/>
  <c r="E21" i="42"/>
  <c r="E18" i="42"/>
  <c r="F18" i="42" s="1"/>
  <c r="E17" i="42"/>
  <c r="F17" i="42" s="1"/>
  <c r="E41" i="42"/>
  <c r="E19" i="42" s="1"/>
  <c r="F19" i="42" s="1"/>
  <c r="E14" i="27"/>
  <c r="E13" i="27"/>
  <c r="D14" i="26"/>
  <c r="D14" i="25"/>
  <c r="F14" i="23"/>
  <c r="F26" i="168"/>
  <c r="F31" i="23"/>
  <c r="F26" i="23"/>
  <c r="D16" i="25"/>
  <c r="D16" i="26"/>
  <c r="C17" i="154"/>
  <c r="C40" i="154" s="1"/>
  <c r="C40" i="169"/>
  <c r="G36" i="82"/>
  <c r="B4" i="157"/>
  <c r="E65" i="41"/>
  <c r="E38" i="41" s="1"/>
  <c r="F38" i="41" s="1"/>
  <c r="E64" i="41"/>
  <c r="E24" i="40" s="1"/>
  <c r="E63" i="41"/>
  <c r="E36" i="41" s="1"/>
  <c r="E55" i="41"/>
  <c r="E20" i="40" s="1"/>
  <c r="E54" i="41"/>
  <c r="E19" i="40" s="1"/>
  <c r="E26" i="40"/>
  <c r="E21" i="40"/>
  <c r="E18" i="40"/>
  <c r="E17" i="40"/>
  <c r="E23" i="41"/>
  <c r="F23" i="41" s="1"/>
  <c r="E19" i="41"/>
  <c r="F19" i="41" s="1"/>
  <c r="E15" i="41"/>
  <c r="E11" i="41"/>
  <c r="F11" i="41" s="1"/>
  <c r="F24" i="41"/>
  <c r="D19" i="14"/>
  <c r="D21" i="169"/>
  <c r="D19" i="169"/>
  <c r="D15" i="169"/>
  <c r="D13" i="169"/>
  <c r="D11" i="169"/>
  <c r="B5" i="154"/>
  <c r="B5" i="10"/>
  <c r="B52" i="169"/>
  <c r="C46" i="169"/>
  <c r="G19" i="156" s="1"/>
  <c r="B46" i="169"/>
  <c r="C44" i="169"/>
  <c r="B44" i="169"/>
  <c r="C42" i="169"/>
  <c r="F19" i="156" s="1"/>
  <c r="B42" i="169"/>
  <c r="C38" i="169"/>
  <c r="B38" i="169"/>
  <c r="C36" i="169"/>
  <c r="B36" i="169"/>
  <c r="D34" i="169"/>
  <c r="C34" i="169"/>
  <c r="B34" i="169"/>
  <c r="D32" i="169"/>
  <c r="C32" i="169"/>
  <c r="C23" i="169"/>
  <c r="C48" i="169" s="1"/>
  <c r="A12" i="169"/>
  <c r="A13" i="169"/>
  <c r="E11" i="169"/>
  <c r="E12" i="169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33" i="169"/>
  <c r="E34" i="169"/>
  <c r="E35" i="169"/>
  <c r="E36" i="169"/>
  <c r="E37" i="169"/>
  <c r="E38" i="169"/>
  <c r="E39" i="169"/>
  <c r="E40" i="169"/>
  <c r="E41" i="169"/>
  <c r="E42" i="169"/>
  <c r="E43" i="169"/>
  <c r="E44" i="169"/>
  <c r="E45" i="169"/>
  <c r="E46" i="169"/>
  <c r="E47" i="169"/>
  <c r="E48" i="169"/>
  <c r="E49" i="169"/>
  <c r="E50" i="169"/>
  <c r="E51" i="169"/>
  <c r="E52" i="169"/>
  <c r="E53" i="169"/>
  <c r="D36" i="169"/>
  <c r="A14" i="169"/>
  <c r="A15" i="169"/>
  <c r="A16" i="169"/>
  <c r="A17" i="169"/>
  <c r="D38" i="169"/>
  <c r="D17" i="169"/>
  <c r="A18" i="169"/>
  <c r="A19" i="169"/>
  <c r="D42" i="169"/>
  <c r="A20" i="169"/>
  <c r="A21" i="169"/>
  <c r="D23" i="169"/>
  <c r="A22" i="169"/>
  <c r="A23" i="169"/>
  <c r="D44" i="169"/>
  <c r="A24" i="169"/>
  <c r="A25" i="169"/>
  <c r="A26" i="169"/>
  <c r="A27" i="169"/>
  <c r="A28" i="169"/>
  <c r="A33" i="169"/>
  <c r="A34" i="169"/>
  <c r="D46" i="169"/>
  <c r="D27" i="169"/>
  <c r="A35" i="169"/>
  <c r="A36" i="169"/>
  <c r="A37" i="169"/>
  <c r="A38" i="169"/>
  <c r="A39" i="169"/>
  <c r="A40" i="169"/>
  <c r="A41" i="169"/>
  <c r="A42" i="169"/>
  <c r="A43" i="169"/>
  <c r="A44" i="169"/>
  <c r="A45" i="169"/>
  <c r="A46" i="169"/>
  <c r="A47" i="169"/>
  <c r="A48" i="169"/>
  <c r="D40" i="169"/>
  <c r="A49" i="169"/>
  <c r="A50" i="169"/>
  <c r="A51" i="169"/>
  <c r="A52" i="169"/>
  <c r="A53" i="169"/>
  <c r="D52" i="169"/>
  <c r="D48" i="169"/>
  <c r="K45" i="165"/>
  <c r="K40" i="165"/>
  <c r="C17" i="158"/>
  <c r="H17" i="161"/>
  <c r="E26" i="136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/>
  <c r="F13" i="42"/>
  <c r="F15" i="42"/>
  <c r="E44" i="40" s="1"/>
  <c r="F20" i="42"/>
  <c r="F23" i="42"/>
  <c r="F25" i="41"/>
  <c r="F13" i="41"/>
  <c r="F14" i="41"/>
  <c r="F16" i="41"/>
  <c r="F17" i="41"/>
  <c r="F18" i="41"/>
  <c r="F21" i="41"/>
  <c r="F12" i="41"/>
  <c r="D15" i="27"/>
  <c r="D15" i="14"/>
  <c r="F21" i="42"/>
  <c r="F11" i="42"/>
  <c r="F11" i="150"/>
  <c r="A11" i="150"/>
  <c r="B6" i="152"/>
  <c r="J34" i="152"/>
  <c r="J36" i="152"/>
  <c r="I34" i="152"/>
  <c r="I36" i="152"/>
  <c r="H34" i="152"/>
  <c r="H36" i="152" s="1"/>
  <c r="G34" i="152"/>
  <c r="G36" i="152" s="1"/>
  <c r="F34" i="152"/>
  <c r="E34" i="152"/>
  <c r="D34" i="152"/>
  <c r="D36" i="152"/>
  <c r="K32" i="152"/>
  <c r="K31" i="152"/>
  <c r="K30" i="152"/>
  <c r="K29" i="152"/>
  <c r="K28" i="152"/>
  <c r="K27" i="152"/>
  <c r="K26" i="152"/>
  <c r="K25" i="152"/>
  <c r="K24" i="152"/>
  <c r="K34" i="152" s="1"/>
  <c r="J22" i="152"/>
  <c r="I22" i="152"/>
  <c r="H22" i="152"/>
  <c r="G22" i="152"/>
  <c r="F22" i="152"/>
  <c r="F36" i="152"/>
  <c r="E22" i="152"/>
  <c r="E36" i="152" s="1"/>
  <c r="D22" i="152"/>
  <c r="K20" i="152"/>
  <c r="K22" i="152" s="1"/>
  <c r="K19" i="152"/>
  <c r="K18" i="152"/>
  <c r="M17" i="152"/>
  <c r="M18" i="152"/>
  <c r="M19" i="152"/>
  <c r="M20" i="152"/>
  <c r="M21" i="152"/>
  <c r="M22" i="152"/>
  <c r="M23" i="152"/>
  <c r="M24" i="152"/>
  <c r="M25" i="152"/>
  <c r="M26" i="152"/>
  <c r="M27" i="152"/>
  <c r="M28" i="152"/>
  <c r="M29" i="152"/>
  <c r="M30" i="152"/>
  <c r="M31" i="152"/>
  <c r="M32" i="152"/>
  <c r="M33" i="152"/>
  <c r="M34" i="152"/>
  <c r="M35" i="152"/>
  <c r="M36" i="152"/>
  <c r="K17" i="152"/>
  <c r="A17" i="152"/>
  <c r="A18" i="152"/>
  <c r="A19" i="152"/>
  <c r="A20" i="152"/>
  <c r="M16" i="152"/>
  <c r="K16" i="152"/>
  <c r="L22" i="152"/>
  <c r="A21" i="152"/>
  <c r="A22" i="152"/>
  <c r="A23" i="152"/>
  <c r="A24" i="152"/>
  <c r="A25" i="152"/>
  <c r="A26" i="152"/>
  <c r="A27" i="152"/>
  <c r="A28" i="152"/>
  <c r="A29" i="152"/>
  <c r="A30" i="152"/>
  <c r="A31" i="152"/>
  <c r="A32" i="152"/>
  <c r="A33" i="152"/>
  <c r="A34" i="152"/>
  <c r="L34" i="152"/>
  <c r="A35" i="152"/>
  <c r="A36" i="152"/>
  <c r="L36" i="152"/>
  <c r="H41" i="161"/>
  <c r="C27" i="114"/>
  <c r="G33" i="114"/>
  <c r="G31" i="114"/>
  <c r="G29" i="114"/>
  <c r="G27" i="114"/>
  <c r="G25" i="114"/>
  <c r="C24" i="158"/>
  <c r="C28" i="158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/>
  <c r="C26" i="158"/>
  <c r="C27" i="158"/>
  <c r="D17" i="158"/>
  <c r="D28" i="158" s="1"/>
  <c r="B5" i="156"/>
  <c r="B5" i="157"/>
  <c r="B5" i="158" s="1"/>
  <c r="C17" i="157"/>
  <c r="C27" i="157" s="1"/>
  <c r="D17" i="157"/>
  <c r="F17" i="157"/>
  <c r="C46" i="112"/>
  <c r="D21" i="154"/>
  <c r="D19" i="154"/>
  <c r="D15" i="154"/>
  <c r="D13" i="154"/>
  <c r="D11" i="154"/>
  <c r="E10" i="153"/>
  <c r="A11" i="153"/>
  <c r="E11" i="153" s="1"/>
  <c r="F15" i="41"/>
  <c r="E39" i="150"/>
  <c r="E38" i="150"/>
  <c r="E23" i="150"/>
  <c r="E57" i="150" s="1"/>
  <c r="H43" i="161"/>
  <c r="H38" i="161"/>
  <c r="H33" i="161"/>
  <c r="H27" i="161"/>
  <c r="H22" i="161"/>
  <c r="I16" i="161"/>
  <c r="I17" i="161"/>
  <c r="I18" i="161"/>
  <c r="I19" i="161"/>
  <c r="I20" i="161"/>
  <c r="I21" i="161"/>
  <c r="I22" i="161"/>
  <c r="I23" i="161"/>
  <c r="I24" i="161"/>
  <c r="I25" i="161"/>
  <c r="I26" i="161"/>
  <c r="I27" i="161"/>
  <c r="I28" i="161"/>
  <c r="I29" i="161"/>
  <c r="I30" i="161"/>
  <c r="I31" i="161"/>
  <c r="I32" i="161"/>
  <c r="I33" i="161"/>
  <c r="I34" i="161"/>
  <c r="I35" i="161"/>
  <c r="I36" i="161"/>
  <c r="I37" i="161"/>
  <c r="I38" i="161"/>
  <c r="I39" i="161"/>
  <c r="I40" i="161"/>
  <c r="I41" i="161"/>
  <c r="I42" i="161"/>
  <c r="I43" i="161"/>
  <c r="A16" i="161"/>
  <c r="A17" i="161"/>
  <c r="A18" i="161"/>
  <c r="A19" i="161"/>
  <c r="A20" i="161"/>
  <c r="A21" i="161"/>
  <c r="A22" i="161"/>
  <c r="A23" i="161"/>
  <c r="A24" i="161"/>
  <c r="A25" i="161"/>
  <c r="A26" i="161"/>
  <c r="A27" i="161"/>
  <c r="A28" i="161"/>
  <c r="A29" i="161"/>
  <c r="A30" i="161"/>
  <c r="A31" i="161"/>
  <c r="A32" i="161"/>
  <c r="A33" i="161"/>
  <c r="A34" i="161"/>
  <c r="A35" i="161"/>
  <c r="A36" i="161"/>
  <c r="A37" i="161"/>
  <c r="A38" i="161"/>
  <c r="A39" i="161"/>
  <c r="A40" i="161"/>
  <c r="A41" i="161"/>
  <c r="A42" i="161"/>
  <c r="A43" i="161"/>
  <c r="C26" i="84"/>
  <c r="G87" i="82" s="1"/>
  <c r="G98" i="82" s="1"/>
  <c r="C19" i="26"/>
  <c r="C19" i="25"/>
  <c r="K25" i="24"/>
  <c r="K24" i="24"/>
  <c r="K20" i="24"/>
  <c r="E22" i="24"/>
  <c r="E36" i="24" s="1"/>
  <c r="D22" i="24"/>
  <c r="C19" i="13"/>
  <c r="B5" i="168"/>
  <c r="D33" i="10"/>
  <c r="D35" i="10" s="1"/>
  <c r="K23" i="10"/>
  <c r="K19" i="10"/>
  <c r="D21" i="10"/>
  <c r="B26" i="168"/>
  <c r="B15" i="168"/>
  <c r="B14" i="168"/>
  <c r="C31" i="168"/>
  <c r="E28" i="168"/>
  <c r="E31" i="168"/>
  <c r="E34" i="9"/>
  <c r="C28" i="168"/>
  <c r="A16" i="168"/>
  <c r="A17" i="168"/>
  <c r="A18" i="168"/>
  <c r="A19" i="168"/>
  <c r="A20" i="168"/>
  <c r="A21" i="168"/>
  <c r="A22" i="168"/>
  <c r="A23" i="168"/>
  <c r="A24" i="168"/>
  <c r="A25" i="168"/>
  <c r="A26" i="168"/>
  <c r="A15" i="168"/>
  <c r="G14" i="168"/>
  <c r="G15" i="168"/>
  <c r="G16" i="168"/>
  <c r="G17" i="168"/>
  <c r="G18" i="168"/>
  <c r="G19" i="168"/>
  <c r="G20" i="168"/>
  <c r="G21" i="168"/>
  <c r="G22" i="168"/>
  <c r="G23" i="168"/>
  <c r="G24" i="168"/>
  <c r="G25" i="168"/>
  <c r="G26" i="168"/>
  <c r="G27" i="168"/>
  <c r="G28" i="168"/>
  <c r="G29" i="168"/>
  <c r="G30" i="168"/>
  <c r="G31" i="168"/>
  <c r="G32" i="168"/>
  <c r="D36" i="24"/>
  <c r="D31" i="168"/>
  <c r="F28" i="168"/>
  <c r="F31" i="168"/>
  <c r="D28" i="168"/>
  <c r="A27" i="168"/>
  <c r="A28" i="168"/>
  <c r="A29" i="168"/>
  <c r="A30" i="168"/>
  <c r="A31" i="168"/>
  <c r="A32" i="168"/>
  <c r="G31" i="161"/>
  <c r="G33" i="161" s="1"/>
  <c r="C43" i="161"/>
  <c r="E43" i="161"/>
  <c r="G41" i="161"/>
  <c r="E38" i="161"/>
  <c r="C38" i="161"/>
  <c r="G36" i="161"/>
  <c r="G38" i="161" s="1"/>
  <c r="E15" i="75" s="1"/>
  <c r="C33" i="161"/>
  <c r="E33" i="161"/>
  <c r="G43" i="161"/>
  <c r="B3" i="154"/>
  <c r="B5" i="84"/>
  <c r="B5" i="112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33" i="11" s="1"/>
  <c r="K35" i="11" s="1"/>
  <c r="K25" i="11"/>
  <c r="K26" i="11"/>
  <c r="K27" i="11"/>
  <c r="K28" i="11"/>
  <c r="K29" i="11"/>
  <c r="K21" i="11"/>
  <c r="B5" i="161"/>
  <c r="J40" i="167"/>
  <c r="B2" i="158"/>
  <c r="B2" i="157"/>
  <c r="B2" i="154"/>
  <c r="B2" i="156"/>
  <c r="B2" i="114"/>
  <c r="B2" i="113"/>
  <c r="B38" i="113"/>
  <c r="B2" i="111"/>
  <c r="B3" i="158"/>
  <c r="G31" i="46"/>
  <c r="C42" i="154"/>
  <c r="C44" i="154"/>
  <c r="B52" i="146"/>
  <c r="B51" i="146"/>
  <c r="G27" i="46"/>
  <c r="G25" i="46"/>
  <c r="G23" i="46"/>
  <c r="G21" i="46"/>
  <c r="G93" i="113"/>
  <c r="G15" i="46"/>
  <c r="E15" i="46"/>
  <c r="B71" i="40"/>
  <c r="B27" i="163"/>
  <c r="B16" i="163"/>
  <c r="B15" i="163"/>
  <c r="B5" i="163"/>
  <c r="B5" i="9"/>
  <c r="G146" i="82"/>
  <c r="G143" i="82"/>
  <c r="G134" i="82"/>
  <c r="G144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39" i="82"/>
  <c r="J140" i="82"/>
  <c r="J141" i="82"/>
  <c r="J142" i="82"/>
  <c r="J143" i="82"/>
  <c r="J144" i="82"/>
  <c r="J145" i="82"/>
  <c r="J146" i="82"/>
  <c r="J147" i="82"/>
  <c r="J148" i="82"/>
  <c r="J149" i="82"/>
  <c r="J150" i="82"/>
  <c r="J151" i="82"/>
  <c r="J152" i="82"/>
  <c r="J153" i="82"/>
  <c r="J154" i="82"/>
  <c r="J155" i="82"/>
  <c r="B146" i="82"/>
  <c r="B145" i="82"/>
  <c r="B143" i="82"/>
  <c r="B142" i="82"/>
  <c r="B134" i="82"/>
  <c r="B131" i="82"/>
  <c r="B130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H10" i="162"/>
  <c r="H11" i="162"/>
  <c r="H12" i="162"/>
  <c r="H13" i="162"/>
  <c r="H14" i="162"/>
  <c r="H15" i="162"/>
  <c r="H16" i="162"/>
  <c r="A11" i="162"/>
  <c r="A12" i="162"/>
  <c r="A13" i="162"/>
  <c r="A14" i="162"/>
  <c r="A15" i="162"/>
  <c r="A16" i="162"/>
  <c r="I142" i="82"/>
  <c r="I143" i="82"/>
  <c r="I151" i="82"/>
  <c r="I144" i="82"/>
  <c r="I145" i="82"/>
  <c r="I155" i="82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/>
  <c r="G42" i="167"/>
  <c r="E42" i="167"/>
  <c r="C42" i="167"/>
  <c r="I41" i="167"/>
  <c r="I40" i="167"/>
  <c r="G37" i="167"/>
  <c r="E37" i="167"/>
  <c r="C37" i="167"/>
  <c r="I36" i="167"/>
  <c r="I37" i="167" s="1"/>
  <c r="G13" i="34" s="1"/>
  <c r="I35" i="167"/>
  <c r="G32" i="167"/>
  <c r="E32" i="167"/>
  <c r="C32" i="167"/>
  <c r="I31" i="167"/>
  <c r="I30" i="167"/>
  <c r="I32" i="167" s="1"/>
  <c r="G11" i="34" s="1"/>
  <c r="G26" i="167"/>
  <c r="E26" i="167"/>
  <c r="C26" i="167"/>
  <c r="I25" i="167"/>
  <c r="I24" i="167"/>
  <c r="I26" i="167"/>
  <c r="G15" i="34" s="1"/>
  <c r="G21" i="167"/>
  <c r="E21" i="167"/>
  <c r="C21" i="167"/>
  <c r="I20" i="167"/>
  <c r="I19" i="167"/>
  <c r="I21" i="167"/>
  <c r="G16" i="167"/>
  <c r="E16" i="167"/>
  <c r="C16" i="167"/>
  <c r="I15" i="167"/>
  <c r="I14" i="167"/>
  <c r="I13" i="167"/>
  <c r="A13" i="167"/>
  <c r="K12" i="167"/>
  <c r="K13" i="167"/>
  <c r="K14" i="167"/>
  <c r="K15" i="167"/>
  <c r="K16" i="167"/>
  <c r="K17" i="167"/>
  <c r="K18" i="167"/>
  <c r="K19" i="167"/>
  <c r="K20" i="167"/>
  <c r="K21" i="167"/>
  <c r="K22" i="167"/>
  <c r="K23" i="167"/>
  <c r="K24" i="167"/>
  <c r="K25" i="167"/>
  <c r="K26" i="167"/>
  <c r="K27" i="167"/>
  <c r="K28" i="167"/>
  <c r="K29" i="167"/>
  <c r="K30" i="167"/>
  <c r="K31" i="167"/>
  <c r="K32" i="167"/>
  <c r="K33" i="167"/>
  <c r="K34" i="167"/>
  <c r="K35" i="167"/>
  <c r="K36" i="167"/>
  <c r="K37" i="167"/>
  <c r="K38" i="167"/>
  <c r="K39" i="167"/>
  <c r="K40" i="167"/>
  <c r="K41" i="167"/>
  <c r="K42" i="167"/>
  <c r="K43" i="167"/>
  <c r="K44" i="167"/>
  <c r="K45" i="167"/>
  <c r="I45" i="165"/>
  <c r="E21" i="34"/>
  <c r="I21" i="34"/>
  <c r="C25" i="146"/>
  <c r="G42" i="165"/>
  <c r="E42" i="165"/>
  <c r="C42" i="165"/>
  <c r="I41" i="165"/>
  <c r="I40" i="165"/>
  <c r="G37" i="165"/>
  <c r="E37" i="165"/>
  <c r="C37" i="165"/>
  <c r="I36" i="165"/>
  <c r="I35" i="165"/>
  <c r="I37" i="165" s="1"/>
  <c r="G32" i="165"/>
  <c r="E32" i="165"/>
  <c r="C32" i="165"/>
  <c r="I31" i="165"/>
  <c r="I30" i="165"/>
  <c r="I32" i="165"/>
  <c r="E11" i="34" s="1"/>
  <c r="B5" i="165"/>
  <c r="G26" i="165"/>
  <c r="E26" i="165"/>
  <c r="C26" i="165"/>
  <c r="I25" i="165"/>
  <c r="I24" i="165"/>
  <c r="I26" i="165" s="1"/>
  <c r="E15" i="34" s="1"/>
  <c r="G21" i="165"/>
  <c r="E21" i="165"/>
  <c r="C21" i="165"/>
  <c r="I20" i="165"/>
  <c r="I19" i="165"/>
  <c r="I21" i="165" s="1"/>
  <c r="G16" i="165"/>
  <c r="E16" i="165"/>
  <c r="C16" i="165"/>
  <c r="I15" i="165"/>
  <c r="I14" i="165"/>
  <c r="I13" i="165"/>
  <c r="A13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L27" i="165"/>
  <c r="L28" i="165"/>
  <c r="L29" i="165"/>
  <c r="L30" i="165"/>
  <c r="L31" i="165"/>
  <c r="L32" i="165"/>
  <c r="L33" i="165"/>
  <c r="L34" i="165"/>
  <c r="L35" i="165"/>
  <c r="L36" i="165"/>
  <c r="L37" i="165"/>
  <c r="L38" i="165"/>
  <c r="L39" i="165"/>
  <c r="L40" i="165"/>
  <c r="L41" i="165"/>
  <c r="L42" i="165"/>
  <c r="L43" i="165"/>
  <c r="L44" i="165"/>
  <c r="L45" i="165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I42" i="167"/>
  <c r="A14" i="165"/>
  <c r="A15" i="165"/>
  <c r="A16" i="165"/>
  <c r="A17" i="165"/>
  <c r="A18" i="165"/>
  <c r="A19" i="165"/>
  <c r="I42" i="165"/>
  <c r="C84" i="146"/>
  <c r="J16" i="167"/>
  <c r="A20" i="165"/>
  <c r="A21" i="165"/>
  <c r="A22" i="165"/>
  <c r="A23" i="165"/>
  <c r="A24" i="165"/>
  <c r="K21" i="165"/>
  <c r="K16" i="165"/>
  <c r="A31" i="167"/>
  <c r="A32" i="167"/>
  <c r="A33" i="167"/>
  <c r="A34" i="167"/>
  <c r="A35" i="167"/>
  <c r="J32" i="167"/>
  <c r="J21" i="167"/>
  <c r="A25" i="165"/>
  <c r="A26" i="165"/>
  <c r="A27" i="165"/>
  <c r="A28" i="165"/>
  <c r="A29" i="165"/>
  <c r="A30" i="165"/>
  <c r="A36" i="167"/>
  <c r="A37" i="167"/>
  <c r="A38" i="167"/>
  <c r="A39" i="167"/>
  <c r="A40" i="167"/>
  <c r="J37" i="167"/>
  <c r="J26" i="167"/>
  <c r="K26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1" i="167"/>
  <c r="A42" i="167"/>
  <c r="A43" i="167"/>
  <c r="A44" i="167"/>
  <c r="A45" i="167"/>
  <c r="K32" i="165"/>
  <c r="K42" i="165"/>
  <c r="J42" i="167"/>
  <c r="K11" i="34"/>
  <c r="K37" i="165"/>
  <c r="K13" i="34"/>
  <c r="I23" i="34"/>
  <c r="C46" i="146"/>
  <c r="I19" i="34"/>
  <c r="C41" i="146"/>
  <c r="E29" i="163"/>
  <c r="E32" i="163"/>
  <c r="I23" i="2"/>
  <c r="C29" i="163"/>
  <c r="C32" i="163"/>
  <c r="A16" i="163"/>
  <c r="A17" i="163"/>
  <c r="A18" i="163"/>
  <c r="A19" i="163"/>
  <c r="A20" i="163"/>
  <c r="A21" i="163"/>
  <c r="A22" i="163"/>
  <c r="A23" i="163"/>
  <c r="A24" i="163"/>
  <c r="A25" i="163"/>
  <c r="A26" i="163"/>
  <c r="A27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K15" i="34"/>
  <c r="D32" i="163"/>
  <c r="F29" i="163"/>
  <c r="F32" i="163"/>
  <c r="D29" i="163"/>
  <c r="A28" i="163"/>
  <c r="A29" i="163"/>
  <c r="A30" i="163"/>
  <c r="A31" i="163"/>
  <c r="A32" i="163"/>
  <c r="A33" i="163"/>
  <c r="K23" i="2"/>
  <c r="K21" i="34"/>
  <c r="D34" i="154"/>
  <c r="D34" i="112"/>
  <c r="E19" i="146"/>
  <c r="C34" i="146"/>
  <c r="C20" i="146"/>
  <c r="E27" i="161"/>
  <c r="C27" i="161"/>
  <c r="G25" i="161"/>
  <c r="E22" i="161"/>
  <c r="C22" i="161"/>
  <c r="G20" i="161"/>
  <c r="E17" i="161"/>
  <c r="C17" i="161"/>
  <c r="G15" i="161"/>
  <c r="G17" i="161" s="1"/>
  <c r="G14" i="161"/>
  <c r="G13" i="161"/>
  <c r="A13" i="161"/>
  <c r="A14" i="161"/>
  <c r="A15" i="161"/>
  <c r="I12" i="161"/>
  <c r="I13" i="161"/>
  <c r="I14" i="161"/>
  <c r="I15" i="161"/>
  <c r="G27" i="161"/>
  <c r="E16" i="75"/>
  <c r="G22" i="161"/>
  <c r="E20" i="146"/>
  <c r="E34" i="146"/>
  <c r="G14" i="75"/>
  <c r="D12" i="159"/>
  <c r="G19" i="75"/>
  <c r="G15" i="75"/>
  <c r="G16" i="75"/>
  <c r="C23" i="154"/>
  <c r="C27" i="154" s="1"/>
  <c r="C48" i="154" s="1"/>
  <c r="C52" i="154" s="1"/>
  <c r="C46" i="154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/>
  <c r="A13" i="159"/>
  <c r="A14" i="159"/>
  <c r="A15" i="159"/>
  <c r="A16" i="159"/>
  <c r="A17" i="159"/>
  <c r="G12" i="159"/>
  <c r="G13" i="159"/>
  <c r="G14" i="159"/>
  <c r="G15" i="159"/>
  <c r="G16" i="159"/>
  <c r="G17" i="159"/>
  <c r="C16" i="159"/>
  <c r="F16" i="159"/>
  <c r="E13" i="135"/>
  <c r="E11" i="135"/>
  <c r="B46" i="112"/>
  <c r="D32" i="112"/>
  <c r="C32" i="112"/>
  <c r="B42" i="113"/>
  <c r="B40" i="113"/>
  <c r="B4" i="158"/>
  <c r="B3" i="157"/>
  <c r="B3" i="156"/>
  <c r="I12" i="158"/>
  <c r="H12" i="158"/>
  <c r="G12" i="158"/>
  <c r="F12" i="158"/>
  <c r="E12" i="158"/>
  <c r="A12" i="158"/>
  <c r="A13" i="158"/>
  <c r="A14" i="158"/>
  <c r="A15" i="158"/>
  <c r="A16" i="158"/>
  <c r="A17" i="158"/>
  <c r="A18" i="158"/>
  <c r="A19" i="158"/>
  <c r="A20" i="158"/>
  <c r="A21" i="158"/>
  <c r="A22" i="158"/>
  <c r="A23" i="158"/>
  <c r="A24" i="158"/>
  <c r="A25" i="158"/>
  <c r="A26" i="158"/>
  <c r="A27" i="158"/>
  <c r="A28" i="158"/>
  <c r="A29" i="158"/>
  <c r="A30" i="158"/>
  <c r="D21" i="112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30" i="158"/>
  <c r="H12" i="157"/>
  <c r="G12" i="157"/>
  <c r="F12" i="157"/>
  <c r="E12" i="157"/>
  <c r="A12" i="157"/>
  <c r="A13" i="157"/>
  <c r="A14" i="157"/>
  <c r="A15" i="157"/>
  <c r="A16" i="157"/>
  <c r="A17" i="157"/>
  <c r="A18" i="157"/>
  <c r="A19" i="157"/>
  <c r="A20" i="157"/>
  <c r="A21" i="157"/>
  <c r="A22" i="157"/>
  <c r="A23" i="157"/>
  <c r="A24" i="157"/>
  <c r="A25" i="157"/>
  <c r="A26" i="157"/>
  <c r="A27" i="157"/>
  <c r="A28" i="157"/>
  <c r="A29" i="157"/>
  <c r="B38" i="158"/>
  <c r="I11" i="157"/>
  <c r="I12" i="157"/>
  <c r="I13" i="157"/>
  <c r="I14" i="157"/>
  <c r="I15" i="157"/>
  <c r="I16" i="157"/>
  <c r="I17" i="157"/>
  <c r="I18" i="157"/>
  <c r="I19" i="157"/>
  <c r="I20" i="157"/>
  <c r="I21" i="157"/>
  <c r="I22" i="157"/>
  <c r="I23" i="157"/>
  <c r="I24" i="157"/>
  <c r="I25" i="157"/>
  <c r="I26" i="157"/>
  <c r="I27" i="157"/>
  <c r="I28" i="157"/>
  <c r="I29" i="157"/>
  <c r="M12" i="156"/>
  <c r="L12" i="156"/>
  <c r="K12" i="156"/>
  <c r="I12" i="156"/>
  <c r="H12" i="156"/>
  <c r="A11" i="156"/>
  <c r="A12" i="156"/>
  <c r="A13" i="156"/>
  <c r="A14" i="156"/>
  <c r="A15" i="156"/>
  <c r="A16" i="156"/>
  <c r="A17" i="156"/>
  <c r="A18" i="156"/>
  <c r="A19" i="156"/>
  <c r="A20" i="156"/>
  <c r="A21" i="156"/>
  <c r="A22" i="156"/>
  <c r="A23" i="156"/>
  <c r="A24" i="156"/>
  <c r="A25" i="156"/>
  <c r="A26" i="156"/>
  <c r="A27" i="156"/>
  <c r="A28" i="156"/>
  <c r="A29" i="156"/>
  <c r="A30" i="156"/>
  <c r="D19" i="112"/>
  <c r="N11" i="156"/>
  <c r="N12" i="156"/>
  <c r="N13" i="156"/>
  <c r="N14" i="156"/>
  <c r="N15" i="156"/>
  <c r="N16" i="156"/>
  <c r="N17" i="156"/>
  <c r="N18" i="156"/>
  <c r="N19" i="156"/>
  <c r="N20" i="156"/>
  <c r="N21" i="156"/>
  <c r="N22" i="156"/>
  <c r="N23" i="156"/>
  <c r="N24" i="156"/>
  <c r="N25" i="156"/>
  <c r="N26" i="156"/>
  <c r="N27" i="156"/>
  <c r="N28" i="156"/>
  <c r="N29" i="156"/>
  <c r="N30" i="156"/>
  <c r="N31" i="156"/>
  <c r="C19" i="156"/>
  <c r="C27" i="156" s="1"/>
  <c r="A31" i="156"/>
  <c r="F12" i="156"/>
  <c r="C19" i="158"/>
  <c r="C23" i="158"/>
  <c r="C18" i="158"/>
  <c r="C20" i="158"/>
  <c r="C22" i="158"/>
  <c r="C21" i="158"/>
  <c r="C24" i="156"/>
  <c r="C29" i="156"/>
  <c r="C28" i="156"/>
  <c r="C21" i="156"/>
  <c r="C18" i="157"/>
  <c r="C23" i="157"/>
  <c r="C19" i="157"/>
  <c r="C22" i="157"/>
  <c r="C21" i="157"/>
  <c r="A12" i="154"/>
  <c r="A13" i="154"/>
  <c r="D36" i="154"/>
  <c r="E11" i="154"/>
  <c r="E12" i="154"/>
  <c r="E13" i="154"/>
  <c r="E14" i="154"/>
  <c r="E15" i="154"/>
  <c r="E16" i="154"/>
  <c r="E17" i="154"/>
  <c r="E18" i="154"/>
  <c r="E19" i="154"/>
  <c r="E20" i="154"/>
  <c r="E21" i="154"/>
  <c r="E22" i="154"/>
  <c r="E23" i="154"/>
  <c r="E24" i="154"/>
  <c r="E25" i="154"/>
  <c r="E26" i="154"/>
  <c r="E27" i="154"/>
  <c r="E28" i="154"/>
  <c r="E33" i="154"/>
  <c r="E34" i="154"/>
  <c r="E35" i="154"/>
  <c r="E36" i="154"/>
  <c r="E37" i="154"/>
  <c r="E38" i="154"/>
  <c r="E39" i="154"/>
  <c r="E40" i="154"/>
  <c r="E41" i="154"/>
  <c r="E42" i="154"/>
  <c r="E43" i="154"/>
  <c r="E44" i="154"/>
  <c r="E45" i="154"/>
  <c r="E46" i="154"/>
  <c r="E47" i="154"/>
  <c r="E48" i="154"/>
  <c r="E49" i="154"/>
  <c r="E50" i="154"/>
  <c r="E51" i="154"/>
  <c r="E52" i="154"/>
  <c r="E53" i="154"/>
  <c r="A14" i="154"/>
  <c r="A15" i="154"/>
  <c r="D38" i="154"/>
  <c r="D17" i="154"/>
  <c r="A16" i="154"/>
  <c r="B3" i="85"/>
  <c r="A17" i="154"/>
  <c r="A18" i="154"/>
  <c r="A19" i="154"/>
  <c r="D42" i="154"/>
  <c r="B2" i="135"/>
  <c r="K15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K16" i="10"/>
  <c r="K17" i="10"/>
  <c r="K18" i="10"/>
  <c r="E21" i="10"/>
  <c r="F21" i="10"/>
  <c r="G21" i="10"/>
  <c r="H21" i="10"/>
  <c r="I21" i="10"/>
  <c r="J21" i="10"/>
  <c r="K24" i="10"/>
  <c r="K33" i="10" s="1"/>
  <c r="K35" i="10" s="1"/>
  <c r="K25" i="10"/>
  <c r="K26" i="10"/>
  <c r="K27" i="10"/>
  <c r="K28" i="10"/>
  <c r="K29" i="10"/>
  <c r="K30" i="10"/>
  <c r="K31" i="10"/>
  <c r="E33" i="10"/>
  <c r="E35" i="10" s="1"/>
  <c r="F33" i="10"/>
  <c r="F35" i="10" s="1"/>
  <c r="G33" i="10"/>
  <c r="G35" i="10" s="1"/>
  <c r="H33" i="10"/>
  <c r="I33" i="10"/>
  <c r="J33" i="10"/>
  <c r="J35" i="10"/>
  <c r="K21" i="10"/>
  <c r="H35" i="10"/>
  <c r="I35" i="10"/>
  <c r="A20" i="154"/>
  <c r="A21" i="154"/>
  <c r="D44" i="154"/>
  <c r="A22" i="154"/>
  <c r="A23" i="154"/>
  <c r="D23" i="154"/>
  <c r="B3" i="114"/>
  <c r="B3" i="113"/>
  <c r="B3" i="111"/>
  <c r="A24" i="154"/>
  <c r="A25" i="154"/>
  <c r="B39" i="113"/>
  <c r="D27" i="154"/>
  <c r="D46" i="154"/>
  <c r="A26" i="154"/>
  <c r="A27" i="154"/>
  <c r="A28" i="154"/>
  <c r="A33" i="154"/>
  <c r="A34" i="154"/>
  <c r="A35" i="154"/>
  <c r="A36" i="154"/>
  <c r="A37" i="154"/>
  <c r="A38" i="154"/>
  <c r="A39" i="154"/>
  <c r="A40" i="154"/>
  <c r="D40" i="154"/>
  <c r="A41" i="154"/>
  <c r="A42" i="154"/>
  <c r="A43" i="154"/>
  <c r="A44" i="154"/>
  <c r="A45" i="154"/>
  <c r="A46" i="154"/>
  <c r="A47" i="154"/>
  <c r="A48" i="154"/>
  <c r="A49" i="154"/>
  <c r="A50" i="154"/>
  <c r="A51" i="154"/>
  <c r="A52" i="154"/>
  <c r="A53" i="154"/>
  <c r="D52" i="154"/>
  <c r="D48" i="154"/>
  <c r="E20" i="8"/>
  <c r="C72" i="41"/>
  <c r="B52" i="112"/>
  <c r="B4" i="41"/>
  <c r="B5" i="150"/>
  <c r="B4" i="42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A12" i="34"/>
  <c r="A13" i="34"/>
  <c r="A14" i="34"/>
  <c r="A15" i="34"/>
  <c r="B5" i="85"/>
  <c r="B6" i="84"/>
  <c r="B5" i="71"/>
  <c r="B5" i="70"/>
  <c r="B4" i="153"/>
  <c r="B4" i="135"/>
  <c r="B3" i="153"/>
  <c r="A14" i="84"/>
  <c r="E16" i="111"/>
  <c r="C34" i="114"/>
  <c r="G13" i="66"/>
  <c r="G21" i="66" s="1"/>
  <c r="E12" i="40"/>
  <c r="E12" i="111" s="1"/>
  <c r="E14" i="111" s="1"/>
  <c r="E17" i="111" s="1"/>
  <c r="E15" i="66"/>
  <c r="E19" i="66" s="1"/>
  <c r="E23" i="66" s="1"/>
  <c r="B5" i="111"/>
  <c r="B5" i="82" s="1"/>
  <c r="B6" i="24"/>
  <c r="B5" i="11"/>
  <c r="E68" i="146"/>
  <c r="F11" i="146"/>
  <c r="F12" i="146"/>
  <c r="F13" i="146"/>
  <c r="F14" i="146"/>
  <c r="G83" i="113"/>
  <c r="A12" i="146"/>
  <c r="A13" i="146"/>
  <c r="A14" i="146"/>
  <c r="A15" i="146"/>
  <c r="F15" i="146"/>
  <c r="G85" i="113"/>
  <c r="E16" i="146"/>
  <c r="A16" i="146"/>
  <c r="G47" i="113"/>
  <c r="B13" i="59"/>
  <c r="B17" i="27"/>
  <c r="B5" i="59"/>
  <c r="A14" i="59"/>
  <c r="A15" i="59"/>
  <c r="G17" i="46"/>
  <c r="F13" i="59"/>
  <c r="F14" i="59"/>
  <c r="F15" i="59"/>
  <c r="F16" i="59"/>
  <c r="B13" i="27"/>
  <c r="B5" i="27"/>
  <c r="A14" i="27"/>
  <c r="E15" i="27"/>
  <c r="F13" i="27"/>
  <c r="F14" i="27"/>
  <c r="F15" i="27"/>
  <c r="F16" i="27"/>
  <c r="F17" i="27"/>
  <c r="F18" i="27"/>
  <c r="F19" i="27"/>
  <c r="F20" i="27"/>
  <c r="F21" i="27"/>
  <c r="F22" i="27"/>
  <c r="F23" i="27"/>
  <c r="B17" i="14"/>
  <c r="B13" i="14"/>
  <c r="B5" i="14"/>
  <c r="A14" i="14"/>
  <c r="E15" i="14"/>
  <c r="F13" i="14"/>
  <c r="F14" i="14"/>
  <c r="F15" i="14"/>
  <c r="F16" i="14"/>
  <c r="F17" i="14"/>
  <c r="F18" i="14"/>
  <c r="F19" i="14"/>
  <c r="F20" i="14"/>
  <c r="F21" i="14"/>
  <c r="F22" i="14"/>
  <c r="F23" i="14"/>
  <c r="F16" i="146"/>
  <c r="F17" i="146"/>
  <c r="F18" i="146"/>
  <c r="F19" i="146"/>
  <c r="F20" i="146"/>
  <c r="F21" i="146"/>
  <c r="F22" i="146"/>
  <c r="F23" i="146"/>
  <c r="F24" i="146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F40" i="146"/>
  <c r="F41" i="146"/>
  <c r="F42" i="146"/>
  <c r="F43" i="146"/>
  <c r="F44" i="146"/>
  <c r="F45" i="146"/>
  <c r="F46" i="146"/>
  <c r="F47" i="146"/>
  <c r="F48" i="146"/>
  <c r="A15" i="27"/>
  <c r="A17" i="146"/>
  <c r="A18" i="146"/>
  <c r="A19" i="146"/>
  <c r="A16" i="59"/>
  <c r="D15" i="59"/>
  <c r="E17" i="46" s="1"/>
  <c r="D19" i="27"/>
  <c r="G17" i="22" s="1"/>
  <c r="I17" i="22" s="1"/>
  <c r="A16" i="27"/>
  <c r="A17" i="27"/>
  <c r="A15" i="14"/>
  <c r="G29" i="2"/>
  <c r="D22" i="14"/>
  <c r="E17" i="22"/>
  <c r="A20" i="146"/>
  <c r="A21" i="146"/>
  <c r="E29" i="2"/>
  <c r="A18" i="27"/>
  <c r="A19" i="27"/>
  <c r="E22" i="27"/>
  <c r="A16" i="14"/>
  <c r="A17" i="14"/>
  <c r="A22" i="146"/>
  <c r="A23" i="146"/>
  <c r="A24" i="146"/>
  <c r="E21" i="146"/>
  <c r="E19" i="27"/>
  <c r="A20" i="27"/>
  <c r="A21" i="27"/>
  <c r="A22" i="27"/>
  <c r="A18" i="14"/>
  <c r="A19" i="14"/>
  <c r="E19" i="14"/>
  <c r="A23" i="27"/>
  <c r="K17" i="22"/>
  <c r="A25" i="146"/>
  <c r="A26" i="146"/>
  <c r="A20" i="14"/>
  <c r="A21" i="14"/>
  <c r="A22" i="14"/>
  <c r="E22" i="14"/>
  <c r="E26" i="146"/>
  <c r="A23" i="14"/>
  <c r="K29" i="2"/>
  <c r="A27" i="146"/>
  <c r="A28" i="146"/>
  <c r="A29" i="146"/>
  <c r="A30" i="146"/>
  <c r="A31" i="146"/>
  <c r="A32" i="146"/>
  <c r="E32" i="146"/>
  <c r="A33" i="146"/>
  <c r="A34" i="146"/>
  <c r="A35" i="146"/>
  <c r="A36" i="146"/>
  <c r="I88" i="82"/>
  <c r="A37" i="146"/>
  <c r="A38" i="146"/>
  <c r="A39" i="146"/>
  <c r="E36" i="146"/>
  <c r="A40" i="146"/>
  <c r="A41" i="146"/>
  <c r="A42" i="146"/>
  <c r="A43" i="146"/>
  <c r="A44" i="146"/>
  <c r="E41" i="146"/>
  <c r="A45" i="146"/>
  <c r="A46" i="146"/>
  <c r="A47" i="146"/>
  <c r="A48" i="146"/>
  <c r="E75" i="146"/>
  <c r="E46" i="146"/>
  <c r="B5" i="40"/>
  <c r="E65" i="146"/>
  <c r="F12" i="150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G15" i="45" s="1"/>
  <c r="E76" i="146"/>
  <c r="E77" i="146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E78" i="146"/>
  <c r="E72" i="146"/>
  <c r="A15" i="114"/>
  <c r="A16" i="114"/>
  <c r="A17" i="114"/>
  <c r="A18" i="114"/>
  <c r="I18" i="114"/>
  <c r="E12" i="146"/>
  <c r="A19" i="114"/>
  <c r="A20" i="114"/>
  <c r="A21" i="114"/>
  <c r="A22" i="114"/>
  <c r="A23" i="114"/>
  <c r="A24" i="114"/>
  <c r="A25" i="114"/>
  <c r="E13" i="146"/>
  <c r="A26" i="114"/>
  <c r="A27" i="114"/>
  <c r="A28" i="114"/>
  <c r="A29" i="114"/>
  <c r="A30" i="114"/>
  <c r="A31" i="114"/>
  <c r="A32" i="114"/>
  <c r="A33" i="114"/>
  <c r="A34" i="114"/>
  <c r="A35" i="114"/>
  <c r="A36" i="114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A48" i="113"/>
  <c r="A49" i="113"/>
  <c r="A5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A12" i="113"/>
  <c r="H11" i="111"/>
  <c r="H12" i="111"/>
  <c r="H13" i="111"/>
  <c r="H14" i="111"/>
  <c r="H15" i="111"/>
  <c r="A12" i="111"/>
  <c r="B42" i="112"/>
  <c r="E9" i="2"/>
  <c r="E9" i="22" s="1"/>
  <c r="B38" i="112"/>
  <c r="B36" i="112"/>
  <c r="B34" i="112"/>
  <c r="E11" i="112"/>
  <c r="E12" i="112"/>
  <c r="A12" i="112"/>
  <c r="A13" i="112"/>
  <c r="C17" i="85"/>
  <c r="C15" i="85"/>
  <c r="A12" i="85"/>
  <c r="A13" i="85"/>
  <c r="A14" i="85"/>
  <c r="A15" i="85"/>
  <c r="A16" i="85"/>
  <c r="A17" i="85"/>
  <c r="A18" i="85"/>
  <c r="A19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B4" i="84"/>
  <c r="D13" i="84"/>
  <c r="D14" i="84" s="1"/>
  <c r="D15" i="84" s="1"/>
  <c r="D16" i="84" s="1"/>
  <c r="D17" i="84" s="1"/>
  <c r="D18" i="84" s="1"/>
  <c r="J81" i="82"/>
  <c r="J82" i="82"/>
  <c r="J83" i="82"/>
  <c r="J84" i="82"/>
  <c r="J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J98" i="82"/>
  <c r="J99" i="82"/>
  <c r="J100" i="82"/>
  <c r="J101" i="82"/>
  <c r="J102" i="82"/>
  <c r="J103" i="82"/>
  <c r="J104" i="82"/>
  <c r="J105" i="82"/>
  <c r="J106" i="82"/>
  <c r="J107" i="82"/>
  <c r="J108" i="82"/>
  <c r="J109" i="82"/>
  <c r="J110" i="82"/>
  <c r="A81" i="82"/>
  <c r="A82" i="82"/>
  <c r="A83" i="82"/>
  <c r="A84" i="82"/>
  <c r="A85" i="82"/>
  <c r="E49" i="82"/>
  <c r="A12" i="82"/>
  <c r="A13" i="82"/>
  <c r="A14" i="82"/>
  <c r="A15" i="82"/>
  <c r="A16" i="82"/>
  <c r="A17" i="82"/>
  <c r="A18" i="82"/>
  <c r="A19" i="82"/>
  <c r="A2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34" i="82"/>
  <c r="J35" i="82"/>
  <c r="J36" i="82"/>
  <c r="J37" i="82"/>
  <c r="J38" i="82"/>
  <c r="J39" i="82"/>
  <c r="J40" i="82"/>
  <c r="J41" i="82"/>
  <c r="J42" i="82"/>
  <c r="J43" i="82"/>
  <c r="J44" i="82"/>
  <c r="J45" i="82"/>
  <c r="J46" i="82"/>
  <c r="J47" i="82"/>
  <c r="J48" i="82"/>
  <c r="J49" i="82"/>
  <c r="J50" i="82"/>
  <c r="J51" i="82"/>
  <c r="J52" i="82"/>
  <c r="J53" i="82"/>
  <c r="J54" i="82"/>
  <c r="J55" i="82"/>
  <c r="J56" i="82"/>
  <c r="J57" i="82"/>
  <c r="J58" i="82"/>
  <c r="J59" i="82"/>
  <c r="J60" i="82"/>
  <c r="J61" i="82"/>
  <c r="J62" i="82"/>
  <c r="J63" i="82"/>
  <c r="J64" i="82"/>
  <c r="J65" i="82"/>
  <c r="G59" i="40"/>
  <c r="H11" i="40"/>
  <c r="H12" i="40"/>
  <c r="H13" i="40"/>
  <c r="H14" i="40"/>
  <c r="H15" i="40"/>
  <c r="H16" i="40"/>
  <c r="H17" i="40"/>
  <c r="H18" i="40"/>
  <c r="A12" i="40"/>
  <c r="G12" i="111"/>
  <c r="G9" i="2"/>
  <c r="G9" i="22" s="1"/>
  <c r="A12" i="2"/>
  <c r="A13" i="2"/>
  <c r="A14" i="2"/>
  <c r="A15" i="2"/>
  <c r="A16" i="2"/>
  <c r="A17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A12" i="22"/>
  <c r="A13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D7" i="135"/>
  <c r="C7" i="135"/>
  <c r="G11" i="135"/>
  <c r="G12" i="135"/>
  <c r="G13" i="135"/>
  <c r="G14" i="135"/>
  <c r="G15" i="135"/>
  <c r="H11" i="38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A12" i="45"/>
  <c r="A13" i="45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G16" i="135"/>
  <c r="E14" i="146"/>
  <c r="I36" i="114"/>
  <c r="A37" i="114"/>
  <c r="A38" i="114"/>
  <c r="A39" i="114"/>
  <c r="A40" i="114"/>
  <c r="I38" i="114"/>
  <c r="I34" i="114"/>
  <c r="A13" i="113"/>
  <c r="A14" i="113"/>
  <c r="A15" i="113"/>
  <c r="A16" i="113"/>
  <c r="A17" i="113"/>
  <c r="A18" i="113"/>
  <c r="A19" i="113"/>
  <c r="A20" i="113"/>
  <c r="A21" i="113"/>
  <c r="A22" i="113"/>
  <c r="D36" i="112"/>
  <c r="A14" i="112"/>
  <c r="A15" i="112"/>
  <c r="A16" i="112"/>
  <c r="A17" i="112"/>
  <c r="C19" i="85"/>
  <c r="A20" i="85"/>
  <c r="A21" i="85"/>
  <c r="A22" i="85"/>
  <c r="A23" i="85"/>
  <c r="A11" i="135"/>
  <c r="A18" i="2"/>
  <c r="A19" i="2"/>
  <c r="G61" i="40"/>
  <c r="A13" i="40"/>
  <c r="A14" i="40"/>
  <c r="A15" i="40"/>
  <c r="H16" i="111"/>
  <c r="H17" i="111"/>
  <c r="H18" i="111"/>
  <c r="H19" i="111"/>
  <c r="H20" i="111"/>
  <c r="H21" i="111"/>
  <c r="H22" i="111"/>
  <c r="H23" i="111"/>
  <c r="H24" i="111"/>
  <c r="H25" i="111"/>
  <c r="H26" i="111"/>
  <c r="H27" i="111"/>
  <c r="A13" i="111"/>
  <c r="A14" i="111"/>
  <c r="A14" i="45"/>
  <c r="A15" i="45"/>
  <c r="A51" i="113"/>
  <c r="A52" i="113"/>
  <c r="A53" i="113"/>
  <c r="A54" i="113"/>
  <c r="A55" i="113"/>
  <c r="A56" i="113"/>
  <c r="A57" i="113"/>
  <c r="A58" i="113"/>
  <c r="A59" i="113"/>
  <c r="A60" i="113"/>
  <c r="G52" i="113"/>
  <c r="D15" i="85"/>
  <c r="I17" i="82"/>
  <c r="G25" i="82"/>
  <c r="G32" i="82"/>
  <c r="G17" i="82"/>
  <c r="I97" i="82"/>
  <c r="A86" i="82"/>
  <c r="A21" i="82"/>
  <c r="A22" i="82"/>
  <c r="A23" i="82"/>
  <c r="A24" i="82"/>
  <c r="A25" i="82"/>
  <c r="I27" i="82"/>
  <c r="G39" i="82"/>
  <c r="C49" i="82" s="1"/>
  <c r="C48" i="82"/>
  <c r="I29" i="2"/>
  <c r="A14" i="22"/>
  <c r="A15" i="22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A12" i="66"/>
  <c r="A13" i="66"/>
  <c r="G15" i="66"/>
  <c r="E27" i="69"/>
  <c r="A12" i="69"/>
  <c r="A13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A11" i="75"/>
  <c r="B25" i="71"/>
  <c r="B14" i="71"/>
  <c r="B13" i="71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A16" i="40"/>
  <c r="A17" i="40"/>
  <c r="A18" i="40"/>
  <c r="C63" i="82"/>
  <c r="E15" i="146"/>
  <c r="E79" i="146"/>
  <c r="I40" i="114"/>
  <c r="A41" i="114"/>
  <c r="A42" i="114"/>
  <c r="D15" i="112"/>
  <c r="I42" i="114"/>
  <c r="A23" i="113"/>
  <c r="A24" i="113"/>
  <c r="A25" i="113"/>
  <c r="A26" i="113"/>
  <c r="A27" i="113"/>
  <c r="A28" i="113"/>
  <c r="A29" i="113"/>
  <c r="A30" i="113"/>
  <c r="A31" i="113"/>
  <c r="A32" i="113"/>
  <c r="A33" i="113"/>
  <c r="A34" i="113"/>
  <c r="A35" i="113"/>
  <c r="D13" i="112"/>
  <c r="G24" i="113"/>
  <c r="A18" i="112"/>
  <c r="A19" i="112"/>
  <c r="A20" i="112"/>
  <c r="A21" i="112"/>
  <c r="A22" i="112"/>
  <c r="A23" i="112"/>
  <c r="A24" i="112"/>
  <c r="A25" i="112"/>
  <c r="A26" i="112"/>
  <c r="A27" i="112"/>
  <c r="A28" i="112"/>
  <c r="D17" i="112"/>
  <c r="D38" i="112"/>
  <c r="A61" i="113"/>
  <c r="A62" i="113"/>
  <c r="G62" i="113"/>
  <c r="C23" i="85"/>
  <c r="C27" i="85"/>
  <c r="G21" i="114"/>
  <c r="C28" i="84"/>
  <c r="D23" i="85"/>
  <c r="G12" i="113"/>
  <c r="A87" i="82"/>
  <c r="A88" i="82"/>
  <c r="B24" i="75"/>
  <c r="A24" i="85"/>
  <c r="A25" i="85"/>
  <c r="A26" i="85"/>
  <c r="A27" i="85"/>
  <c r="I21" i="114"/>
  <c r="A12" i="135"/>
  <c r="A13" i="135"/>
  <c r="A14" i="135"/>
  <c r="A15" i="135"/>
  <c r="A20" i="2"/>
  <c r="A21" i="2"/>
  <c r="G62" i="40"/>
  <c r="A15" i="111"/>
  <c r="A16" i="111"/>
  <c r="A17" i="111"/>
  <c r="G14" i="111"/>
  <c r="H11" i="75"/>
  <c r="H12" i="75"/>
  <c r="A14" i="66"/>
  <c r="A15" i="66"/>
  <c r="A16" i="66"/>
  <c r="A17" i="66"/>
  <c r="A18" i="66"/>
  <c r="A19" i="66"/>
  <c r="A20" i="66"/>
  <c r="A21" i="66"/>
  <c r="A22" i="66"/>
  <c r="A23" i="66"/>
  <c r="A16" i="45"/>
  <c r="A17" i="45"/>
  <c r="A18" i="45"/>
  <c r="A19" i="45"/>
  <c r="A20" i="45"/>
  <c r="A21" i="45"/>
  <c r="A22" i="45"/>
  <c r="A23" i="45"/>
  <c r="G25" i="45"/>
  <c r="E65" i="40"/>
  <c r="D19" i="85"/>
  <c r="E48" i="82"/>
  <c r="I25" i="82"/>
  <c r="A26" i="82"/>
  <c r="A27" i="82"/>
  <c r="A16" i="22"/>
  <c r="A17" i="22"/>
  <c r="A14" i="69"/>
  <c r="A15" i="69"/>
  <c r="I15" i="69"/>
  <c r="A12" i="75"/>
  <c r="A14" i="71"/>
  <c r="A15" i="71"/>
  <c r="A16" i="71"/>
  <c r="A17" i="71"/>
  <c r="A18" i="71"/>
  <c r="A19" i="71"/>
  <c r="A20" i="71"/>
  <c r="A21" i="71"/>
  <c r="A22" i="71"/>
  <c r="A23" i="71"/>
  <c r="A24" i="71"/>
  <c r="A25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B27" i="70"/>
  <c r="B16" i="70"/>
  <c r="B15" i="70"/>
  <c r="A19" i="40"/>
  <c r="A20" i="40"/>
  <c r="A21" i="40"/>
  <c r="A22" i="40"/>
  <c r="A23" i="40"/>
  <c r="A24" i="40"/>
  <c r="A25" i="40"/>
  <c r="A26" i="40"/>
  <c r="D27" i="85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D44" i="112"/>
  <c r="D42" i="112"/>
  <c r="D23" i="112"/>
  <c r="G28" i="113"/>
  <c r="G33" i="113"/>
  <c r="G26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G16" i="113"/>
  <c r="A24" i="66"/>
  <c r="A25" i="66"/>
  <c r="A26" i="66"/>
  <c r="A27" i="66"/>
  <c r="F15" i="135"/>
  <c r="I98" i="82"/>
  <c r="A26" i="71"/>
  <c r="A27" i="71"/>
  <c r="A28" i="71"/>
  <c r="A29" i="71"/>
  <c r="A30" i="71"/>
  <c r="D27" i="71"/>
  <c r="A28" i="85"/>
  <c r="G17" i="111"/>
  <c r="A16" i="69"/>
  <c r="A17" i="69"/>
  <c r="A18" i="69"/>
  <c r="A19" i="69"/>
  <c r="E29" i="146"/>
  <c r="G71" i="113"/>
  <c r="A13" i="75"/>
  <c r="A14" i="75"/>
  <c r="H13" i="75"/>
  <c r="H14" i="75"/>
  <c r="H15" i="75"/>
  <c r="H16" i="75"/>
  <c r="A16" i="135"/>
  <c r="E61" i="146"/>
  <c r="A18" i="111"/>
  <c r="A19" i="111"/>
  <c r="A20" i="111"/>
  <c r="A21" i="111"/>
  <c r="A24" i="45"/>
  <c r="A25" i="45"/>
  <c r="G57" i="113"/>
  <c r="G35" i="113"/>
  <c r="I47" i="82"/>
  <c r="A28" i="82"/>
  <c r="A29" i="82"/>
  <c r="A30" i="82"/>
  <c r="I36" i="82"/>
  <c r="I99" i="82"/>
  <c r="A89" i="82"/>
  <c r="I134" i="82"/>
  <c r="A18" i="22"/>
  <c r="A19" i="22"/>
  <c r="K25" i="22"/>
  <c r="G19" i="66"/>
  <c r="A16" i="70"/>
  <c r="A17" i="70"/>
  <c r="A18" i="70"/>
  <c r="A19" i="70"/>
  <c r="A20" i="70"/>
  <c r="A21" i="70"/>
  <c r="A22" i="70"/>
  <c r="A23" i="70"/>
  <c r="A24" i="70"/>
  <c r="A25" i="70"/>
  <c r="A26" i="70"/>
  <c r="A27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B15" i="56"/>
  <c r="B5" i="56"/>
  <c r="A16" i="56"/>
  <c r="E15" i="56"/>
  <c r="E16" i="56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F45" i="41"/>
  <c r="A27" i="40"/>
  <c r="G27" i="40"/>
  <c r="A28" i="40"/>
  <c r="A29" i="40"/>
  <c r="A30" i="40"/>
  <c r="I22" i="69"/>
  <c r="G50" i="113"/>
  <c r="I19" i="69"/>
  <c r="K35" i="2"/>
  <c r="G61" i="82"/>
  <c r="G62" i="82"/>
  <c r="G27" i="66"/>
  <c r="A28" i="66"/>
  <c r="A29" i="66"/>
  <c r="A30" i="66"/>
  <c r="A31" i="66"/>
  <c r="A32" i="66"/>
  <c r="A33" i="66"/>
  <c r="A34" i="66"/>
  <c r="A35" i="66"/>
  <c r="A36" i="66"/>
  <c r="A37" i="66"/>
  <c r="A38" i="66"/>
  <c r="G60" i="113"/>
  <c r="A77" i="113"/>
  <c r="A78" i="113"/>
  <c r="A79" i="113"/>
  <c r="A80" i="113"/>
  <c r="G89" i="113"/>
  <c r="D46" i="112"/>
  <c r="D27" i="112"/>
  <c r="A15" i="75"/>
  <c r="A16" i="75"/>
  <c r="G17" i="75"/>
  <c r="G21" i="111"/>
  <c r="A28" i="70"/>
  <c r="A29" i="70"/>
  <c r="A30" i="70"/>
  <c r="A31" i="70"/>
  <c r="A32" i="70"/>
  <c r="D29" i="70"/>
  <c r="A20" i="69"/>
  <c r="A21" i="69"/>
  <c r="A22" i="69"/>
  <c r="A23" i="69"/>
  <c r="A24" i="69"/>
  <c r="A25" i="69"/>
  <c r="E30" i="146"/>
  <c r="G72" i="113"/>
  <c r="A31" i="71"/>
  <c r="I17" i="69"/>
  <c r="D41" i="41"/>
  <c r="H17" i="75"/>
  <c r="H18" i="75"/>
  <c r="H19" i="75"/>
  <c r="H20" i="75"/>
  <c r="H21" i="75"/>
  <c r="A22" i="111"/>
  <c r="A23" i="111"/>
  <c r="G25" i="111"/>
  <c r="G23" i="111"/>
  <c r="G14" i="113"/>
  <c r="G27" i="45"/>
  <c r="A26" i="45"/>
  <c r="A27" i="45"/>
  <c r="G19" i="46"/>
  <c r="G67" i="113"/>
  <c r="A90" i="82"/>
  <c r="A91" i="82"/>
  <c r="A31" i="82"/>
  <c r="A20" i="22"/>
  <c r="A21" i="22"/>
  <c r="E69" i="146"/>
  <c r="K21" i="22"/>
  <c r="K23" i="22"/>
  <c r="D26" i="42"/>
  <c r="D30" i="42" s="1"/>
  <c r="E30" i="40" s="1"/>
  <c r="A31" i="40"/>
  <c r="A32" i="40"/>
  <c r="A33" i="40"/>
  <c r="A34" i="40"/>
  <c r="I24" i="69"/>
  <c r="A17" i="75"/>
  <c r="G65" i="82"/>
  <c r="G130" i="82"/>
  <c r="G136" i="82"/>
  <c r="G145" i="82"/>
  <c r="G60" i="82"/>
  <c r="G63" i="82"/>
  <c r="G153" i="82"/>
  <c r="D63" i="82"/>
  <c r="A81" i="113"/>
  <c r="A82" i="113"/>
  <c r="A83" i="113"/>
  <c r="G20" i="113"/>
  <c r="I25" i="69"/>
  <c r="A33" i="70"/>
  <c r="I11" i="69"/>
  <c r="A18" i="75"/>
  <c r="A19" i="75"/>
  <c r="A20" i="75"/>
  <c r="A21" i="75"/>
  <c r="I86" i="82"/>
  <c r="A24" i="111"/>
  <c r="A25" i="111"/>
  <c r="A26" i="111"/>
  <c r="A27" i="111"/>
  <c r="D11" i="112"/>
  <c r="G18" i="113"/>
  <c r="I100" i="82"/>
  <c r="A92" i="82"/>
  <c r="A93" i="82"/>
  <c r="A94" i="82"/>
  <c r="A95" i="82"/>
  <c r="A96" i="82"/>
  <c r="A97" i="82"/>
  <c r="A98" i="82"/>
  <c r="A99" i="82"/>
  <c r="A100" i="82"/>
  <c r="A101" i="82"/>
  <c r="I146" i="82"/>
  <c r="A32" i="82"/>
  <c r="I32" i="82"/>
  <c r="A22" i="22"/>
  <c r="A23" i="22"/>
  <c r="G23" i="66"/>
  <c r="A26" i="69"/>
  <c r="A27" i="69"/>
  <c r="I29" i="69"/>
  <c r="A35" i="40"/>
  <c r="A36" i="40"/>
  <c r="A37" i="40"/>
  <c r="A38" i="40"/>
  <c r="A39" i="40"/>
  <c r="A40" i="40"/>
  <c r="A41" i="40"/>
  <c r="A42" i="40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G142" i="82"/>
  <c r="G148" i="82"/>
  <c r="G151" i="82"/>
  <c r="G155" i="82"/>
  <c r="G21" i="75"/>
  <c r="G27" i="111"/>
  <c r="A24" i="22"/>
  <c r="A25" i="22"/>
  <c r="E70" i="146"/>
  <c r="G64" i="40"/>
  <c r="G74" i="113"/>
  <c r="G36" i="66"/>
  <c r="K19" i="22"/>
  <c r="G46" i="40"/>
  <c r="K33" i="2"/>
  <c r="A102" i="82"/>
  <c r="A103" i="82"/>
  <c r="I106" i="82"/>
  <c r="I48" i="82"/>
  <c r="A33" i="82"/>
  <c r="A34" i="82"/>
  <c r="A35" i="82"/>
  <c r="A28" i="69"/>
  <c r="A29" i="69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B26" i="109"/>
  <c r="B15" i="109"/>
  <c r="B14" i="109"/>
  <c r="B6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G15" i="22"/>
  <c r="E15" i="22"/>
  <c r="I15" i="22" s="1"/>
  <c r="B16" i="26"/>
  <c r="B14" i="26"/>
  <c r="B5" i="26"/>
  <c r="A15" i="26"/>
  <c r="A16" i="26"/>
  <c r="D19" i="26"/>
  <c r="E14" i="26"/>
  <c r="E15" i="26"/>
  <c r="E16" i="26"/>
  <c r="E17" i="26"/>
  <c r="E18" i="26"/>
  <c r="E19" i="26"/>
  <c r="E20" i="26"/>
  <c r="G13" i="22"/>
  <c r="E13" i="22"/>
  <c r="I13" i="22" s="1"/>
  <c r="B16" i="25"/>
  <c r="B14" i="25"/>
  <c r="B5" i="25"/>
  <c r="A15" i="25"/>
  <c r="A16" i="25"/>
  <c r="D19" i="25"/>
  <c r="E14" i="25"/>
  <c r="E15" i="25"/>
  <c r="E16" i="25"/>
  <c r="E17" i="25"/>
  <c r="E18" i="25"/>
  <c r="E19" i="25"/>
  <c r="E20" i="25"/>
  <c r="K18" i="24"/>
  <c r="K22" i="24" s="1"/>
  <c r="K27" i="24"/>
  <c r="K31" i="24"/>
  <c r="K19" i="24"/>
  <c r="A17" i="24"/>
  <c r="A18" i="24"/>
  <c r="A19" i="24"/>
  <c r="A20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B26" i="136"/>
  <c r="B15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31" i="136"/>
  <c r="G32" i="136"/>
  <c r="B14" i="136"/>
  <c r="B5" i="136"/>
  <c r="B26" i="23"/>
  <c r="B15" i="23"/>
  <c r="B14" i="23"/>
  <c r="B5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27" i="2"/>
  <c r="E27" i="2"/>
  <c r="I27" i="2" s="1"/>
  <c r="B16" i="13"/>
  <c r="B14" i="13"/>
  <c r="B5" i="13"/>
  <c r="A15" i="13"/>
  <c r="A16" i="13"/>
  <c r="D19" i="13"/>
  <c r="E14" i="13"/>
  <c r="E15" i="13"/>
  <c r="E16" i="13"/>
  <c r="E17" i="13"/>
  <c r="E18" i="13"/>
  <c r="E19" i="13"/>
  <c r="E20" i="13"/>
  <c r="G25" i="2"/>
  <c r="E25" i="2"/>
  <c r="I25" i="2" s="1"/>
  <c r="B16" i="3"/>
  <c r="B14" i="3"/>
  <c r="B5" i="3"/>
  <c r="A15" i="3"/>
  <c r="A16" i="3"/>
  <c r="D19" i="3"/>
  <c r="E14" i="3"/>
  <c r="E15" i="3"/>
  <c r="E16" i="3"/>
  <c r="E17" i="3"/>
  <c r="E18" i="3"/>
  <c r="E19" i="3"/>
  <c r="E20" i="3"/>
  <c r="K30" i="11"/>
  <c r="A16" i="11"/>
  <c r="A17" i="11"/>
  <c r="A18" i="11"/>
  <c r="A19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A16" i="10"/>
  <c r="A17" i="10"/>
  <c r="A18" i="10"/>
  <c r="A19" i="10"/>
  <c r="L21" i="10"/>
  <c r="A43" i="40"/>
  <c r="A44" i="40"/>
  <c r="G43" i="40"/>
  <c r="G87" i="113"/>
  <c r="K30" i="24"/>
  <c r="K26" i="24"/>
  <c r="A27" i="109"/>
  <c r="A28" i="109"/>
  <c r="A29" i="109"/>
  <c r="A30" i="109"/>
  <c r="A31" i="109"/>
  <c r="D28" i="109"/>
  <c r="E31" i="146"/>
  <c r="G73" i="113"/>
  <c r="A27" i="136"/>
  <c r="A28" i="136"/>
  <c r="A29" i="136"/>
  <c r="A30" i="136"/>
  <c r="A31" i="136"/>
  <c r="F34" i="23"/>
  <c r="D31" i="136"/>
  <c r="F31" i="136"/>
  <c r="D28" i="136"/>
  <c r="F28" i="136"/>
  <c r="A27" i="23"/>
  <c r="A28" i="23"/>
  <c r="A29" i="23"/>
  <c r="A30" i="23"/>
  <c r="A31" i="23"/>
  <c r="A32" i="23"/>
  <c r="A33" i="23"/>
  <c r="A34" i="23"/>
  <c r="A35" i="23"/>
  <c r="A36" i="23"/>
  <c r="K11" i="22"/>
  <c r="D31" i="23"/>
  <c r="D28" i="23"/>
  <c r="F28" i="23"/>
  <c r="K28" i="24"/>
  <c r="A26" i="22"/>
  <c r="A27" i="22"/>
  <c r="A28" i="22"/>
  <c r="A29" i="22"/>
  <c r="E71" i="146"/>
  <c r="K27" i="22"/>
  <c r="K31" i="2"/>
  <c r="G65" i="40"/>
  <c r="K41" i="2"/>
  <c r="G78" i="113"/>
  <c r="G80" i="113"/>
  <c r="A104" i="82"/>
  <c r="A105" i="82"/>
  <c r="A106" i="82"/>
  <c r="A36" i="82"/>
  <c r="A37" i="82"/>
  <c r="A38" i="82"/>
  <c r="A39" i="82"/>
  <c r="A40" i="82"/>
  <c r="A41" i="82"/>
  <c r="A42" i="82"/>
  <c r="F30" i="41"/>
  <c r="F31" i="41"/>
  <c r="F35" i="41"/>
  <c r="F32" i="41"/>
  <c r="F39" i="41"/>
  <c r="D27" i="41"/>
  <c r="F34" i="41"/>
  <c r="F33" i="41"/>
  <c r="A17" i="26"/>
  <c r="A18" i="26"/>
  <c r="A19" i="26"/>
  <c r="A17" i="25"/>
  <c r="A18" i="25"/>
  <c r="A19" i="25"/>
  <c r="J22" i="24"/>
  <c r="I22" i="24"/>
  <c r="H22" i="24"/>
  <c r="G22" i="24"/>
  <c r="K32" i="24"/>
  <c r="K17" i="24"/>
  <c r="K29" i="24"/>
  <c r="K16" i="24"/>
  <c r="A21" i="24"/>
  <c r="A22" i="24"/>
  <c r="L22" i="24"/>
  <c r="F22" i="24"/>
  <c r="F36" i="24"/>
  <c r="C28" i="136"/>
  <c r="C31" i="136" s="1"/>
  <c r="A32" i="136"/>
  <c r="E28" i="23"/>
  <c r="E31" i="23" s="1"/>
  <c r="C28" i="23"/>
  <c r="C31" i="23"/>
  <c r="A17" i="13"/>
  <c r="A18" i="13"/>
  <c r="A19" i="13"/>
  <c r="C19" i="3"/>
  <c r="A17" i="3"/>
  <c r="A18" i="3"/>
  <c r="A19" i="3"/>
  <c r="J33" i="11"/>
  <c r="J35" i="11" s="1"/>
  <c r="I33" i="11"/>
  <c r="H33" i="11"/>
  <c r="G33" i="11"/>
  <c r="F33" i="11"/>
  <c r="E33" i="11"/>
  <c r="K31" i="11"/>
  <c r="D33" i="11"/>
  <c r="D35" i="11" s="1"/>
  <c r="L21" i="11"/>
  <c r="A20" i="11"/>
  <c r="A21" i="11"/>
  <c r="A20" i="10"/>
  <c r="A21" i="10"/>
  <c r="B26" i="9"/>
  <c r="B15" i="9"/>
  <c r="B14" i="9"/>
  <c r="A15" i="9"/>
  <c r="A16" i="9"/>
  <c r="A17" i="9"/>
  <c r="A18" i="9"/>
  <c r="A19" i="9"/>
  <c r="A20" i="9"/>
  <c r="A21" i="9"/>
  <c r="A22" i="9"/>
  <c r="A23" i="9"/>
  <c r="A24" i="9"/>
  <c r="A25" i="9"/>
  <c r="A26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19" i="2"/>
  <c r="E19" i="2"/>
  <c r="B17" i="8"/>
  <c r="B15" i="8"/>
  <c r="B5" i="8"/>
  <c r="A16" i="8"/>
  <c r="A17" i="8"/>
  <c r="G15" i="8"/>
  <c r="G16" i="8"/>
  <c r="G17" i="8"/>
  <c r="G18" i="8"/>
  <c r="G19" i="8"/>
  <c r="G20" i="8"/>
  <c r="G21" i="8"/>
  <c r="B26" i="7"/>
  <c r="B15" i="7"/>
  <c r="B14" i="7"/>
  <c r="B5" i="7"/>
  <c r="A15" i="7"/>
  <c r="A16" i="7"/>
  <c r="A17" i="7"/>
  <c r="A18" i="7"/>
  <c r="A19" i="7"/>
  <c r="A20" i="7"/>
  <c r="A21" i="7"/>
  <c r="A22" i="7"/>
  <c r="A23" i="7"/>
  <c r="A24" i="7"/>
  <c r="A25" i="7"/>
  <c r="A26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B26" i="6"/>
  <c r="B15" i="6"/>
  <c r="B14" i="6"/>
  <c r="B5" i="6"/>
  <c r="A15" i="6"/>
  <c r="A16" i="6"/>
  <c r="A17" i="6"/>
  <c r="A18" i="6"/>
  <c r="A19" i="6"/>
  <c r="A20" i="6"/>
  <c r="A21" i="6"/>
  <c r="A22" i="6"/>
  <c r="A23" i="6"/>
  <c r="A24" i="6"/>
  <c r="A25" i="6"/>
  <c r="A26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B26" i="5"/>
  <c r="B15" i="5"/>
  <c r="B14" i="5"/>
  <c r="B5" i="5"/>
  <c r="A15" i="5"/>
  <c r="A16" i="5"/>
  <c r="A17" i="5"/>
  <c r="A18" i="5"/>
  <c r="A19" i="5"/>
  <c r="A20" i="5"/>
  <c r="A21" i="5"/>
  <c r="A22" i="5"/>
  <c r="A23" i="5"/>
  <c r="A24" i="5"/>
  <c r="A25" i="5"/>
  <c r="A26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B26" i="4"/>
  <c r="B15" i="4"/>
  <c r="B14" i="4"/>
  <c r="B5" i="4"/>
  <c r="A15" i="4"/>
  <c r="A16" i="4"/>
  <c r="A17" i="4"/>
  <c r="A18" i="4"/>
  <c r="A19" i="4"/>
  <c r="A20" i="4"/>
  <c r="A21" i="4"/>
  <c r="A22" i="4"/>
  <c r="A23" i="4"/>
  <c r="A24" i="4"/>
  <c r="A25" i="4"/>
  <c r="A26" i="4"/>
  <c r="G14" i="4"/>
  <c r="G15" i="4"/>
  <c r="A45" i="40"/>
  <c r="G45" i="40"/>
  <c r="G91" i="113"/>
  <c r="F36" i="23"/>
  <c r="H35" i="11"/>
  <c r="I35" i="11"/>
  <c r="G35" i="11"/>
  <c r="A27" i="5"/>
  <c r="A28" i="5"/>
  <c r="A29" i="5"/>
  <c r="A30" i="5"/>
  <c r="A31" i="5"/>
  <c r="D28" i="5"/>
  <c r="D31" i="5"/>
  <c r="F28" i="5"/>
  <c r="A27" i="7"/>
  <c r="A28" i="7"/>
  <c r="A29" i="7"/>
  <c r="A30" i="7"/>
  <c r="A31" i="7"/>
  <c r="D28" i="7"/>
  <c r="D31" i="7"/>
  <c r="F28" i="7"/>
  <c r="A27" i="6"/>
  <c r="A28" i="6"/>
  <c r="A29" i="6"/>
  <c r="A30" i="6"/>
  <c r="A31" i="6"/>
  <c r="D31" i="6"/>
  <c r="D28" i="6"/>
  <c r="F28" i="6"/>
  <c r="F31" i="6"/>
  <c r="D20" i="8"/>
  <c r="F20" i="8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E28" i="5"/>
  <c r="E31" i="5"/>
  <c r="I13" i="2"/>
  <c r="A27" i="9"/>
  <c r="A28" i="9"/>
  <c r="A29" i="9"/>
  <c r="A30" i="9"/>
  <c r="A31" i="9"/>
  <c r="D31" i="9"/>
  <c r="D28" i="9"/>
  <c r="F28" i="9"/>
  <c r="A20" i="3"/>
  <c r="K25" i="2"/>
  <c r="A20" i="26"/>
  <c r="K15" i="22"/>
  <c r="A32" i="109"/>
  <c r="G11" i="38"/>
  <c r="A20" i="13"/>
  <c r="K27" i="2"/>
  <c r="A20" i="25"/>
  <c r="K13" i="22"/>
  <c r="A27" i="4"/>
  <c r="A28" i="4"/>
  <c r="A29" i="4"/>
  <c r="A30" i="4"/>
  <c r="A31" i="4"/>
  <c r="F28" i="4"/>
  <c r="D31" i="4"/>
  <c r="D28" i="4"/>
  <c r="I19" i="2"/>
  <c r="E62" i="40" s="1"/>
  <c r="K39" i="2"/>
  <c r="G52" i="40"/>
  <c r="K37" i="2"/>
  <c r="I36" i="24"/>
  <c r="G65" i="113"/>
  <c r="C28" i="5"/>
  <c r="C31" i="5"/>
  <c r="A43" i="82"/>
  <c r="A44" i="82"/>
  <c r="A45" i="82"/>
  <c r="A46" i="82"/>
  <c r="I49" i="82"/>
  <c r="I39" i="82"/>
  <c r="A107" i="82"/>
  <c r="A108" i="82"/>
  <c r="G34" i="66"/>
  <c r="J36" i="24"/>
  <c r="H36" i="24"/>
  <c r="G36" i="24"/>
  <c r="A23" i="24"/>
  <c r="A24" i="24"/>
  <c r="F35" i="11"/>
  <c r="A22" i="11"/>
  <c r="A23" i="11"/>
  <c r="A22" i="10"/>
  <c r="A23" i="10"/>
  <c r="E28" i="9"/>
  <c r="E31" i="9" s="1"/>
  <c r="E36" i="9" s="1"/>
  <c r="I21" i="2" s="1"/>
  <c r="C28" i="9"/>
  <c r="C31" i="9" s="1"/>
  <c r="C20" i="8"/>
  <c r="A18" i="8"/>
  <c r="A19" i="8"/>
  <c r="A20" i="8"/>
  <c r="E28" i="7"/>
  <c r="E31" i="7"/>
  <c r="I17" i="2" s="1"/>
  <c r="E61" i="40" s="1"/>
  <c r="C28" i="7"/>
  <c r="C31" i="7" s="1"/>
  <c r="E28" i="6"/>
  <c r="E31" i="6"/>
  <c r="I15" i="2"/>
  <c r="C28" i="6"/>
  <c r="C31" i="6"/>
  <c r="E28" i="4"/>
  <c r="E31" i="4"/>
  <c r="I11" i="2"/>
  <c r="E59" i="40" s="1"/>
  <c r="C28" i="4"/>
  <c r="C31" i="4" s="1"/>
  <c r="A46" i="40"/>
  <c r="A47" i="40"/>
  <c r="G97" i="113"/>
  <c r="G95" i="113"/>
  <c r="A21" i="8"/>
  <c r="K19" i="2"/>
  <c r="A32" i="6"/>
  <c r="K15" i="2"/>
  <c r="A47" i="82"/>
  <c r="A48" i="82"/>
  <c r="A32" i="4"/>
  <c r="K11" i="2"/>
  <c r="A109" i="82"/>
  <c r="A110" i="82"/>
  <c r="I16" i="114"/>
  <c r="A32" i="7"/>
  <c r="K17" i="2"/>
  <c r="A32" i="5"/>
  <c r="K13" i="2"/>
  <c r="A32" i="9"/>
  <c r="A33" i="9"/>
  <c r="A34" i="9"/>
  <c r="I110" i="82"/>
  <c r="G38" i="66"/>
  <c r="A25" i="24"/>
  <c r="A26" i="24"/>
  <c r="A27" i="24"/>
  <c r="A28" i="24"/>
  <c r="A29" i="24"/>
  <c r="A30" i="24"/>
  <c r="A31" i="24"/>
  <c r="A32" i="24"/>
  <c r="A33" i="24"/>
  <c r="A34" i="24"/>
  <c r="A24" i="11"/>
  <c r="A25" i="11"/>
  <c r="A26" i="11"/>
  <c r="A27" i="11"/>
  <c r="A28" i="11"/>
  <c r="A29" i="11"/>
  <c r="A30" i="11"/>
  <c r="A31" i="11"/>
  <c r="A32" i="11"/>
  <c r="A33" i="11"/>
  <c r="A24" i="10"/>
  <c r="A25" i="10"/>
  <c r="A26" i="10"/>
  <c r="A27" i="10"/>
  <c r="A28" i="10"/>
  <c r="A29" i="10"/>
  <c r="A30" i="10"/>
  <c r="A31" i="10"/>
  <c r="A32" i="10"/>
  <c r="A33" i="10"/>
  <c r="L35" i="10"/>
  <c r="A48" i="40"/>
  <c r="A49" i="40"/>
  <c r="G49" i="40"/>
  <c r="G47" i="40"/>
  <c r="G22" i="113"/>
  <c r="L33" i="10"/>
  <c r="A35" i="9"/>
  <c r="A36" i="9"/>
  <c r="K21" i="2"/>
  <c r="G76" i="113"/>
  <c r="G19" i="111"/>
  <c r="L33" i="11"/>
  <c r="F36" i="9"/>
  <c r="E62" i="146"/>
  <c r="A49" i="82"/>
  <c r="A35" i="24"/>
  <c r="A36" i="24"/>
  <c r="L36" i="24"/>
  <c r="L34" i="24"/>
  <c r="A34" i="11"/>
  <c r="A35" i="11"/>
  <c r="L35" i="11"/>
  <c r="A34" i="10"/>
  <c r="A35" i="10"/>
  <c r="A50" i="40"/>
  <c r="A51" i="40"/>
  <c r="A52" i="40"/>
  <c r="I23" i="69"/>
  <c r="G55" i="113"/>
  <c r="E63" i="146"/>
  <c r="G54" i="40"/>
  <c r="A50" i="82"/>
  <c r="I50" i="82"/>
  <c r="I52" i="82"/>
  <c r="C28" i="109"/>
  <c r="C31" i="109"/>
  <c r="E11" i="38"/>
  <c r="C19" i="146"/>
  <c r="G58" i="40"/>
  <c r="A53" i="40"/>
  <c r="A54" i="40"/>
  <c r="A55" i="40"/>
  <c r="E64" i="146"/>
  <c r="G55" i="40"/>
  <c r="K43" i="2"/>
  <c r="I108" i="82"/>
  <c r="A51" i="82"/>
  <c r="A52" i="82"/>
  <c r="A53" i="82"/>
  <c r="A54" i="82"/>
  <c r="A55" i="82"/>
  <c r="A56" i="40"/>
  <c r="A57" i="40"/>
  <c r="A58" i="40"/>
  <c r="A59" i="40"/>
  <c r="A60" i="40"/>
  <c r="A61" i="40"/>
  <c r="A62" i="40"/>
  <c r="A63" i="40"/>
  <c r="A64" i="40"/>
  <c r="A65" i="40"/>
  <c r="A66" i="40"/>
  <c r="G56" i="40"/>
  <c r="A67" i="40"/>
  <c r="A68" i="40"/>
  <c r="G68" i="40"/>
  <c r="A56" i="82"/>
  <c r="I13" i="69"/>
  <c r="K45" i="2"/>
  <c r="I85" i="82"/>
  <c r="G66" i="40"/>
  <c r="G25" i="66"/>
  <c r="G48" i="40"/>
  <c r="A57" i="82"/>
  <c r="A58" i="82"/>
  <c r="A59" i="82"/>
  <c r="A60" i="82"/>
  <c r="A61" i="82"/>
  <c r="A62" i="82"/>
  <c r="I65" i="82"/>
  <c r="A63" i="82"/>
  <c r="I63" i="82"/>
  <c r="A64" i="82"/>
  <c r="A65" i="82"/>
  <c r="I130" i="82"/>
  <c r="I153" i="82"/>
  <c r="C27" i="71"/>
  <c r="C30" i="71"/>
  <c r="G17" i="69" s="1"/>
  <c r="B44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33" i="112"/>
  <c r="E34" i="112"/>
  <c r="E35" i="112"/>
  <c r="E36" i="112"/>
  <c r="E37" i="112"/>
  <c r="E38" i="112"/>
  <c r="E39" i="112"/>
  <c r="E40" i="112"/>
  <c r="E41" i="112"/>
  <c r="E42" i="112"/>
  <c r="E43" i="112"/>
  <c r="E44" i="112"/>
  <c r="E45" i="112"/>
  <c r="E46" i="112"/>
  <c r="E47" i="112"/>
  <c r="E48" i="112"/>
  <c r="E49" i="112"/>
  <c r="E50" i="112"/>
  <c r="E51" i="112"/>
  <c r="E52" i="112"/>
  <c r="E53" i="112"/>
  <c r="E45" i="150"/>
  <c r="E44" i="150"/>
  <c r="E43" i="150"/>
  <c r="E42" i="150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D48" i="112"/>
  <c r="D52" i="112"/>
  <c r="G36" i="114"/>
  <c r="G38" i="114"/>
  <c r="G40" i="114"/>
  <c r="E34" i="66"/>
  <c r="C15" i="135"/>
  <c r="D15" i="135"/>
  <c r="E15" i="135"/>
  <c r="G14" i="114"/>
  <c r="A15" i="84"/>
  <c r="A16" i="84" s="1"/>
  <c r="A17" i="84" s="1"/>
  <c r="A18" i="84" s="1"/>
  <c r="C21" i="146"/>
  <c r="C29" i="70"/>
  <c r="C32" i="70"/>
  <c r="G11" i="69" s="1"/>
  <c r="D16" i="159"/>
  <c r="E16" i="159"/>
  <c r="A12" i="153"/>
  <c r="E12" i="153" s="1"/>
  <c r="F12" i="42"/>
  <c r="A16" i="34"/>
  <c r="A17" i="34"/>
  <c r="K17" i="34"/>
  <c r="I16" i="165"/>
  <c r="I16" i="167"/>
  <c r="G27" i="82"/>
  <c r="E47" i="82" s="1"/>
  <c r="C47" i="82"/>
  <c r="C30" i="84"/>
  <c r="A18" i="34"/>
  <c r="A19" i="34"/>
  <c r="A20" i="34"/>
  <c r="A21" i="34"/>
  <c r="E24" i="146"/>
  <c r="A22" i="34"/>
  <c r="A23" i="34"/>
  <c r="E25" i="146"/>
  <c r="I87" i="82" l="1"/>
  <c r="C61" i="146"/>
  <c r="I35" i="2"/>
  <c r="E52" i="40" s="1"/>
  <c r="E58" i="40" s="1"/>
  <c r="E35" i="11"/>
  <c r="E64" i="40"/>
  <c r="I31" i="2"/>
  <c r="A13" i="153"/>
  <c r="D43" i="41"/>
  <c r="D47" i="41" s="1"/>
  <c r="E15" i="40" s="1"/>
  <c r="F16" i="42"/>
  <c r="F26" i="42" s="1"/>
  <c r="F30" i="42" s="1"/>
  <c r="E47" i="42"/>
  <c r="E14" i="75"/>
  <c r="E17" i="75" s="1"/>
  <c r="E21" i="75" s="1"/>
  <c r="G86" i="82" s="1"/>
  <c r="E13" i="34"/>
  <c r="I15" i="34"/>
  <c r="E17" i="34"/>
  <c r="I13" i="34"/>
  <c r="G17" i="34"/>
  <c r="I11" i="34"/>
  <c r="K34" i="24"/>
  <c r="K36" i="24" s="1"/>
  <c r="K36" i="152"/>
  <c r="D22" i="27"/>
  <c r="E28" i="136"/>
  <c r="E31" i="136" s="1"/>
  <c r="E34" i="23" s="1"/>
  <c r="E36" i="23" s="1"/>
  <c r="I11" i="22" s="1"/>
  <c r="C68" i="146" s="1"/>
  <c r="D20" i="158"/>
  <c r="D19" i="158"/>
  <c r="D26" i="158"/>
  <c r="D22" i="158"/>
  <c r="D27" i="158"/>
  <c r="D25" i="158"/>
  <c r="D21" i="158"/>
  <c r="D24" i="158"/>
  <c r="D18" i="158"/>
  <c r="G17" i="157"/>
  <c r="H17" i="157" s="1"/>
  <c r="D23" i="158"/>
  <c r="B119" i="82"/>
  <c r="B74" i="82"/>
  <c r="C26" i="157"/>
  <c r="B5" i="45"/>
  <c r="E9" i="34"/>
  <c r="B5" i="46"/>
  <c r="C25" i="156"/>
  <c r="C24" i="157"/>
  <c r="B4" i="146"/>
  <c r="B53" i="146" s="1"/>
  <c r="C22" i="156"/>
  <c r="C23" i="156"/>
  <c r="C28" i="157"/>
  <c r="G9" i="34"/>
  <c r="B5" i="114"/>
  <c r="B5" i="69"/>
  <c r="B4" i="162"/>
  <c r="C30" i="156"/>
  <c r="C26" i="156"/>
  <c r="C25" i="157"/>
  <c r="B5" i="66"/>
  <c r="B5" i="2"/>
  <c r="B5" i="75"/>
  <c r="B5" i="34"/>
  <c r="C20" i="157"/>
  <c r="C20" i="156"/>
  <c r="B5" i="113"/>
  <c r="B41" i="113" s="1"/>
  <c r="B5" i="22"/>
  <c r="B5" i="38"/>
  <c r="G24" i="156"/>
  <c r="G23" i="156"/>
  <c r="G25" i="156"/>
  <c r="G26" i="156"/>
  <c r="G27" i="156"/>
  <c r="G22" i="156"/>
  <c r="G31" i="156"/>
  <c r="G28" i="156"/>
  <c r="G21" i="156"/>
  <c r="G29" i="156"/>
  <c r="G20" i="156"/>
  <c r="G30" i="156"/>
  <c r="F22" i="156"/>
  <c r="F25" i="156"/>
  <c r="F21" i="156"/>
  <c r="F29" i="156"/>
  <c r="F23" i="156"/>
  <c r="F26" i="156"/>
  <c r="F30" i="156"/>
  <c r="F27" i="156"/>
  <c r="F24" i="156"/>
  <c r="F20" i="156"/>
  <c r="F31" i="156" s="1"/>
  <c r="F28" i="156"/>
  <c r="C52" i="169"/>
  <c r="E19" i="156"/>
  <c r="E43" i="40"/>
  <c r="E45" i="40" s="1"/>
  <c r="E26" i="42"/>
  <c r="E30" i="42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E22" i="41"/>
  <c r="F22" i="41" s="1"/>
  <c r="E23" i="40"/>
  <c r="E25" i="40"/>
  <c r="E27" i="40" s="1"/>
  <c r="E22" i="69" s="1"/>
  <c r="F36" i="41"/>
  <c r="G27" i="41"/>
  <c r="A26" i="41"/>
  <c r="A27" i="41" s="1"/>
  <c r="E20" i="41"/>
  <c r="E37" i="41"/>
  <c r="F37" i="41" s="1"/>
  <c r="E67" i="41"/>
  <c r="E59" i="150"/>
  <c r="G13" i="45"/>
  <c r="C50" i="82"/>
  <c r="D49" i="82" s="1"/>
  <c r="G49" i="82" s="1"/>
  <c r="C75" i="146" l="1"/>
  <c r="C12" i="146" s="1"/>
  <c r="E66" i="40"/>
  <c r="E13" i="153"/>
  <c r="A14" i="153"/>
  <c r="I17" i="34"/>
  <c r="C24" i="146" s="1"/>
  <c r="C26" i="146" s="1"/>
  <c r="F18" i="157"/>
  <c r="G18" i="157"/>
  <c r="E29" i="156"/>
  <c r="H29" i="156" s="1"/>
  <c r="E22" i="156"/>
  <c r="H22" i="156" s="1"/>
  <c r="E26" i="156"/>
  <c r="H26" i="156" s="1"/>
  <c r="E20" i="156"/>
  <c r="H20" i="156" s="1"/>
  <c r="E21" i="156"/>
  <c r="H21" i="156" s="1"/>
  <c r="H19" i="156"/>
  <c r="E28" i="156"/>
  <c r="H28" i="156" s="1"/>
  <c r="E24" i="156"/>
  <c r="H24" i="156" s="1"/>
  <c r="E27" i="156"/>
  <c r="H27" i="156" s="1"/>
  <c r="E23" i="156"/>
  <c r="H23" i="156" s="1"/>
  <c r="E25" i="156"/>
  <c r="H25" i="156" s="1"/>
  <c r="E30" i="156"/>
  <c r="H30" i="156" s="1"/>
  <c r="G26" i="42"/>
  <c r="A25" i="42"/>
  <c r="A26" i="42" s="1"/>
  <c r="E50" i="113"/>
  <c r="A28" i="41"/>
  <c r="A29" i="41" s="1"/>
  <c r="A30" i="41" s="1"/>
  <c r="E27" i="41"/>
  <c r="F20" i="41"/>
  <c r="F27" i="41" s="1"/>
  <c r="F41" i="41"/>
  <c r="E41" i="41"/>
  <c r="E15" i="45"/>
  <c r="E25" i="45" s="1"/>
  <c r="E27" i="45" s="1"/>
  <c r="D48" i="82"/>
  <c r="G48" i="82" s="1"/>
  <c r="G52" i="82" s="1"/>
  <c r="G85" i="82" s="1"/>
  <c r="G97" i="82" s="1"/>
  <c r="D47" i="82"/>
  <c r="E14" i="153" l="1"/>
  <c r="A15" i="153"/>
  <c r="H18" i="157"/>
  <c r="E31" i="156"/>
  <c r="H31" i="156"/>
  <c r="A27" i="42"/>
  <c r="A28" i="42" s="1"/>
  <c r="A29" i="42" s="1"/>
  <c r="A30" i="42" s="1"/>
  <c r="F43" i="41"/>
  <c r="F47" i="41" s="1"/>
  <c r="E43" i="41"/>
  <c r="E47" i="41" s="1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I19" i="22"/>
  <c r="I33" i="2"/>
  <c r="E36" i="66"/>
  <c r="E38" i="66" s="1"/>
  <c r="E65" i="113" s="1"/>
  <c r="E19" i="46"/>
  <c r="E46" i="40"/>
  <c r="E47" i="40" s="1"/>
  <c r="D50" i="82"/>
  <c r="G47" i="82"/>
  <c r="G50" i="82" s="1"/>
  <c r="G108" i="82" s="1"/>
  <c r="A16" i="153" l="1"/>
  <c r="E15" i="153"/>
  <c r="F19" i="157"/>
  <c r="G19" i="157"/>
  <c r="G30" i="42"/>
  <c r="G30" i="40"/>
  <c r="A31" i="42"/>
  <c r="A32" i="42" s="1"/>
  <c r="A33" i="42" s="1"/>
  <c r="A42" i="41"/>
  <c r="A43" i="41" s="1"/>
  <c r="G43" i="41"/>
  <c r="G41" i="41"/>
  <c r="E21" i="46"/>
  <c r="E23" i="46"/>
  <c r="E25" i="46"/>
  <c r="I41" i="2"/>
  <c r="I37" i="2"/>
  <c r="I39" i="2"/>
  <c r="I21" i="22"/>
  <c r="I23" i="22"/>
  <c r="C70" i="146" s="1"/>
  <c r="I25" i="22"/>
  <c r="C71" i="146" s="1"/>
  <c r="A17" i="153" l="1"/>
  <c r="E16" i="153"/>
  <c r="H19" i="157"/>
  <c r="A44" i="41"/>
  <c r="A45" i="41" s="1"/>
  <c r="A46" i="41" s="1"/>
  <c r="A47" i="41" s="1"/>
  <c r="I27" i="22"/>
  <c r="C69" i="146"/>
  <c r="C72" i="146" s="1"/>
  <c r="E54" i="40"/>
  <c r="C63" i="146"/>
  <c r="C77" i="146" s="1"/>
  <c r="C14" i="146" s="1"/>
  <c r="E83" i="113" s="1"/>
  <c r="I43" i="2"/>
  <c r="I45" i="2" s="1"/>
  <c r="G13" i="69" s="1"/>
  <c r="C62" i="146"/>
  <c r="C64" i="146"/>
  <c r="C78" i="146" s="1"/>
  <c r="C15" i="146" s="1"/>
  <c r="E85" i="113" s="1"/>
  <c r="E55" i="40"/>
  <c r="E27" i="46"/>
  <c r="E93" i="113" s="1"/>
  <c r="E17" i="153" l="1"/>
  <c r="A18" i="153"/>
  <c r="F20" i="157"/>
  <c r="G47" i="41"/>
  <c r="A48" i="41"/>
  <c r="A49" i="41" s="1"/>
  <c r="A50" i="41" s="1"/>
  <c r="A51" i="41" s="1"/>
  <c r="A52" i="41" s="1"/>
  <c r="G15" i="40"/>
  <c r="C65" i="146"/>
  <c r="C76" i="146"/>
  <c r="G15" i="69"/>
  <c r="G19" i="69"/>
  <c r="E87" i="113"/>
  <c r="E56" i="40"/>
  <c r="E68" i="40" s="1"/>
  <c r="E18" i="153" l="1"/>
  <c r="G20" i="157"/>
  <c r="H20" i="157" s="1"/>
  <c r="A53" i="41"/>
  <c r="G17" i="40"/>
  <c r="E72" i="113"/>
  <c r="C30" i="146"/>
  <c r="C29" i="146"/>
  <c r="E71" i="113"/>
  <c r="E48" i="40"/>
  <c r="E49" i="40" s="1"/>
  <c r="E25" i="66"/>
  <c r="E27" i="66" s="1"/>
  <c r="E60" i="113" s="1"/>
  <c r="C79" i="146"/>
  <c r="C13" i="146"/>
  <c r="C16" i="146" s="1"/>
  <c r="E47" i="113" s="1"/>
  <c r="F21" i="157" l="1"/>
  <c r="A54" i="41"/>
  <c r="G18" i="40"/>
  <c r="E62" i="113"/>
  <c r="E16" i="113" s="1"/>
  <c r="E52" i="113"/>
  <c r="E12" i="113" s="1"/>
  <c r="E67" i="113"/>
  <c r="E18" i="113" s="1"/>
  <c r="E23" i="69"/>
  <c r="E25" i="69" s="1"/>
  <c r="E29" i="69" s="1"/>
  <c r="E55" i="113"/>
  <c r="E57" i="113" s="1"/>
  <c r="E14" i="113" s="1"/>
  <c r="G21" i="157" l="1"/>
  <c r="H21" i="157" s="1"/>
  <c r="A55" i="41"/>
  <c r="G19" i="40"/>
  <c r="C31" i="146"/>
  <c r="C32" i="146" s="1"/>
  <c r="C36" i="146" s="1"/>
  <c r="G88" i="82" s="1"/>
  <c r="E73" i="113"/>
  <c r="E74" i="113" s="1"/>
  <c r="F22" i="157" l="1"/>
  <c r="A56" i="41"/>
  <c r="G20" i="40"/>
  <c r="G99" i="82"/>
  <c r="G91" i="82"/>
  <c r="G100" i="82" s="1"/>
  <c r="G22" i="157" l="1"/>
  <c r="H22" i="157" s="1"/>
  <c r="G21" i="40"/>
  <c r="A57" i="41"/>
  <c r="A58" i="41" s="1"/>
  <c r="A59" i="41" s="1"/>
  <c r="A60" i="41" s="1"/>
  <c r="A61" i="41" s="1"/>
  <c r="A62" i="41" s="1"/>
  <c r="G103" i="82"/>
  <c r="G106" i="82" s="1"/>
  <c r="G110" i="82" s="1"/>
  <c r="G22" i="40" l="1"/>
  <c r="F23" i="157"/>
  <c r="G23" i="157"/>
  <c r="G16" i="114"/>
  <c r="G18" i="114" s="1"/>
  <c r="G42" i="114" s="1"/>
  <c r="C15" i="112" s="1"/>
  <c r="C38" i="112" s="1"/>
  <c r="E19" i="111"/>
  <c r="E21" i="111" s="1"/>
  <c r="E23" i="111" s="1"/>
  <c r="E25" i="111" s="1"/>
  <c r="E27" i="111" s="1"/>
  <c r="C11" i="112" s="1"/>
  <c r="E76" i="113"/>
  <c r="H23" i="157" l="1"/>
  <c r="G23" i="40"/>
  <c r="C34" i="112"/>
  <c r="E89" i="113"/>
  <c r="E91" i="113" s="1"/>
  <c r="E95" i="113" s="1"/>
  <c r="E97" i="113" s="1"/>
  <c r="E22" i="113" s="1"/>
  <c r="E78" i="113"/>
  <c r="E80" i="113" s="1"/>
  <c r="E20" i="113" s="1"/>
  <c r="F24" i="157" l="1"/>
  <c r="G24" i="40"/>
  <c r="E24" i="113"/>
  <c r="E26" i="113" s="1"/>
  <c r="E28" i="113" s="1"/>
  <c r="E33" i="113" s="1"/>
  <c r="E35" i="113" s="1"/>
  <c r="C13" i="112" s="1"/>
  <c r="G24" i="157" l="1"/>
  <c r="H24" i="157" s="1"/>
  <c r="G25" i="40"/>
  <c r="C36" i="112"/>
  <c r="C40" i="112" s="1"/>
  <c r="C17" i="112"/>
  <c r="F25" i="157" l="1"/>
  <c r="D19" i="156"/>
  <c r="D29" i="156" s="1"/>
  <c r="I29" i="156" s="1"/>
  <c r="G25" i="157" l="1"/>
  <c r="H25" i="157" s="1"/>
  <c r="D28" i="156"/>
  <c r="I28" i="156" s="1"/>
  <c r="I19" i="156"/>
  <c r="K19" i="156" s="1"/>
  <c r="D22" i="156"/>
  <c r="I22" i="156" s="1"/>
  <c r="D21" i="156"/>
  <c r="I21" i="156" s="1"/>
  <c r="D20" i="156"/>
  <c r="I20" i="156" s="1"/>
  <c r="D27" i="156"/>
  <c r="I27" i="156" s="1"/>
  <c r="D25" i="156"/>
  <c r="I25" i="156" s="1"/>
  <c r="D23" i="156"/>
  <c r="I23" i="156" s="1"/>
  <c r="D26" i="156"/>
  <c r="I26" i="156" s="1"/>
  <c r="D24" i="156"/>
  <c r="I24" i="156" s="1"/>
  <c r="D30" i="156"/>
  <c r="I30" i="156" s="1"/>
  <c r="F26" i="157" l="1"/>
  <c r="G26" i="157"/>
  <c r="I31" i="156"/>
  <c r="L19" i="156"/>
  <c r="M19" i="156" s="1"/>
  <c r="K20" i="156" s="1"/>
  <c r="L20" i="156" s="1"/>
  <c r="M20" i="156" s="1"/>
  <c r="D31" i="156"/>
  <c r="H26" i="157" l="1"/>
  <c r="K21" i="156"/>
  <c r="L21" i="156" s="1"/>
  <c r="F27" i="157" l="1"/>
  <c r="M21" i="156"/>
  <c r="K22" i="156" s="1"/>
  <c r="G27" i="157" l="1"/>
  <c r="H27" i="157" s="1"/>
  <c r="L22" i="156"/>
  <c r="M22" i="156" s="1"/>
  <c r="F28" i="157" l="1"/>
  <c r="G28" i="157" s="1"/>
  <c r="G29" i="157" s="1"/>
  <c r="H29" i="158" s="1"/>
  <c r="K23" i="156"/>
  <c r="L23" i="156" s="1"/>
  <c r="M23" i="156" s="1"/>
  <c r="K24" i="156" s="1"/>
  <c r="H28" i="157" l="1"/>
  <c r="E17" i="158" s="1"/>
  <c r="L24" i="156"/>
  <c r="M24" i="156" s="1"/>
  <c r="K25" i="156" s="1"/>
  <c r="F27" i="158" l="1"/>
  <c r="F23" i="158"/>
  <c r="F19" i="158"/>
  <c r="F28" i="158"/>
  <c r="F21" i="158"/>
  <c r="F20" i="158"/>
  <c r="F25" i="158"/>
  <c r="F18" i="158"/>
  <c r="F24" i="158"/>
  <c r="F17" i="158"/>
  <c r="F26" i="158"/>
  <c r="F22" i="158"/>
  <c r="H17" i="158"/>
  <c r="L25" i="156"/>
  <c r="M25" i="156" s="1"/>
  <c r="K26" i="156" s="1"/>
  <c r="L26" i="156" s="1"/>
  <c r="G17" i="158" l="1"/>
  <c r="I17" i="158" s="1"/>
  <c r="E18" i="158" s="1"/>
  <c r="M26" i="156"/>
  <c r="H18" i="158" l="1"/>
  <c r="K27" i="156"/>
  <c r="G18" i="158" l="1"/>
  <c r="I18" i="158" s="1"/>
  <c r="E19" i="158" s="1"/>
  <c r="L27" i="156"/>
  <c r="M27" i="156" s="1"/>
  <c r="H19" i="158" l="1"/>
  <c r="K28" i="156"/>
  <c r="L28" i="156" s="1"/>
  <c r="G19" i="158" l="1"/>
  <c r="I19" i="158" s="1"/>
  <c r="E20" i="158" s="1"/>
  <c r="M28" i="156"/>
  <c r="H20" i="158" l="1"/>
  <c r="K29" i="156"/>
  <c r="L29" i="156" s="1"/>
  <c r="G20" i="158" l="1"/>
  <c r="I20" i="158" s="1"/>
  <c r="E21" i="158" s="1"/>
  <c r="M29" i="156"/>
  <c r="H21" i="158" l="1"/>
  <c r="G21" i="158" s="1"/>
  <c r="I21" i="158" s="1"/>
  <c r="E22" i="158" s="1"/>
  <c r="K30" i="156"/>
  <c r="L30" i="156" s="1"/>
  <c r="L31" i="156" s="1"/>
  <c r="H22" i="158" l="1"/>
  <c r="G22" i="158" s="1"/>
  <c r="I22" i="158"/>
  <c r="E23" i="158" s="1"/>
  <c r="M30" i="156"/>
  <c r="C19" i="112" s="1"/>
  <c r="H23" i="158" l="1"/>
  <c r="G23" i="158" s="1"/>
  <c r="I23" i="158" s="1"/>
  <c r="E24" i="158" s="1"/>
  <c r="C42" i="112"/>
  <c r="H24" i="158" l="1"/>
  <c r="G24" i="158" s="1"/>
  <c r="I24" i="158" s="1"/>
  <c r="E25" i="158" s="1"/>
  <c r="H25" i="158" l="1"/>
  <c r="G25" i="158" s="1"/>
  <c r="I25" i="158" s="1"/>
  <c r="E26" i="158" s="1"/>
  <c r="H26" i="158" l="1"/>
  <c r="G26" i="158" s="1"/>
  <c r="I26" i="158" s="1"/>
  <c r="E27" i="158" s="1"/>
  <c r="H27" i="158" l="1"/>
  <c r="G27" i="158" s="1"/>
  <c r="I27" i="158"/>
  <c r="E28" i="158" s="1"/>
  <c r="H28" i="158" l="1"/>
  <c r="G12" i="40" l="1"/>
  <c r="G28" i="158"/>
  <c r="I28" i="158" s="1"/>
  <c r="H30" i="158"/>
  <c r="C21" i="112" s="1"/>
  <c r="C44" i="112" l="1"/>
  <c r="C48" i="112" s="1"/>
  <c r="C52" i="112" s="1"/>
  <c r="C23" i="112"/>
  <c r="C27" i="112" s="1"/>
</calcChain>
</file>

<file path=xl/sharedStrings.xml><?xml version="1.0" encoding="utf-8"?>
<sst xmlns="http://schemas.openxmlformats.org/spreadsheetml/2006/main" count="2494" uniqueCount="1046">
  <si>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</si>
  <si>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</si>
  <si>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</si>
  <si>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</si>
  <si>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</si>
  <si>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</si>
  <si>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</si>
  <si>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</si>
  <si>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</si>
  <si>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</si>
  <si>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</si>
  <si>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</si>
  <si>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</si>
  <si>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</si>
  <si>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</si>
  <si>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</si>
  <si>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</si>
  <si>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</si>
  <si>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</si>
  <si>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</si>
  <si>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</si>
  <si>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</si>
  <si>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</si>
  <si>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</si>
  <si>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</si>
  <si>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</si>
  <si>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</si>
  <si>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</si>
  <si>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</si>
  <si>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</si>
  <si>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</si>
  <si>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</si>
  <si>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</si>
  <si>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</si>
  <si>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</si>
  <si>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</si>
  <si>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</si>
  <si>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</si>
  <si>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</si>
  <si>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</si>
  <si>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</si>
  <si>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</si>
  <si>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</si>
  <si>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</si>
  <si>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</si>
  <si>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</si>
  <si>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</si>
  <si>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</si>
  <si>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</si>
  <si>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</si>
  <si>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</si>
  <si>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</si>
  <si>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</si>
  <si>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</si>
  <si>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</si>
  <si>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</si>
  <si>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</si>
  <si>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</si>
  <si>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</si>
  <si>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</si>
  <si>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</si>
  <si>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</si>
  <si>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</si>
  <si>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</si>
  <si>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</si>
  <si>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</si>
  <si>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</si>
  <si>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</si>
  <si>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</si>
  <si>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</si>
  <si>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</si>
  <si>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</si>
  <si>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</si>
  <si>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</si>
  <si>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</si>
  <si>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</si>
  <si>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</si>
  <si>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</si>
  <si>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</si>
  <si>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</si>
  <si>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</si>
  <si>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</si>
  <si>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</si>
  <si>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</si>
  <si>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</si>
  <si>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</si>
  <si>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</si>
  <si>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</si>
  <si>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</si>
  <si>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</si>
  <si>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</si>
  <si>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</si>
  <si>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</si>
  <si>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</si>
  <si>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</si>
  <si>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</si>
  <si>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</si>
  <si>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</si>
  <si>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</si>
  <si>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</si>
  <si>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</si>
  <si>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</si>
  <si>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</si>
  <si>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</si>
  <si>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</si>
  <si>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</si>
  <si>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</si>
  <si>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</si>
  <si>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</si>
  <si>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</si>
  <si>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</si>
  <si>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</si>
  <si>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</si>
  <si>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</si>
  <si>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</si>
  <si>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</si>
  <si>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</si>
  <si>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</si>
  <si>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</si>
  <si>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</si>
  <si>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</si>
  <si>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</si>
  <si>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</si>
  <si>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</si>
  <si>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</si>
  <si>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</si>
  <si>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</si>
  <si>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</si>
  <si>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</si>
  <si>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</si>
  <si>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</si>
  <si>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</si>
  <si>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</si>
  <si>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</si>
  <si>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</si>
  <si>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</si>
  <si>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</si>
  <si>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</si>
  <si>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</si>
  <si>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</si>
  <si>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</si>
  <si>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</si>
  <si>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</si>
  <si>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</si>
  <si>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</si>
  <si>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</si>
  <si>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</si>
  <si>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</si>
  <si>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</si>
  <si>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</si>
  <si>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</si>
  <si>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</si>
  <si>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</si>
  <si>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</si>
  <si>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</si>
  <si>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</si>
  <si>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</si>
  <si>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</si>
  <si>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</si>
  <si>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</si>
  <si>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</si>
  <si>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</si>
  <si>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</si>
  <si>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</si>
  <si>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</si>
  <si>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</si>
  <si>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</si>
  <si>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</si>
  <si>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</si>
  <si>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</si>
  <si>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</si>
  <si>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</si>
  <si>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</si>
  <si>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</si>
  <si>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</si>
  <si>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</si>
  <si>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</si>
  <si>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</si>
  <si>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</si>
  <si>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</si>
  <si>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</si>
  <si>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</si>
  <si>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</si>
  <si>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</si>
  <si>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</si>
  <si>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</si>
  <si>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</si>
  <si>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</si>
  <si>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</si>
  <si>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</si>
  <si>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</si>
  <si>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</si>
  <si>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</si>
  <si>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</si>
  <si>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</si>
  <si>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</si>
  <si>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</si>
  <si>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</si>
  <si>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</si>
  <si>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</si>
  <si>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</si>
  <si>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</si>
  <si>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</si>
  <si>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</si>
  <si>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</si>
  <si>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</si>
  <si>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</si>
  <si>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</si>
  <si>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</si>
  <si>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</si>
  <si>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</si>
  <si>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</si>
  <si>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</si>
  <si>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</si>
  <si>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</si>
  <si>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</si>
  <si>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</si>
  <si>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</si>
  <si>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</si>
  <si>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</si>
  <si>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</si>
  <si>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</si>
  <si>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</si>
  <si>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</si>
  <si>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</si>
  <si>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</si>
  <si>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</si>
  <si>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</si>
  <si>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</si>
  <si>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</si>
  <si>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</si>
  <si>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</si>
  <si>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</si>
  <si>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</si>
  <si>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</si>
  <si>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</si>
  <si>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</si>
  <si>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</si>
  <si>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</si>
  <si>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</si>
  <si>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</si>
  <si>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</si>
  <si>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</si>
  <si>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</si>
  <si>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</si>
  <si>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</si>
  <si>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</si>
  <si>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</si>
  <si>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</si>
  <si>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</si>
  <si>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</si>
  <si>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</si>
  <si>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</si>
  <si>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</si>
  <si>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</si>
  <si>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</si>
  <si>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</si>
  <si>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</si>
  <si>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</si>
  <si>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</si>
  <si>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</si>
  <si>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</si>
  <si>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</si>
  <si>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</si>
  <si>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</si>
  <si>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</si>
  <si>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</si>
  <si>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</si>
  <si>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</si>
  <si>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</si>
  <si>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</si>
  <si>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</si>
  <si>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</si>
  <si>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</si>
  <si>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</si>
  <si>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</si>
  <si>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</si>
  <si>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</si>
  <si>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</si>
  <si>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</si>
  <si>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</si>
  <si>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</si>
  <si>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</si>
  <si>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</si>
  <si>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</si>
  <si>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</si>
  <si>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</si>
  <si>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</si>
  <si>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</si>
  <si>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</si>
  <si>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</si>
  <si>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</si>
  <si>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</si>
  <si>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</si>
  <si>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</si>
  <si>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</si>
  <si>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</si>
  <si>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</si>
  <si>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</si>
  <si>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</si>
  <si>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</si>
  <si>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</si>
  <si>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</si>
  <si>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</si>
  <si>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</si>
  <si>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</si>
  <si>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</si>
  <si>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</si>
  <si>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</si>
  <si>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</si>
  <si>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</si>
  <si>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</si>
  <si>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</si>
  <si>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</si>
  <si>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</si>
  <si>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</si>
  <si>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</si>
  <si>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</si>
  <si>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</si>
  <si>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</si>
  <si>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</si>
  <si>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</si>
  <si>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</si>
  <si>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</si>
  <si>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</si>
  <si>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</si>
  <si>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</si>
  <si>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</si>
  <si>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</si>
  <si>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</si>
  <si>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</si>
  <si>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</si>
  <si>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</si>
  <si>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</si>
  <si>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</si>
  <si>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</si>
  <si>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</si>
  <si>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</si>
  <si>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</si>
  <si>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</si>
  <si>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</si>
  <si>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</si>
  <si>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</si>
  <si>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</si>
  <si>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</si>
  <si>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</si>
  <si>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</si>
  <si>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</si>
  <si>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</si>
  <si>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</si>
  <si>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</si>
  <si>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</si>
  <si>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</si>
  <si>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</si>
  <si>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</si>
  <si>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</si>
  <si>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</si>
  <si>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</si>
  <si>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</si>
  <si>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</si>
  <si>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</si>
  <si>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</si>
  <si>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</si>
  <si>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</si>
  <si>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</si>
  <si>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</si>
  <si>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</si>
  <si>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</si>
  <si>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</si>
  <si>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</si>
  <si>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</si>
  <si>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</si>
  <si>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</si>
  <si>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</si>
  <si>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</si>
  <si>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</si>
  <si>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</si>
  <si>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</si>
  <si>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</si>
  <si>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</si>
  <si>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</si>
  <si>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</si>
  <si>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</si>
  <si>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</si>
  <si>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</si>
  <si>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</si>
  <si>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</si>
  <si>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</si>
  <si>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</si>
  <si>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</si>
  <si>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</si>
  <si>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</si>
  <si>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</si>
  <si>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</si>
  <si>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</si>
  <si>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</si>
  <si>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</si>
  <si>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</si>
  <si>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</si>
  <si>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</si>
  <si>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</si>
  <si>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</si>
  <si>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</si>
  <si>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</si>
  <si>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</si>
  <si>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</si>
  <si>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</si>
  <si>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</si>
  <si>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</si>
  <si>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</si>
  <si>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</si>
  <si>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</si>
  <si>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</si>
  <si>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</si>
  <si>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</si>
  <si>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</si>
  <si>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</si>
  <si>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</si>
  <si>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</si>
  <si>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</si>
  <si>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</si>
  <si>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</si>
  <si>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</si>
  <si>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</si>
  <si>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</si>
  <si>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</si>
  <si>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</si>
  <si>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</si>
  <si>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</si>
  <si>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</si>
  <si>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</si>
  <si>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</si>
  <si>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</si>
  <si>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</si>
  <si>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</si>
  <si>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</si>
  <si>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</si>
  <si>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</si>
  <si>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</si>
  <si>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</si>
  <si>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</si>
  <si>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</si>
  <si>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</si>
  <si>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</si>
  <si>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</si>
  <si>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</si>
  <si>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</si>
  <si>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</si>
  <si>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</si>
  <si>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</si>
  <si>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</si>
  <si>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</si>
  <si>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</si>
  <si>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</si>
  <si>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</si>
  <si>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</si>
  <si>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</si>
  <si>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</si>
  <si>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</si>
  <si>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</si>
  <si>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</si>
  <si>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</si>
  <si>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</si>
  <si>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</si>
  <si>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</si>
  <si>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</si>
  <si>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</si>
  <si>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</si>
  <si>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</si>
  <si>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</si>
  <si>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</si>
  <si>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</si>
  <si>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</si>
  <si>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</si>
  <si>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</si>
  <si>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</si>
  <si>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</si>
  <si>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</si>
  <si>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</si>
  <si>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</si>
  <si>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</si>
  <si>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</si>
  <si>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</si>
  <si>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</si>
  <si>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</si>
  <si>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</si>
  <si>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</si>
  <si>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</si>
  <si>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</si>
  <si>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</si>
  <si>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</si>
  <si>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</si>
  <si>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</si>
  <si>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</si>
  <si>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</si>
  <si>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</si>
  <si>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</si>
  <si>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</si>
  <si>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</si>
  <si>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</si>
  <si>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</si>
  <si>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</si>
  <si>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</si>
  <si>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</si>
  <si>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</si>
  <si>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</si>
  <si>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</si>
  <si>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</si>
  <si>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</si>
  <si>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</si>
  <si>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</si>
  <si>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</si>
  <si>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</si>
  <si>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</si>
  <si>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</si>
  <si>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</si>
  <si>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</si>
  <si>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</si>
  <si>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</si>
  <si>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</si>
  <si>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</si>
  <si>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</si>
  <si>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</si>
  <si>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</si>
  <si>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</si>
  <si>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</si>
  <si>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</si>
  <si>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</si>
  <si>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</si>
  <si>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</si>
  <si>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</si>
  <si>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</si>
  <si>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</si>
  <si>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</si>
  <si>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</si>
  <si>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</si>
  <si>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</si>
  <si>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</si>
  <si>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</si>
  <si>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</si>
  <si>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</si>
  <si>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</si>
  <si>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</si>
  <si>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</si>
  <si>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</si>
  <si>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</si>
  <si>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</si>
  <si>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</si>
  <si>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</si>
  <si>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</si>
  <si>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</si>
  <si>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</si>
  <si>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</si>
  <si>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</si>
  <si>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</si>
  <si>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</si>
  <si>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</si>
  <si>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</si>
  <si>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</si>
  <si>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</si>
  <si>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</si>
  <si>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</si>
  <si>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</si>
  <si>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</si>
  <si>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</si>
  <si>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</si>
  <si>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</si>
  <si>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</si>
  <si>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</si>
  <si>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</si>
  <si>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</si>
  <si>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</si>
  <si>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</si>
  <si>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</si>
  <si>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</si>
  <si>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</si>
  <si>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</si>
  <si>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</si>
  <si>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</si>
  <si>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</si>
  <si>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</si>
  <si>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</si>
  <si>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</si>
  <si>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</si>
  <si>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</si>
  <si>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</si>
  <si>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</si>
  <si>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</si>
  <si>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</si>
  <si>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</si>
  <si>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</si>
  <si>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</si>
  <si>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</si>
  <si>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</si>
  <si>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</si>
  <si>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</si>
  <si>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</si>
  <si>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</si>
  <si>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</si>
  <si>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</si>
  <si>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</si>
  <si>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</si>
  <si>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</si>
  <si>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</si>
  <si>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</si>
  <si>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</si>
  <si>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</si>
  <si>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</si>
  <si>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</si>
  <si>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</si>
  <si>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</si>
  <si>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</si>
  <si>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</si>
  <si>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</si>
  <si>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</si>
  <si>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</si>
  <si>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</si>
  <si>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</si>
  <si>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</si>
  <si>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</si>
  <si>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</si>
  <si>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</si>
  <si>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</si>
  <si>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</si>
  <si>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</si>
  <si>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</si>
  <si>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</si>
  <si>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</si>
  <si>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</si>
  <si>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</si>
  <si>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</si>
  <si>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</si>
  <si>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</si>
  <si>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</si>
  <si>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</si>
  <si>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</si>
  <si>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</si>
  <si>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</si>
  <si>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</si>
  <si>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</si>
  <si>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</si>
  <si>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</si>
  <si>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</si>
  <si>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</si>
  <si>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</si>
  <si>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</si>
  <si>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</si>
  <si>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</si>
  <si>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</si>
  <si>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</si>
  <si>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</si>
  <si>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</si>
  <si>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</si>
  <si>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</si>
  <si>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</si>
  <si>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</si>
  <si>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</si>
  <si>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</si>
  <si>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</si>
  <si>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</si>
  <si>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</si>
  <si>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</si>
  <si>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</si>
  <si>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</si>
  <si>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</si>
  <si>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</si>
  <si>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</si>
  <si>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</si>
  <si>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</si>
  <si>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</si>
  <si>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</si>
  <si>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</si>
  <si>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</si>
  <si>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</si>
  <si>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</si>
  <si>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</si>
  <si>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</si>
  <si>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</si>
  <si>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</si>
  <si>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</si>
  <si>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</si>
  <si>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</si>
  <si>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</si>
  <si>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</si>
  <si>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</si>
  <si>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</si>
  <si>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</si>
  <si>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</si>
  <si>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</si>
  <si>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</si>
  <si>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</si>
  <si>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</si>
  <si>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</si>
  <si>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</si>
  <si>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</si>
  <si>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</si>
  <si>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</si>
  <si>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</si>
  <si>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</si>
  <si>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</si>
  <si>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</si>
  <si>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</si>
  <si>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</si>
  <si>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</si>
  <si>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</si>
  <si>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</si>
  <si>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</si>
  <si>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</si>
  <si>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</si>
  <si>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</si>
  <si>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</si>
  <si>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</si>
  <si>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</si>
  <si>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</si>
  <si>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</si>
  <si>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</si>
  <si>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</si>
  <si>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</si>
  <si>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</si>
  <si>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</si>
  <si>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</si>
  <si>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</si>
  <si>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</si>
  <si>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</si>
  <si>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</si>
  <si>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</si>
  <si>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</si>
  <si>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</si>
  <si>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</si>
  <si>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</si>
  <si>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</si>
  <si>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</si>
  <si>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</si>
  <si>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</si>
  <si>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</si>
  <si>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</si>
  <si>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</si>
  <si>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</si>
  <si>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</si>
  <si>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</si>
  <si>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</si>
  <si>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</si>
  <si>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</si>
  <si>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</si>
  <si>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</si>
  <si>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</si>
  <si>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</si>
  <si>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</si>
  <si>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</si>
  <si>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</si>
  <si>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</si>
  <si>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</si>
  <si>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</si>
  <si>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</si>
  <si>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</si>
  <si>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</si>
  <si>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</si>
  <si>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</si>
  <si>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</si>
  <si>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</si>
  <si>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</si>
  <si>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</si>
  <si>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</si>
  <si>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</si>
  <si>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</si>
  <si>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</si>
  <si>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</si>
  <si>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</si>
  <si>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</si>
  <si>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</si>
  <si>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</si>
  <si>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</si>
  <si>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</si>
  <si>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</si>
  <si>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</si>
  <si>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</si>
  <si>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</si>
  <si>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</si>
  <si>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</si>
  <si>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</si>
  <si>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</si>
  <si>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</si>
  <si>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</si>
  <si>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</si>
  <si>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</si>
  <si>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</si>
  <si>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</si>
  <si>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</si>
  <si>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</si>
  <si>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</si>
  <si>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</si>
  <si>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</si>
  <si>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</si>
  <si>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</si>
  <si>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</si>
  <si>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</si>
  <si>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</si>
  <si>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</si>
  <si>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</si>
  <si>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</si>
  <si>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</si>
  <si>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</si>
  <si>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</si>
  <si>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</si>
  <si>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</si>
  <si>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</si>
  <si>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</si>
  <si>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</si>
  <si>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</si>
  <si>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</si>
  <si>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</si>
  <si>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</si>
  <si>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</si>
  <si>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</si>
  <si>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</si>
  <si>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</si>
  <si>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</si>
  <si>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</si>
  <si>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</si>
  <si>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</si>
  <si>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</si>
  <si>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</si>
  <si>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</si>
  <si>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</si>
  <si>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</si>
  <si>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</si>
  <si>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</si>
  <si>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</si>
  <si>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</si>
  <si>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</si>
  <si>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</si>
  <si>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</si>
  <si>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</si>
  <si>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</si>
  <si>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</si>
  <si>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MATL-GAS&amp;DIESEL FUEL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</si>
  <si>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</si>
  <si>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</si>
  <si>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</si>
  <si>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</si>
  <si>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</si>
  <si>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</si>
  <si>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</si>
  <si>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</si>
  <si>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</si>
  <si>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</si>
  <si>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</si>
  <si>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</si>
  <si>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</si>
  <si>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</si>
  <si>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</si>
  <si>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</si>
  <si>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</si>
  <si>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</si>
  <si>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</si>
  <si>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</si>
  <si>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</si>
  <si>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</si>
  <si>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</si>
  <si>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</si>
  <si>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</si>
  <si>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</si>
  <si>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</si>
  <si>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</si>
  <si>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</si>
  <si>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</si>
  <si>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</si>
  <si>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</si>
  <si>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</si>
  <si>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</si>
  <si>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</si>
  <si>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</si>
  <si>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</si>
  <si>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</si>
  <si>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</si>
  <si>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</si>
  <si>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 xml:space="preserve">General Plant Depreciation Expense </t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</si>
  <si>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</si>
  <si>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</si>
  <si>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</si>
  <si>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</si>
  <si>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</si>
  <si>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</si>
  <si>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</si>
  <si>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</si>
  <si>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</si>
  <si>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</si>
  <si>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</si>
  <si>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</si>
  <si>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</si>
  <si>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</si>
  <si>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</si>
  <si>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</si>
  <si>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</si>
  <si>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</si>
  <si>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</si>
  <si>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</si>
  <si>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</si>
  <si>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</si>
  <si>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</si>
  <si>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</si>
  <si>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</si>
  <si>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</si>
  <si>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</si>
  <si>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</si>
  <si>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</si>
  <si>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</si>
  <si>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</si>
  <si>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</si>
  <si>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</si>
  <si>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</si>
  <si>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</si>
  <si>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</si>
  <si>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</si>
  <si>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</si>
  <si>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</si>
  <si>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</si>
  <si>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</si>
  <si>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</si>
  <si>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</si>
  <si>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</si>
  <si>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</si>
  <si>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</si>
  <si>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</si>
  <si>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</si>
  <si>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</si>
  <si>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</si>
  <si>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</si>
  <si>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</si>
  <si>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</si>
  <si>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</si>
  <si>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</si>
  <si>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</si>
  <si>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</si>
  <si>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</si>
  <si>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</si>
  <si>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</si>
  <si>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</si>
  <si>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</si>
  <si>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</si>
  <si>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</si>
  <si>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</si>
  <si>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</si>
  <si>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</si>
  <si>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</si>
  <si>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</si>
  <si>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</si>
  <si>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</si>
  <si>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</si>
  <si>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</si>
  <si>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</si>
  <si>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</si>
  <si>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</si>
  <si>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</si>
  <si>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</si>
  <si>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</si>
  <si>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</si>
  <si>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</si>
  <si>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</si>
  <si>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</si>
  <si>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</si>
  <si>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</si>
  <si>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</si>
  <si>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</si>
  <si>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</si>
  <si>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</si>
  <si>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</si>
  <si>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</si>
  <si>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</si>
  <si>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</si>
  <si>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</si>
  <si>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</si>
  <si>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</si>
  <si>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</si>
  <si>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t>Union Contract Labor (CS)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</si>
  <si>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</si>
  <si>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</si>
  <si>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</si>
  <si>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</si>
  <si>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</si>
  <si>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</si>
  <si>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</si>
  <si>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</si>
  <si>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</si>
  <si>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</si>
  <si>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</si>
  <si>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t>CPUC reimbursement fees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</si>
  <si>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</si>
  <si>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</si>
  <si>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</si>
  <si>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</si>
  <si>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</si>
  <si>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</si>
  <si>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Duplicate Charges</t>
  </si>
  <si>
    <t>SAL-MGMT  S/T</t>
  </si>
  <si>
    <t>SAL-UNION  T&amp;1/2</t>
  </si>
  <si>
    <t>SAL-DEL LUNCH PREM</t>
  </si>
  <si>
    <t>MEALS &amp;TIP &amp; ENT 100</t>
  </si>
  <si>
    <t>EMP TRVL-HOTEL/LODG</t>
  </si>
  <si>
    <t>SRV-TREE TRIMMING</t>
  </si>
  <si>
    <t>SRV-CONSTRUCTION-ELECTRIC</t>
  </si>
  <si>
    <t>Cash Discounts on Purchases</t>
  </si>
  <si>
    <t>CFS Mgmnt NL (CS)</t>
  </si>
  <si>
    <t>262-263; Footnote Data (d)</t>
  </si>
  <si>
    <r>
      <t>Underground Line Expenses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</si>
  <si>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Underground Line Expenses </t>
    </r>
    <r>
      <rPr>
        <b/>
        <vertAlign val="superscript"/>
        <sz val="12"/>
        <rFont val="Times New Roman"/>
        <family val="1"/>
      </rPr>
      <t>1</t>
    </r>
  </si>
  <si>
    <t>262-263; Footnote Data (e)</t>
  </si>
  <si>
    <t xml:space="preserve">Reflects the years that were taken into consideration to develop the table. The table begins in 2001 because all the </t>
  </si>
  <si>
    <t>data needed was not available until 2001 in SAP (SDG&amp;E's general accounting system).</t>
  </si>
  <si>
    <t>Pension &amp; Benefit - Non Labor</t>
  </si>
  <si>
    <t>Negative of AH-3; Line 30; Col. a</t>
  </si>
  <si>
    <t>Rate Effective Period January 1, 2024 to December 31, 2024</t>
  </si>
  <si>
    <t>TO6 Transmission Plant Deprec. Rates WP</t>
  </si>
  <si>
    <t>2024 Form 1; Page 356; Accts 303 to 398</t>
  </si>
  <si>
    <t>2024 Form 1; Page 356; Electric</t>
  </si>
  <si>
    <t xml:space="preserve">2024 Form 1; Page 234; Footnote Data (d) </t>
  </si>
  <si>
    <t xml:space="preserve">2024 Form 1; Page 274-275; Footnote Data (b) </t>
  </si>
  <si>
    <t>2024 Form 1; Page 276-277; Footnote Data (b)</t>
  </si>
  <si>
    <t>2024 Form 1; Page 274-275; Footnote Data (b)</t>
  </si>
  <si>
    <t>2023 Form 1; Page 274-275; Footnote Data (a)</t>
  </si>
  <si>
    <t xml:space="preserve">2023 Form 1; Page 234; Footnote Data (c) </t>
  </si>
  <si>
    <t>2023 Form 1; Page 276-277; Footnote Data (a)</t>
  </si>
  <si>
    <t xml:space="preserve">2023 Form 1; Page 274-275; Footnote Data (a) </t>
  </si>
  <si>
    <t>Negative of AH-3; Line 29; Col. a; and Sum Lines (24, 25); Col. b</t>
  </si>
  <si>
    <t>Negative of AH-3; Line 34; Col. b</t>
  </si>
  <si>
    <t>Negative of AH-3; Line 31; Col. a</t>
  </si>
  <si>
    <t>Negative of AH-3; Line 27; Col. a</t>
  </si>
  <si>
    <t>Not Applicable to 2024 Base Period</t>
  </si>
  <si>
    <t>Negative of AH-3; Line 33; Col. b</t>
  </si>
  <si>
    <t>Negative of AH-3; Line 26; Col. b</t>
  </si>
  <si>
    <t>Negative of AH-3; Line 35; Col. b</t>
  </si>
  <si>
    <t xml:space="preserve">Negative of AH-3; Line 28; Col. a   </t>
  </si>
  <si>
    <t>Negative of AH-3; Line 32; Col. b</t>
  </si>
  <si>
    <t>SRV-CONSULTING-OTHER</t>
  </si>
  <si>
    <t>SRV-VEH REPAIR &amp; MNT</t>
  </si>
  <si>
    <t>VEHICLE UTILIZATION-LABOR</t>
  </si>
  <si>
    <t>VEHICLE UTILIZATION-NONLABOR</t>
  </si>
  <si>
    <t>Pension &amp; Benefits - Labor</t>
  </si>
  <si>
    <t>P&amp;B L (CL)</t>
  </si>
  <si>
    <t>CFS Management Labor (CS)</t>
  </si>
  <si>
    <t>There is no balance in FERC Form 1 Page 214 in 2024.</t>
  </si>
  <si>
    <t>2024 Form 1; Page 356.2; Accts 303 to 398</t>
  </si>
  <si>
    <t>2024 Form 1; Page 356.1; Electric</t>
  </si>
  <si>
    <t xml:space="preserve">None of the above items apply to SDG&amp;E's Appendix X Cycle 14 filing. However, as one or more of these items apply, subject to FERC approval, </t>
  </si>
  <si>
    <t>2001 - 2010</t>
  </si>
  <si>
    <t>2011 - 2020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</si>
</sst>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54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33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5" fillId="0" borderId="85" xfId="37887" quotePrefix="1" applyNumberFormat="1" applyFont="1" applyFill="1" applyBorder="1" applyAlignment="1">
      <alignment vertical="center"/>
    </xf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165" fontId="5" fillId="0" borderId="0" xfId="2" applyNumberFormat="1" applyFont="1" applyFill="1" applyBorder="1" applyAlignment="1">
      <alignment vertical="center"/>
    </xf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5" fontId="6" fillId="0" borderId="235" xfId="21" applyNumberFormat="1" applyFont="1" applyFill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5" fontId="6" fillId="0" borderId="236" xfId="21" applyNumberFormat="1" applyFont="1" applyFill="1" applyBorder="1" applyAlignment="1">
      <alignment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3" fontId="6" fillId="0" borderId="235" xfId="4" applyNumberFormat="1" applyFont="1" applyBorder="1" applyAlignment="1">
      <alignment horizontal="right"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0" fontId="5" fillId="0" borderId="6" xfId="37811" quotePrefix="1" applyNumberFormat="1" applyFont="1" applyFill="1" applyBorder="1" applyAlignment="1">
      <alignment horizontal="left" vertical="center"/>
    </xf>
    <xf numFmtId="0" fontId="5" fillId="0" borderId="85" xfId="37811" quotePrefix="1" applyNumberFormat="1" applyFont="1" applyFill="1" applyBorder="1" applyAlignment="1">
      <alignment horizontal="left" vertical="center"/>
    </xf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0" fontId="171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165" fontId="9" fillId="0" borderId="0" xfId="4" applyNumberFormat="1" applyFont="1" applyAlignment="1">
      <alignment vertical="center"/>
    </xf>
    <xf numFmtId="0" fontId="5" fillId="0" borderId="0" xfId="1042" applyFont="1" applyAlignment="1">
      <alignment horizontal="left"/>
    </xf>
    <xf numFmtId="0" fontId="5" fillId="0" borderId="248" xfId="1042" applyFont="1" applyBorder="1" applyAlignment="1">
      <alignment horizontal="left"/>
    </xf>
    <xf numFmtId="165" fontId="5" fillId="0" borderId="114" xfId="2" applyNumberFormat="1" applyFont="1" applyBorder="1" applyAlignment="1">
      <alignment horizontal="right"/>
    </xf>
    <xf numFmtId="44" fontId="5" fillId="0" borderId="0" xfId="2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4" fontId="5" fillId="0" borderId="239" xfId="2" applyFont="1" applyFill="1" applyBorder="1" applyAlignment="1">
      <alignment horizontal="right" vertical="center"/>
    </xf>
    <xf numFmtId="43" fontId="5" fillId="0" borderId="0" xfId="0" applyNumberFormat="1" applyFont="1"/>
    <xf numFmtId="0" fontId="5" fillId="0" borderId="105" xfId="0" applyFont="1" applyBorder="1" applyAlignment="1">
      <alignment horizontal="center" vertical="center"/>
    </xf>
    <xf numFmtId="165" fontId="5" fillId="0" borderId="114" xfId="2" applyNumberFormat="1" applyFont="1" applyBorder="1" applyAlignment="1">
      <alignment vertical="center"/>
    </xf>
    <xf numFmtId="0" fontId="5" fillId="0" borderId="84" xfId="37887" quotePrefix="1" applyNumberFormat="1" applyFont="1" applyFill="1" applyBorder="1" applyAlignment="1">
      <alignment vertical="center"/>
    </xf>
    <xf numFmtId="0" fontId="29" fillId="0" borderId="249" xfId="1962" applyFont="1" applyBorder="1" applyAlignment="1">
      <alignment horizontal="center"/>
    </xf>
    <xf numFmtId="0" fontId="117" fillId="0" borderId="250" xfId="1962" applyFont="1" applyBorder="1" applyAlignment="1">
      <alignment horizontal="center"/>
    </xf>
    <xf numFmtId="0" fontId="117" fillId="0" borderId="251" xfId="1962" applyFont="1" applyBorder="1" applyAlignment="1">
      <alignment horizontal="center"/>
    </xf>
    <xf numFmtId="0" fontId="29" fillId="0" borderId="252" xfId="1962" applyFont="1" applyBorder="1" applyAlignment="1">
      <alignment horizontal="center"/>
    </xf>
    <xf numFmtId="0" fontId="29" fillId="0" borderId="253" xfId="1962" applyFont="1" applyBorder="1" applyAlignment="1">
      <alignment horizontal="center"/>
    </xf>
    <xf numFmtId="0" fontId="27" fillId="0" borderId="7" xfId="0" applyFont="1" applyBorder="1"/>
    <xf numFmtId="166" fontId="5" fillId="0" borderId="7" xfId="1962" applyNumberFormat="1" applyFont="1" applyBorder="1" applyAlignment="1">
      <alignment vertical="center"/>
    </xf>
    <xf numFmtId="166" fontId="5" fillId="0" borderId="253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43" fontId="29" fillId="0" borderId="0" xfId="1962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Fill="1" applyBorder="1" applyAlignment="1">
      <alignment horizontal="centerContinuous" vertical="center"/>
    </xf>
    <xf numFmtId="49" fontId="6" fillId="0" borderId="224" xfId="0" applyNumberFormat="1" applyFont="1" applyBorder="1" applyAlignment="1">
      <alignment vertical="center"/>
    </xf>
    <xf numFmtId="0" fontId="6" fillId="0" borderId="104" xfId="0" applyFont="1" applyBorder="1" applyAlignment="1">
      <alignment vertical="center"/>
    </xf>
    <xf numFmtId="166" fontId="6" fillId="0" borderId="229" xfId="1" quotePrefix="1" applyNumberFormat="1" applyFont="1" applyFill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49" fontId="6" fillId="0" borderId="105" xfId="0" applyNumberFormat="1" applyFont="1" applyBorder="1" applyAlignment="1">
      <alignment horizontal="center"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Fill="1" applyBorder="1" applyAlignment="1">
      <alignment vertical="center"/>
    </xf>
    <xf numFmtId="38" fontId="6" fillId="0" borderId="7" xfId="1" applyNumberFormat="1" applyFont="1" applyFill="1" applyBorder="1" applyAlignment="1">
      <alignment vertical="center"/>
    </xf>
    <xf numFmtId="38" fontId="5" fillId="0" borderId="7" xfId="1" applyNumberFormat="1" applyFont="1" applyFill="1" applyBorder="1" applyAlignment="1">
      <alignment horizontal="center" vertical="center"/>
    </xf>
    <xf numFmtId="38" fontId="5" fillId="0" borderId="114" xfId="1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49" fontId="5" fillId="0" borderId="106" xfId="0" applyNumberFormat="1" applyFont="1" applyBorder="1" applyAlignment="1">
      <alignment vertical="center"/>
    </xf>
    <xf numFmtId="0" fontId="20" fillId="0" borderId="139" xfId="0" applyFont="1" applyBorder="1" applyAlignment="1">
      <alignment vertical="center"/>
    </xf>
    <xf numFmtId="38" fontId="5" fillId="0" borderId="103" xfId="1" applyNumberFormat="1" applyFont="1" applyFill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49" fontId="13" fillId="0" borderId="6" xfId="0" applyNumberFormat="1" applyFont="1" applyBorder="1"/>
    <xf numFmtId="0" fontId="5" fillId="0" borderId="7" xfId="0" applyFont="1" applyBorder="1"/>
    <xf numFmtId="166" fontId="5" fillId="0" borderId="0" xfId="0" applyNumberFormat="1" applyFont="1" applyAlignment="1">
      <alignment horizontal="left" vertical="center"/>
    </xf>
    <xf numFmtId="0" fontId="5" fillId="0" borderId="0" xfId="1604" applyFont="1"/>
    <xf numFmtId="0" fontId="5" fillId="0" borderId="0" xfId="1604" applyFont="1" applyAlignment="1">
      <alignment wrapText="1"/>
    </xf>
    <xf numFmtId="0" fontId="6" fillId="0" borderId="6" xfId="0" applyFont="1" applyBorder="1" applyAlignment="1">
      <alignment horizontal="left"/>
    </xf>
    <xf numFmtId="0" fontId="5" fillId="0" borderId="196" xfId="0" applyFont="1" applyBorder="1"/>
    <xf numFmtId="0" fontId="6" fillId="0" borderId="6" xfId="1604" applyFont="1" applyBorder="1" applyAlignment="1">
      <alignment horizontal="left"/>
    </xf>
    <xf numFmtId="0" fontId="6" fillId="0" borderId="0" xfId="1604" applyFont="1"/>
    <xf numFmtId="0" fontId="11" fillId="0" borderId="6" xfId="1604" applyFont="1" applyBorder="1" applyAlignment="1">
      <alignment horizontal="center"/>
    </xf>
    <xf numFmtId="49" fontId="5" fillId="0" borderId="49" xfId="0" applyNumberFormat="1" applyFont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6" fontId="5" fillId="0" borderId="245" xfId="0" applyNumberFormat="1" applyFont="1" applyBorder="1" applyAlignment="1">
      <alignment vertical="center"/>
    </xf>
    <xf numFmtId="213" fontId="5" fillId="0" borderId="0" xfId="2" applyNumberFormat="1" applyFont="1" applyBorder="1" applyAlignment="1">
      <alignment vertical="center"/>
    </xf>
    <xf numFmtId="10" fontId="5" fillId="3" borderId="245" xfId="3" applyNumberFormat="1" applyFont="1" applyFill="1" applyBorder="1" applyAlignment="1">
      <alignment horizontal="center" vertical="center"/>
    </xf>
    <xf numFmtId="0" fontId="27" fillId="0" borderId="6" xfId="0" applyFont="1" applyBorder="1" applyAlignment="1">
      <alignment horizontal="left"/>
    </xf>
    <xf numFmtId="166" fontId="5" fillId="0" borderId="114" xfId="4" applyNumberFormat="1" applyFont="1" applyBorder="1"/>
    <xf numFmtId="166" fontId="5" fillId="0" borderId="114" xfId="1442" applyNumberFormat="1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49" xfId="0" applyFont="1" applyBorder="1"/>
    <xf numFmtId="165" fontId="6" fillId="0" borderId="47" xfId="48" applyNumberFormat="1" applyFont="1" applyBorder="1" applyAlignment="1">
      <alignment horizontal="right"/>
    </xf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CCFF"/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53"/>
  <sheetViews>
    <sheetView tabSelected="1" zoomScale="80" zoomScaleNormal="80" workbookViewId="0">
      <selection activeCell="C25" sqref="C25"/>
    </sheetView>
  </sheetViews>
  <sheetFormatPr defaultColWidth="8.5703125" defaultRowHeight="15.75"/>
  <cols>
    <col min="1" max="1" width="5.140625" style="211" customWidth="1"/>
    <col min="2" max="2" width="73.140625" style="3" bestFit="1" customWidth="1"/>
    <col min="3" max="3" width="14.85546875" style="3" customWidth="1"/>
    <col min="4" max="4" width="51.42578125" style="3" bestFit="1" customWidth="1"/>
    <col min="5" max="5" width="5.140625" style="211" customWidth="1"/>
    <col min="6" max="6" width="8.5703125" style="3"/>
    <col min="7" max="7" width="19" style="3" customWidth="1"/>
    <col min="8" max="16384" width="8.5703125" style="3"/>
  </cols>
  <sheetData>
    <row r="1" spans="1:7">
      <c r="A1" s="479"/>
      <c r="B1" s="76"/>
      <c r="C1" s="76"/>
      <c r="D1" s="76"/>
      <c r="E1" s="479"/>
    </row>
    <row r="2" spans="1:7">
      <c r="A2" s="479"/>
      <c r="B2" s="1290" t="s">
        <v>0</v>
      </c>
      <c r="C2" s="1290"/>
      <c r="D2" s="1290"/>
      <c r="E2" s="76"/>
    </row>
    <row r="3" spans="1:7">
      <c r="B3" s="1290" t="s">
        <v>1</v>
      </c>
      <c r="C3" s="1290"/>
      <c r="D3" s="1290"/>
      <c r="E3" s="95"/>
    </row>
    <row r="4" spans="1:7">
      <c r="B4" s="1290" t="s">
        <v>2</v>
      </c>
      <c r="C4" s="1290"/>
      <c r="D4" s="1290"/>
      <c r="E4" s="95"/>
    </row>
    <row r="5" spans="1:7">
      <c r="A5" s="479"/>
      <c r="B5" s="1289" t="str">
        <f>"Rate Effective Period January 1, "&amp;Automation!B3+2 &amp;" to December 31, "&amp;Automation!B3+2</f>
        <v>Rate Effective Period January 1, 2026 to December 31, 2026</v>
      </c>
      <c r="C5" s="1289"/>
      <c r="D5" s="1289"/>
      <c r="E5" s="479"/>
      <c r="G5" s="700"/>
    </row>
    <row r="6" spans="1:7">
      <c r="B6" s="1291" t="s">
        <v>3</v>
      </c>
      <c r="C6" s="1290"/>
      <c r="D6" s="1290"/>
      <c r="E6" s="95"/>
    </row>
    <row r="7" spans="1:7" ht="16.5" thickBot="1">
      <c r="A7" s="479"/>
      <c r="B7" s="76"/>
      <c r="C7" s="62"/>
      <c r="D7" s="62"/>
      <c r="E7" s="479"/>
    </row>
    <row r="8" spans="1:7">
      <c r="A8" s="480" t="s">
        <v>4</v>
      </c>
      <c r="B8" s="809"/>
      <c r="C8" s="810"/>
      <c r="D8" s="811"/>
      <c r="E8" s="481" t="s">
        <v>4</v>
      </c>
    </row>
    <row r="9" spans="1:7">
      <c r="A9" s="480" t="s">
        <v>5</v>
      </c>
      <c r="B9" s="1023" t="s">
        <v>6</v>
      </c>
      <c r="C9" s="1023" t="s">
        <v>7</v>
      </c>
      <c r="D9" s="1024" t="s">
        <v>8</v>
      </c>
      <c r="E9" s="481" t="s">
        <v>5</v>
      </c>
    </row>
    <row r="10" spans="1:7">
      <c r="A10" s="480"/>
      <c r="B10" s="812"/>
      <c r="C10" s="56"/>
      <c r="D10" s="925"/>
      <c r="E10" s="481"/>
    </row>
    <row r="11" spans="1:7">
      <c r="A11" s="480">
        <v>1</v>
      </c>
      <c r="B11" s="734" t="s">
        <v>9</v>
      </c>
      <c r="C11" s="506">
        <f>'A. Sec.1 - Direct Maintenance'!E27</f>
        <v>12.623916293888636</v>
      </c>
      <c r="D11" s="926" t="str">
        <f>"Section 1; Page 1; Line "&amp;'A. Sec.1 - Direct Maintenance'!A27</f>
        <v>Section 1; Page 1; Line 17</v>
      </c>
      <c r="E11" s="481">
        <f>A11</f>
        <v>1</v>
      </c>
      <c r="G11" s="1165"/>
    </row>
    <row r="12" spans="1:7">
      <c r="A12" s="480">
        <f>A11+1</f>
        <v>2</v>
      </c>
      <c r="B12" s="610"/>
      <c r="C12" s="507"/>
      <c r="D12" s="927"/>
      <c r="E12" s="481">
        <f>E11+1</f>
        <v>2</v>
      </c>
      <c r="G12" s="10"/>
    </row>
    <row r="13" spans="1:7">
      <c r="A13" s="480">
        <f t="shared" ref="A13:A28" si="0">A12+1</f>
        <v>3</v>
      </c>
      <c r="B13" s="734" t="s">
        <v>10</v>
      </c>
      <c r="C13" s="508">
        <f>'B. Sec.2 - Non-Direct Expenses'!E35</f>
        <v>3245.0920466675161</v>
      </c>
      <c r="D13" s="926" t="str">
        <f>"Section 2; Page 1; Line "&amp;'B. Sec.2 - Non-Direct Expenses'!A35</f>
        <v>Section 2; Page 1; Line 25</v>
      </c>
      <c r="E13" s="481">
        <f t="shared" ref="E13:E28" si="1">E12+1</f>
        <v>3</v>
      </c>
      <c r="G13" s="1165"/>
    </row>
    <row r="14" spans="1:7">
      <c r="A14" s="480">
        <f t="shared" si="0"/>
        <v>4</v>
      </c>
      <c r="B14" s="610"/>
      <c r="C14" s="1168"/>
      <c r="D14" s="928"/>
      <c r="E14" s="481">
        <f t="shared" si="1"/>
        <v>4</v>
      </c>
      <c r="G14" s="10"/>
    </row>
    <row r="15" spans="1:7">
      <c r="A15" s="480">
        <f t="shared" si="0"/>
        <v>5</v>
      </c>
      <c r="B15" s="17" t="s">
        <v>11</v>
      </c>
      <c r="C15" s="1025">
        <f>'C. Sec.3 - Other Costs'!G42</f>
        <v>831.03377771955059</v>
      </c>
      <c r="D15" s="566" t="str">
        <f>"Section 3; Page 1; Line "&amp;'C. Sec.3 - Other Costs'!A42</f>
        <v>Section 3; Page 1; Line 31</v>
      </c>
      <c r="E15" s="481">
        <f t="shared" si="1"/>
        <v>5</v>
      </c>
      <c r="G15" s="1165"/>
    </row>
    <row r="16" spans="1:7">
      <c r="A16" s="480">
        <f t="shared" si="0"/>
        <v>6</v>
      </c>
      <c r="B16" s="57"/>
      <c r="C16" s="1164"/>
      <c r="D16" s="566"/>
      <c r="E16" s="481">
        <f t="shared" si="1"/>
        <v>6</v>
      </c>
      <c r="G16" s="1165"/>
    </row>
    <row r="17" spans="1:11">
      <c r="A17" s="480">
        <f t="shared" si="0"/>
        <v>7</v>
      </c>
      <c r="B17" s="718" t="s">
        <v>12</v>
      </c>
      <c r="C17" s="1171">
        <f>C11+C13+C15</f>
        <v>4088.7497406809553</v>
      </c>
      <c r="D17" s="85" t="str">
        <f>"Sum Lines "&amp;A11&amp;", "&amp;A13&amp;", "&amp;A15</f>
        <v>Sum Lines 1, 3, 5</v>
      </c>
      <c r="E17" s="481">
        <f t="shared" si="1"/>
        <v>7</v>
      </c>
      <c r="G17" s="1165"/>
    </row>
    <row r="18" spans="1:11">
      <c r="A18" s="480">
        <f t="shared" si="0"/>
        <v>8</v>
      </c>
      <c r="B18" s="84"/>
      <c r="C18" s="1163"/>
      <c r="D18" s="929"/>
      <c r="E18" s="481">
        <f t="shared" si="1"/>
        <v>8</v>
      </c>
      <c r="G18" s="1165"/>
    </row>
    <row r="19" spans="1:11">
      <c r="A19" s="480">
        <f t="shared" si="0"/>
        <v>9</v>
      </c>
      <c r="B19" s="734" t="s">
        <v>13</v>
      </c>
      <c r="C19" s="568">
        <f>'D. Sec.4 - TU'!M30</f>
        <v>273.32431329393449</v>
      </c>
      <c r="D19" s="566" t="str">
        <f>"Section 4; Page TU; Col. 11; Line "&amp;'D. Sec.4 - TU'!A30</f>
        <v>Section 4; Page TU; Col. 11; Line 21</v>
      </c>
      <c r="E19" s="481">
        <f t="shared" si="1"/>
        <v>9</v>
      </c>
      <c r="G19" s="1165"/>
    </row>
    <row r="20" spans="1:11">
      <c r="A20" s="480">
        <f t="shared" si="0"/>
        <v>10</v>
      </c>
      <c r="B20" s="734"/>
      <c r="C20" s="1168"/>
      <c r="D20" s="930"/>
      <c r="E20" s="481">
        <f t="shared" si="1"/>
        <v>10</v>
      </c>
      <c r="G20" s="10"/>
    </row>
    <row r="21" spans="1:11">
      <c r="A21" s="480">
        <f t="shared" si="0"/>
        <v>11</v>
      </c>
      <c r="B21" s="734" t="s">
        <v>14</v>
      </c>
      <c r="C21" s="1025">
        <f>'E1. Sec.5 - Interest TU (CY)'!H30</f>
        <v>-15.057248273547559</v>
      </c>
      <c r="D21" s="85" t="str">
        <f>"Section 5; Page Interest TU (CY); Col. 6; Line "&amp;'E1. Sec.5 - Interest TU (CY)'!A30</f>
        <v>Section 5; Page Interest TU (CY); Col. 6; Line 20</v>
      </c>
      <c r="E21" s="481">
        <f t="shared" si="1"/>
        <v>11</v>
      </c>
      <c r="G21" s="1165"/>
    </row>
    <row r="22" spans="1:11">
      <c r="A22" s="480">
        <f t="shared" si="0"/>
        <v>12</v>
      </c>
      <c r="B22" s="57"/>
      <c r="C22" s="717"/>
      <c r="D22" s="931"/>
      <c r="E22" s="481">
        <f t="shared" si="1"/>
        <v>12</v>
      </c>
      <c r="G22" s="1165"/>
    </row>
    <row r="23" spans="1:11">
      <c r="A23" s="480">
        <f t="shared" si="0"/>
        <v>13</v>
      </c>
      <c r="B23" s="57" t="s">
        <v>15</v>
      </c>
      <c r="C23" s="796">
        <f>C17+C19+C21</f>
        <v>4347.0168057013416</v>
      </c>
      <c r="D23" s="85" t="str">
        <f>"Sum Lines "&amp;A17&amp;", "&amp;A19&amp;", "&amp;A21</f>
        <v>Sum Lines 7, 9, 11</v>
      </c>
      <c r="E23" s="481">
        <f t="shared" si="1"/>
        <v>13</v>
      </c>
      <c r="G23" s="1194"/>
    </row>
    <row r="24" spans="1:11">
      <c r="A24" s="480">
        <f t="shared" si="0"/>
        <v>14</v>
      </c>
      <c r="B24" s="688"/>
      <c r="C24" s="1166"/>
      <c r="D24" s="85"/>
      <c r="E24" s="481">
        <f t="shared" si="1"/>
        <v>14</v>
      </c>
      <c r="G24"/>
    </row>
    <row r="25" spans="1:11">
      <c r="A25" s="480">
        <f t="shared" si="0"/>
        <v>15</v>
      </c>
      <c r="B25" s="17" t="s">
        <v>16</v>
      </c>
      <c r="C25" s="1026">
        <v>-59.487603655082445</v>
      </c>
      <c r="D25" s="85" t="s">
        <v>17</v>
      </c>
      <c r="E25" s="481">
        <f t="shared" si="1"/>
        <v>15</v>
      </c>
      <c r="G25"/>
      <c r="H25"/>
      <c r="I25"/>
      <c r="J25"/>
      <c r="K25"/>
    </row>
    <row r="26" spans="1:11">
      <c r="A26" s="480">
        <f t="shared" si="0"/>
        <v>16</v>
      </c>
      <c r="B26" s="62"/>
      <c r="C26" s="1167"/>
      <c r="D26" s="931"/>
      <c r="E26" s="481">
        <f t="shared" si="1"/>
        <v>16</v>
      </c>
      <c r="G26"/>
    </row>
    <row r="27" spans="1:11" ht="16.5" thickBot="1">
      <c r="A27" s="480">
        <f t="shared" si="0"/>
        <v>17</v>
      </c>
      <c r="B27" s="718" t="s">
        <v>18</v>
      </c>
      <c r="C27" s="509">
        <f>C23+C25</f>
        <v>4287.5292020462593</v>
      </c>
      <c r="D27" s="931" t="str">
        <f>"Line "&amp;A23&amp;" + Line "&amp;A25</f>
        <v>Line 13 + Line 15</v>
      </c>
      <c r="E27" s="481">
        <f t="shared" si="1"/>
        <v>17</v>
      </c>
      <c r="G27"/>
      <c r="H27" s="607"/>
      <c r="I27" s="609"/>
    </row>
    <row r="28" spans="1:11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29" spans="1:11">
      <c r="G29" s="700"/>
    </row>
    <row r="30" spans="1:11" ht="16.5" thickBot="1">
      <c r="A30" s="479"/>
      <c r="B30" s="820"/>
      <c r="C30" s="821"/>
      <c r="D30" s="821"/>
      <c r="E30" s="479"/>
      <c r="G30" s="700"/>
    </row>
    <row r="31" spans="1:11">
      <c r="A31" s="480" t="s">
        <v>4</v>
      </c>
      <c r="B31" s="55"/>
      <c r="C31" s="55"/>
      <c r="D31" s="927"/>
      <c r="E31" s="481" t="s">
        <v>4</v>
      </c>
    </row>
    <row r="32" spans="1:11">
      <c r="A32" s="480" t="s">
        <v>5</v>
      </c>
      <c r="B32" s="1023" t="s">
        <v>19</v>
      </c>
      <c r="C32" s="1023" t="str">
        <f>C9</f>
        <v>Amounts</v>
      </c>
      <c r="D32" s="1024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5"/>
      <c r="E33" s="481">
        <f>E28+1</f>
        <v>19</v>
      </c>
    </row>
    <row r="34" spans="1:7">
      <c r="A34" s="480">
        <f>A33+1</f>
        <v>20</v>
      </c>
      <c r="B34" s="734" t="str">
        <f>B11</f>
        <v>Section 1 - Direct Maintenance Expense Cost Component</v>
      </c>
      <c r="C34" s="732">
        <f>C11/12</f>
        <v>1.0519930244907196</v>
      </c>
      <c r="D34" s="926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7">
      <c r="A36" s="480">
        <f t="shared" si="2"/>
        <v>22</v>
      </c>
      <c r="B36" s="734" t="str">
        <f>B13</f>
        <v>Section 2 - Non-Direct Expense Cost Component</v>
      </c>
      <c r="C36" s="733">
        <f>C13/12</f>
        <v>270.42433722229299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7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69.252814809962544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7">
      <c r="A40" s="480">
        <f t="shared" si="2"/>
        <v>26</v>
      </c>
      <c r="B40" s="718" t="s">
        <v>20</v>
      </c>
      <c r="C40" s="771">
        <f>C34+C36+C38</f>
        <v>340.72914505674629</v>
      </c>
      <c r="D40" s="85" t="s">
        <v>874</v>
      </c>
      <c r="E40" s="481">
        <f t="shared" si="3"/>
        <v>26</v>
      </c>
    </row>
    <row r="41" spans="1:7">
      <c r="A41" s="480">
        <f t="shared" si="2"/>
        <v>27</v>
      </c>
      <c r="B41" s="54"/>
      <c r="C41" s="691"/>
      <c r="D41" s="928"/>
      <c r="E41" s="481">
        <f t="shared" si="3"/>
        <v>27</v>
      </c>
      <c r="G41" s="1151"/>
    </row>
    <row r="42" spans="1:7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22.777026107827876</v>
      </c>
      <c r="D42" s="926" t="str">
        <f>"Line "&amp;A19&amp;" / "&amp;C50&amp;" Months"</f>
        <v>Line 9 / 12 Months</v>
      </c>
      <c r="E42" s="481">
        <f t="shared" si="3"/>
        <v>28</v>
      </c>
      <c r="G42" s="1221"/>
    </row>
    <row r="43" spans="1:7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7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-1.2547706894622965</v>
      </c>
      <c r="D44" s="931" t="str">
        <f>"Line "&amp;A21&amp;" / "&amp;C50&amp;" Months"</f>
        <v>Line 11 / 12 Months</v>
      </c>
      <c r="E44" s="481">
        <f t="shared" si="3"/>
        <v>30</v>
      </c>
    </row>
    <row r="45" spans="1:7">
      <c r="A45" s="480">
        <f t="shared" si="2"/>
        <v>31</v>
      </c>
      <c r="B45" s="84"/>
      <c r="C45" s="692"/>
      <c r="D45" s="935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27">
        <f>C25/12</f>
        <v>-4.9573003045902038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5">
        <f>C40+C42+C44+C46</f>
        <v>357.29410017052163</v>
      </c>
      <c r="D48" s="85" t="str">
        <f>"Sum Lines "&amp;A40&amp;", "&amp;A42&amp;", "&amp;A44&amp;", "&amp;A46</f>
        <v>Sum Lines 26, 28, 30, 32</v>
      </c>
      <c r="E48" s="481">
        <f t="shared" si="3"/>
        <v>34</v>
      </c>
      <c r="G48" s="1165"/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155">
        <f>C48*C50</f>
        <v>4287.5292020462593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4" orientation="portrait" r:id="rId1"/>
  <headerFooter scaleWithDoc="0">
    <oddFooter xml:space="preserve">&amp;C&amp;"Times New Roman,Regular"&amp;10Summary of Cost Components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>
      <selection activeCell="L38" sqref="L38"/>
    </sheetView>
  </sheetViews>
  <sheetFormatPr defaultRowHeight="1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2"/>
  <sheetViews>
    <sheetView topLeftCell="A18" zoomScale="80" zoomScaleNormal="80" zoomScalePageLayoutView="80" workbookViewId="0">
      <selection activeCell="C45" sqref="C45"/>
    </sheetView>
  </sheetViews>
  <sheetFormatPr defaultColWidth="8.85546875" defaultRowHeight="15.75"/>
  <cols>
    <col min="1" max="1" width="5.42578125" style="105" bestFit="1" customWidth="1"/>
    <col min="2" max="2" width="55.85546875" style="122" customWidth="1"/>
    <col min="3" max="3" width="39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05" bestFit="1" customWidth="1"/>
    <col min="13" max="13" width="8.85546875" style="122"/>
    <col min="14" max="14" width="38.140625" style="122" customWidth="1"/>
    <col min="15" max="16384" width="8.85546875" style="122"/>
  </cols>
  <sheetData>
    <row r="1" spans="1:14">
      <c r="A1" s="105" t="s">
        <v>183</v>
      </c>
    </row>
    <row r="2" spans="1:14">
      <c r="A2" s="122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N2" s="364"/>
    </row>
    <row r="3" spans="1:14">
      <c r="A3" s="122"/>
      <c r="B3" s="1308" t="s">
        <v>184</v>
      </c>
      <c r="C3" s="1308"/>
      <c r="D3" s="1308"/>
      <c r="E3" s="1308"/>
      <c r="F3" s="1308"/>
      <c r="G3" s="1308"/>
      <c r="H3" s="1308"/>
      <c r="I3" s="1308"/>
      <c r="J3" s="1308"/>
      <c r="K3" s="1308"/>
      <c r="N3" s="364"/>
    </row>
    <row r="4" spans="1:14">
      <c r="A4" s="122"/>
      <c r="B4" s="1308" t="s">
        <v>185</v>
      </c>
      <c r="C4" s="1308"/>
      <c r="D4" s="1308"/>
      <c r="E4" s="1308"/>
      <c r="F4" s="1308"/>
      <c r="G4" s="1308"/>
      <c r="H4" s="1309"/>
      <c r="I4" s="1309"/>
      <c r="J4" s="1309"/>
      <c r="K4" s="1309"/>
    </row>
    <row r="5" spans="1:14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1"/>
      <c r="I5" s="1311"/>
      <c r="J5" s="1311"/>
      <c r="K5" s="1311"/>
      <c r="N5" s="112"/>
    </row>
    <row r="6" spans="1:14">
      <c r="B6" s="1312" t="s">
        <v>3</v>
      </c>
      <c r="C6" s="1309"/>
      <c r="D6" s="1309"/>
      <c r="E6" s="1309"/>
      <c r="F6" s="1309"/>
      <c r="G6" s="1309"/>
      <c r="H6" s="1309"/>
      <c r="I6" s="1309"/>
      <c r="J6" s="1309"/>
      <c r="K6" s="1309"/>
      <c r="N6" s="364"/>
    </row>
    <row r="7" spans="1:14">
      <c r="B7" s="1107"/>
      <c r="C7" s="95"/>
      <c r="D7" s="96"/>
      <c r="E7" s="96"/>
      <c r="F7" s="96"/>
      <c r="G7" s="96"/>
      <c r="H7" s="96"/>
      <c r="I7" s="96"/>
      <c r="J7" s="96"/>
      <c r="K7" s="96"/>
      <c r="N7" s="364"/>
    </row>
    <row r="8" spans="1:14">
      <c r="A8" s="105" t="s">
        <v>4</v>
      </c>
      <c r="B8" s="95"/>
      <c r="C8" s="211" t="s">
        <v>186</v>
      </c>
      <c r="D8" s="95"/>
      <c r="E8" s="317" t="s">
        <v>77</v>
      </c>
      <c r="F8" s="105"/>
      <c r="G8" s="317" t="s">
        <v>78</v>
      </c>
      <c r="H8" s="105"/>
      <c r="I8" s="317" t="s">
        <v>187</v>
      </c>
      <c r="J8" s="95"/>
      <c r="L8" s="105" t="s">
        <v>4</v>
      </c>
    </row>
    <row r="9" spans="1:14">
      <c r="A9" s="105" t="s">
        <v>5</v>
      </c>
      <c r="B9" s="95"/>
      <c r="C9" s="845" t="s">
        <v>188</v>
      </c>
      <c r="D9" s="95"/>
      <c r="E9" s="846" t="str">
        <f>"31-Dec-"&amp;RIGHT(Automation!$B$3-1,2)</f>
        <v>31-Dec-23</v>
      </c>
      <c r="F9" s="95"/>
      <c r="G9" s="847" t="str">
        <f>"31-Dec-"&amp;RIGHT(Automation!$B$3,2)</f>
        <v>31-Dec-24</v>
      </c>
      <c r="H9" s="95"/>
      <c r="I9" s="848" t="s">
        <v>189</v>
      </c>
      <c r="J9" s="95"/>
      <c r="K9" s="849" t="s">
        <v>8</v>
      </c>
      <c r="L9" s="105" t="s">
        <v>5</v>
      </c>
      <c r="N9" s="191"/>
    </row>
    <row r="10" spans="1:14">
      <c r="E10" s="365"/>
      <c r="G10" s="365"/>
      <c r="H10" s="365"/>
      <c r="I10" s="365"/>
      <c r="J10" s="365"/>
      <c r="K10" s="365"/>
    </row>
    <row r="11" spans="1:14" ht="18.75">
      <c r="A11" s="105">
        <v>1</v>
      </c>
      <c r="B11" s="122" t="s">
        <v>869</v>
      </c>
      <c r="C11" s="105" t="s">
        <v>892</v>
      </c>
      <c r="E11" s="295"/>
      <c r="G11" s="295"/>
      <c r="H11" s="360"/>
      <c r="I11" s="324">
        <f>'AD-1'!E31</f>
        <v>593486.33534692298</v>
      </c>
      <c r="J11" s="286"/>
      <c r="K11" s="366" t="str">
        <f>"AD-1; Line "&amp;'AD-1'!A31</f>
        <v>AD-1; Line 18</v>
      </c>
      <c r="L11" s="105">
        <f>A11</f>
        <v>1</v>
      </c>
    </row>
    <row r="12" spans="1:14">
      <c r="A12" s="105">
        <f t="shared" ref="A12:A45" si="0">+A11+1</f>
        <v>2</v>
      </c>
      <c r="B12" s="122" t="s">
        <v>183</v>
      </c>
      <c r="E12" s="295"/>
      <c r="G12" s="295"/>
      <c r="H12" s="289"/>
      <c r="I12" s="295"/>
      <c r="J12" s="289"/>
      <c r="K12" s="366"/>
      <c r="L12" s="105">
        <f t="shared" ref="L12:L45" si="1">+L11+1</f>
        <v>2</v>
      </c>
    </row>
    <row r="13" spans="1:14" ht="18.75">
      <c r="A13" s="105">
        <f t="shared" si="0"/>
        <v>3</v>
      </c>
      <c r="B13" s="122" t="s">
        <v>870</v>
      </c>
      <c r="C13" s="105" t="s">
        <v>892</v>
      </c>
      <c r="E13" s="295"/>
      <c r="G13" s="295"/>
      <c r="H13" s="360"/>
      <c r="I13" s="327">
        <f>'AD-2'!E31</f>
        <v>0</v>
      </c>
      <c r="J13" s="286"/>
      <c r="K13" s="366" t="str">
        <f>"AD-2; Line "&amp;'AD-2'!A31</f>
        <v>AD-2; Line 18</v>
      </c>
      <c r="L13" s="105">
        <f t="shared" si="1"/>
        <v>3</v>
      </c>
    </row>
    <row r="14" spans="1:14">
      <c r="A14" s="105">
        <f t="shared" si="0"/>
        <v>4</v>
      </c>
      <c r="E14" s="295"/>
      <c r="F14" s="96"/>
      <c r="G14" s="295"/>
      <c r="H14" s="289"/>
      <c r="I14" s="295"/>
      <c r="J14" s="289"/>
      <c r="K14" s="366"/>
      <c r="L14" s="105">
        <f t="shared" si="1"/>
        <v>4</v>
      </c>
    </row>
    <row r="15" spans="1:14" ht="18.75">
      <c r="A15" s="105">
        <f t="shared" si="0"/>
        <v>5</v>
      </c>
      <c r="B15" s="122" t="s">
        <v>871</v>
      </c>
      <c r="E15" s="295"/>
      <c r="F15" s="96"/>
      <c r="G15" s="295"/>
      <c r="H15" s="360"/>
      <c r="I15" s="327">
        <f>'AD-3'!E31</f>
        <v>0</v>
      </c>
      <c r="J15" s="289"/>
      <c r="K15" s="366" t="str">
        <f>"AD-3; Line "&amp;'AD-3'!A31</f>
        <v>AD-3; Line 18</v>
      </c>
      <c r="L15" s="105">
        <f t="shared" si="1"/>
        <v>5</v>
      </c>
    </row>
    <row r="16" spans="1:14">
      <c r="A16" s="105">
        <f t="shared" si="0"/>
        <v>6</v>
      </c>
      <c r="E16" s="295"/>
      <c r="F16" s="96"/>
      <c r="G16" s="295"/>
      <c r="H16" s="289"/>
      <c r="I16" s="295"/>
      <c r="J16" s="289"/>
      <c r="K16" s="366"/>
      <c r="L16" s="105">
        <f t="shared" si="1"/>
        <v>6</v>
      </c>
    </row>
    <row r="17" spans="1:14" ht="18.75">
      <c r="A17" s="105">
        <f t="shared" si="0"/>
        <v>7</v>
      </c>
      <c r="B17" s="122" t="s">
        <v>872</v>
      </c>
      <c r="C17" s="105" t="s">
        <v>892</v>
      </c>
      <c r="E17" s="294"/>
      <c r="F17" s="96"/>
      <c r="G17" s="294"/>
      <c r="H17" s="355"/>
      <c r="I17" s="319">
        <f>'AD-4'!E31</f>
        <v>583302.3956007692</v>
      </c>
      <c r="J17" s="286"/>
      <c r="K17" s="366" t="str">
        <f>"AD-4; Line "&amp;'AD-4'!A31</f>
        <v>AD-4; Line 18</v>
      </c>
      <c r="L17" s="105">
        <f t="shared" si="1"/>
        <v>7</v>
      </c>
    </row>
    <row r="18" spans="1:14">
      <c r="A18" s="105">
        <f t="shared" si="0"/>
        <v>8</v>
      </c>
      <c r="E18" s="294"/>
      <c r="F18" s="96"/>
      <c r="G18" s="294"/>
      <c r="H18" s="289"/>
      <c r="I18" s="294"/>
      <c r="J18" s="289"/>
      <c r="K18" s="366"/>
      <c r="L18" s="105">
        <f t="shared" si="1"/>
        <v>8</v>
      </c>
    </row>
    <row r="19" spans="1:14" ht="18.75">
      <c r="A19" s="105">
        <f>+A18+1</f>
        <v>9</v>
      </c>
      <c r="B19" s="122" t="s">
        <v>877</v>
      </c>
      <c r="C19" s="105" t="s">
        <v>967</v>
      </c>
      <c r="E19" s="358">
        <f>'AD-5'!E15</f>
        <v>11031887.66371526</v>
      </c>
      <c r="F19" s="258"/>
      <c r="G19" s="358">
        <f>'AD-5'!E17</f>
        <v>11900658.479583826</v>
      </c>
      <c r="H19" s="355"/>
      <c r="I19" s="294">
        <f>(E19+G19)/2</f>
        <v>11466273.071649544</v>
      </c>
      <c r="J19" s="289"/>
      <c r="K19" s="367" t="str">
        <f>"AD-5; Line "&amp;'AD-5'!A20</f>
        <v>AD-5; Line 6</v>
      </c>
      <c r="L19" s="105">
        <f>+L18+1</f>
        <v>9</v>
      </c>
    </row>
    <row r="20" spans="1:14">
      <c r="A20" s="105">
        <f t="shared" si="0"/>
        <v>10</v>
      </c>
      <c r="E20" s="294"/>
      <c r="G20" s="294"/>
      <c r="H20" s="289"/>
      <c r="I20" s="294"/>
      <c r="J20" s="289"/>
      <c r="K20" s="368"/>
      <c r="L20" s="105">
        <f t="shared" si="1"/>
        <v>10</v>
      </c>
    </row>
    <row r="21" spans="1:14" ht="18.75">
      <c r="A21" s="105">
        <f t="shared" si="0"/>
        <v>11</v>
      </c>
      <c r="B21" s="122" t="s">
        <v>190</v>
      </c>
      <c r="E21" s="355"/>
      <c r="G21" s="355"/>
      <c r="H21" s="355"/>
      <c r="I21" s="320">
        <f>'AD-6'!E36</f>
        <v>8436617.1055796891</v>
      </c>
      <c r="J21" s="286"/>
      <c r="K21" s="367" t="str">
        <f>"AD-6; Line "&amp;'AD-6'!A36</f>
        <v>AD-6; Line 23</v>
      </c>
      <c r="L21" s="105">
        <f t="shared" si="1"/>
        <v>11</v>
      </c>
      <c r="N21" s="131"/>
    </row>
    <row r="22" spans="1:14">
      <c r="A22" s="105">
        <f t="shared" si="0"/>
        <v>12</v>
      </c>
      <c r="E22" s="355"/>
      <c r="G22" s="355"/>
      <c r="H22" s="355"/>
      <c r="I22" s="309"/>
      <c r="J22" s="286"/>
      <c r="K22" s="367"/>
      <c r="L22" s="105">
        <f t="shared" si="1"/>
        <v>12</v>
      </c>
    </row>
    <row r="23" spans="1:14" ht="18.75">
      <c r="A23" s="105">
        <f t="shared" si="0"/>
        <v>13</v>
      </c>
      <c r="B23" s="122" t="s">
        <v>191</v>
      </c>
      <c r="E23" s="355"/>
      <c r="G23" s="355"/>
      <c r="H23" s="355"/>
      <c r="I23" s="320">
        <f>'AD-7'!E32</f>
        <v>0</v>
      </c>
      <c r="J23" s="286"/>
      <c r="K23" s="369" t="str">
        <f>"AD-7; Line "&amp;'AD-7'!A32</f>
        <v>AD-7; Line 18</v>
      </c>
      <c r="L23" s="105">
        <f t="shared" si="1"/>
        <v>13</v>
      </c>
    </row>
    <row r="24" spans="1:14">
      <c r="A24" s="105">
        <f t="shared" si="0"/>
        <v>14</v>
      </c>
      <c r="E24" s="294"/>
      <c r="G24" s="294"/>
      <c r="H24" s="289"/>
      <c r="I24" s="294"/>
      <c r="J24" s="289"/>
      <c r="K24" s="368"/>
      <c r="L24" s="105">
        <f t="shared" si="1"/>
        <v>14</v>
      </c>
    </row>
    <row r="25" spans="1:14" ht="18.75">
      <c r="A25" s="105">
        <f t="shared" si="0"/>
        <v>15</v>
      </c>
      <c r="B25" s="122" t="s">
        <v>192</v>
      </c>
      <c r="C25" s="105" t="s">
        <v>967</v>
      </c>
      <c r="D25" s="170"/>
      <c r="E25" s="319">
        <f>'AD-8'!C14</f>
        <v>125194.79648999999</v>
      </c>
      <c r="F25" s="96"/>
      <c r="G25" s="319">
        <f>'AD-8'!C16</f>
        <v>236259.08225000006</v>
      </c>
      <c r="H25" s="289"/>
      <c r="I25" s="294">
        <f>(E25+G25)/2</f>
        <v>180726.93937000004</v>
      </c>
      <c r="J25" s="322"/>
      <c r="K25" s="369" t="str">
        <f>"AD-8; Line "&amp;'AD-8'!A19</f>
        <v>AD-8; Line 6</v>
      </c>
      <c r="L25" s="105">
        <f t="shared" si="1"/>
        <v>15</v>
      </c>
    </row>
    <row r="26" spans="1:14">
      <c r="A26" s="105">
        <f t="shared" si="0"/>
        <v>16</v>
      </c>
      <c r="E26" s="294"/>
      <c r="G26" s="294"/>
      <c r="H26" s="289"/>
      <c r="I26" s="294"/>
      <c r="J26" s="289"/>
      <c r="K26" s="368"/>
      <c r="L26" s="105">
        <f t="shared" si="1"/>
        <v>16</v>
      </c>
    </row>
    <row r="27" spans="1:14" ht="18.75">
      <c r="A27" s="105">
        <f t="shared" si="0"/>
        <v>17</v>
      </c>
      <c r="B27" s="122" t="s">
        <v>878</v>
      </c>
      <c r="C27" s="105" t="s">
        <v>967</v>
      </c>
      <c r="E27" s="319">
        <f>'AD-9'!C14</f>
        <v>614792.31672999891</v>
      </c>
      <c r="F27" s="96"/>
      <c r="G27" s="319">
        <f>'AD-9'!C16</f>
        <v>651436.10081000126</v>
      </c>
      <c r="H27" s="355"/>
      <c r="I27" s="294">
        <f>(E27+G27)/2</f>
        <v>633114.20877000014</v>
      </c>
      <c r="J27" s="289"/>
      <c r="K27" s="367" t="str">
        <f>"AD-9; Line "&amp;'AD-9'!A19</f>
        <v>AD-9; Line 6</v>
      </c>
      <c r="L27" s="105">
        <f>+L26+1</f>
        <v>17</v>
      </c>
    </row>
    <row r="28" spans="1:14">
      <c r="A28" s="105">
        <f t="shared" si="0"/>
        <v>18</v>
      </c>
      <c r="E28" s="295"/>
      <c r="F28" s="96"/>
      <c r="G28" s="295"/>
      <c r="H28" s="289"/>
      <c r="I28" s="295"/>
      <c r="J28" s="289"/>
      <c r="K28" s="367"/>
      <c r="L28" s="105">
        <f>+L27+1</f>
        <v>18</v>
      </c>
    </row>
    <row r="29" spans="1:14" ht="18.75">
      <c r="A29" s="105">
        <f t="shared" si="0"/>
        <v>19</v>
      </c>
      <c r="B29" s="122" t="s">
        <v>193</v>
      </c>
      <c r="E29" s="319">
        <f>'AD-10'!D15</f>
        <v>1812002.4911979998</v>
      </c>
      <c r="F29" s="96"/>
      <c r="G29" s="319">
        <f>'AD-10'!D19</f>
        <v>1958808.0183976002</v>
      </c>
      <c r="H29" s="355"/>
      <c r="I29" s="850">
        <f>(E29+G29)/2</f>
        <v>1885405.2547978</v>
      </c>
      <c r="J29" s="289"/>
      <c r="K29" s="367" t="str">
        <f>"AD-10; Line "&amp;'AD-10'!A22</f>
        <v>AD-10; Line 10</v>
      </c>
      <c r="L29" s="105">
        <f t="shared" si="1"/>
        <v>19</v>
      </c>
    </row>
    <row r="30" spans="1:14">
      <c r="A30" s="105">
        <f t="shared" si="0"/>
        <v>20</v>
      </c>
      <c r="E30" s="294"/>
      <c r="F30" s="96"/>
      <c r="G30" s="294"/>
      <c r="H30" s="289"/>
      <c r="I30" s="294"/>
      <c r="J30" s="289"/>
      <c r="K30" s="366"/>
      <c r="L30" s="105">
        <f t="shared" si="1"/>
        <v>20</v>
      </c>
    </row>
    <row r="31" spans="1:14" ht="16.5" thickBot="1">
      <c r="A31" s="105">
        <f t="shared" si="0"/>
        <v>21</v>
      </c>
      <c r="B31" s="122" t="s">
        <v>194</v>
      </c>
      <c r="E31" s="283"/>
      <c r="F31" s="370"/>
      <c r="G31" s="283"/>
      <c r="H31" s="281"/>
      <c r="I31" s="282">
        <f>I11+I13+I15+I17+I19+I21+I23+I25+I27+I29</f>
        <v>23778925.311114725</v>
      </c>
      <c r="J31" s="286"/>
      <c r="K31" s="366" t="str">
        <f>"Sum Lines "&amp;A11&amp;" thru "&amp;A29</f>
        <v>Sum Lines 1 thru 19</v>
      </c>
      <c r="L31" s="105">
        <f t="shared" si="1"/>
        <v>21</v>
      </c>
      <c r="M31" s="371"/>
    </row>
    <row r="32" spans="1:14" ht="16.5" thickTop="1">
      <c r="A32" s="105">
        <f t="shared" si="0"/>
        <v>22</v>
      </c>
      <c r="E32" s="372"/>
      <c r="G32" s="372"/>
      <c r="H32" s="288"/>
      <c r="I32" s="372"/>
      <c r="J32" s="288"/>
      <c r="K32" s="366" t="s">
        <v>183</v>
      </c>
      <c r="L32" s="105">
        <f t="shared" si="1"/>
        <v>22</v>
      </c>
    </row>
    <row r="33" spans="1:13">
      <c r="A33" s="105">
        <f t="shared" si="0"/>
        <v>23</v>
      </c>
      <c r="B33" s="122" t="s">
        <v>195</v>
      </c>
      <c r="E33" s="373"/>
      <c r="G33" s="373"/>
      <c r="H33" s="288"/>
      <c r="I33" s="851">
        <f>'Stmt AI'!E27</f>
        <v>0.11129405685920617</v>
      </c>
      <c r="J33" s="288"/>
      <c r="K33" s="366" t="str">
        <f>"Statement AI; Line "&amp;'Stmt AI'!A27</f>
        <v>Statement AI; Line 17</v>
      </c>
      <c r="L33" s="105">
        <f t="shared" si="1"/>
        <v>23</v>
      </c>
    </row>
    <row r="34" spans="1:13">
      <c r="A34" s="105">
        <f t="shared" si="0"/>
        <v>24</v>
      </c>
      <c r="E34" s="372"/>
      <c r="G34" s="372"/>
      <c r="H34" s="288"/>
      <c r="I34" s="372"/>
      <c r="J34" s="288"/>
      <c r="K34" s="366"/>
      <c r="L34" s="105">
        <f t="shared" si="1"/>
        <v>24</v>
      </c>
    </row>
    <row r="35" spans="1:13">
      <c r="A35" s="105">
        <f t="shared" si="0"/>
        <v>25</v>
      </c>
      <c r="B35" s="122" t="s">
        <v>196</v>
      </c>
      <c r="E35" s="160"/>
      <c r="F35" s="160"/>
      <c r="G35" s="160"/>
      <c r="H35" s="374"/>
      <c r="I35" s="298">
        <f>I21+I23</f>
        <v>8436617.1055796891</v>
      </c>
      <c r="J35" s="286"/>
      <c r="K35" s="375" t="str">
        <f>"Line "&amp;A21&amp;" + Line "&amp;A23</f>
        <v>Line 11 + Line 13</v>
      </c>
      <c r="L35" s="105">
        <f t="shared" si="1"/>
        <v>25</v>
      </c>
    </row>
    <row r="36" spans="1:13">
      <c r="A36" s="105">
        <f t="shared" si="0"/>
        <v>26</v>
      </c>
      <c r="E36" s="372"/>
      <c r="G36" s="372"/>
      <c r="H36" s="288"/>
      <c r="I36" s="372"/>
      <c r="J36" s="288"/>
      <c r="K36" s="366"/>
      <c r="L36" s="105">
        <f t="shared" si="1"/>
        <v>26</v>
      </c>
    </row>
    <row r="37" spans="1:13">
      <c r="A37" s="105">
        <f t="shared" si="0"/>
        <v>27</v>
      </c>
      <c r="B37" s="122" t="s">
        <v>197</v>
      </c>
      <c r="E37" s="166"/>
      <c r="G37" s="166"/>
      <c r="H37" s="288"/>
      <c r="I37" s="803">
        <f>I25*I33</f>
        <v>20113.834266235088</v>
      </c>
      <c r="J37" s="286"/>
      <c r="K37" s="375" t="str">
        <f>"Line "&amp;A25&amp;" x Line "&amp;A33</f>
        <v>Line 15 x Line 23</v>
      </c>
      <c r="L37" s="105">
        <f t="shared" si="1"/>
        <v>27</v>
      </c>
      <c r="M37" s="371"/>
    </row>
    <row r="38" spans="1:13">
      <c r="A38" s="105">
        <f t="shared" si="0"/>
        <v>28</v>
      </c>
      <c r="E38" s="372"/>
      <c r="G38" s="372"/>
      <c r="H38" s="288"/>
      <c r="I38" s="376"/>
      <c r="J38" s="288"/>
      <c r="K38" s="366"/>
      <c r="L38" s="105">
        <f t="shared" si="1"/>
        <v>28</v>
      </c>
    </row>
    <row r="39" spans="1:13">
      <c r="A39" s="105">
        <f t="shared" si="0"/>
        <v>29</v>
      </c>
      <c r="B39" s="122" t="s">
        <v>198</v>
      </c>
      <c r="E39" s="166"/>
      <c r="G39" s="166"/>
      <c r="H39" s="288"/>
      <c r="I39" s="803">
        <f>I27*I33</f>
        <v>70461.848749219716</v>
      </c>
      <c r="J39" s="288"/>
      <c r="K39" s="375" t="str">
        <f>"Line "&amp;A27&amp;" x Line "&amp;A33</f>
        <v>Line 17 x Line 23</v>
      </c>
      <c r="L39" s="105">
        <f t="shared" si="1"/>
        <v>29</v>
      </c>
      <c r="M39" s="371"/>
    </row>
    <row r="40" spans="1:13">
      <c r="A40" s="105">
        <f t="shared" si="0"/>
        <v>30</v>
      </c>
      <c r="E40" s="166"/>
      <c r="G40" s="166"/>
      <c r="H40" s="288"/>
      <c r="I40" s="377"/>
      <c r="J40" s="288"/>
      <c r="K40" s="366"/>
      <c r="L40" s="105">
        <f t="shared" si="1"/>
        <v>30</v>
      </c>
      <c r="M40" s="371"/>
    </row>
    <row r="41" spans="1:13">
      <c r="A41" s="105">
        <f t="shared" si="0"/>
        <v>31</v>
      </c>
      <c r="B41" s="122" t="s">
        <v>199</v>
      </c>
      <c r="E41" s="166"/>
      <c r="G41" s="166"/>
      <c r="H41" s="288"/>
      <c r="I41" s="837">
        <f>I29*I33</f>
        <v>209834.39963011243</v>
      </c>
      <c r="J41" s="288"/>
      <c r="K41" s="375" t="str">
        <f>"Line "&amp;A29&amp;" x Line "&amp;A33</f>
        <v>Line 19 x Line 23</v>
      </c>
      <c r="L41" s="105">
        <f t="shared" si="1"/>
        <v>31</v>
      </c>
      <c r="M41" s="371"/>
    </row>
    <row r="42" spans="1:13">
      <c r="A42" s="105">
        <f t="shared" si="0"/>
        <v>32</v>
      </c>
      <c r="B42" s="122" t="s">
        <v>183</v>
      </c>
      <c r="E42" s="378"/>
      <c r="G42" s="378"/>
      <c r="H42" s="288"/>
      <c r="I42" s="379"/>
      <c r="J42" s="288"/>
      <c r="K42" s="366"/>
      <c r="L42" s="105">
        <f t="shared" si="1"/>
        <v>32</v>
      </c>
    </row>
    <row r="43" spans="1:13" ht="16.5" thickBot="1">
      <c r="A43" s="105">
        <f t="shared" si="0"/>
        <v>33</v>
      </c>
      <c r="B43" s="122" t="s">
        <v>200</v>
      </c>
      <c r="E43" s="166"/>
      <c r="G43" s="166"/>
      <c r="H43" s="380"/>
      <c r="I43" s="381">
        <f>I35+I37+I39+I41</f>
        <v>8737027.1882252563</v>
      </c>
      <c r="J43" s="286"/>
      <c r="K43" s="375" t="str">
        <f>"Sum Lines "&amp;A35&amp;" thru "&amp;A41</f>
        <v>Sum Lines 25 thru 31</v>
      </c>
      <c r="L43" s="105">
        <f t="shared" si="1"/>
        <v>33</v>
      </c>
      <c r="M43" s="371"/>
    </row>
    <row r="44" spans="1:13" ht="16.5" thickTop="1">
      <c r="A44" s="105">
        <f t="shared" si="0"/>
        <v>34</v>
      </c>
      <c r="E44" s="382"/>
      <c r="G44" s="382"/>
      <c r="H44" s="380"/>
      <c r="I44" s="383"/>
      <c r="J44" s="380"/>
      <c r="K44" s="366"/>
      <c r="L44" s="105">
        <f t="shared" si="1"/>
        <v>34</v>
      </c>
    </row>
    <row r="45" spans="1:13" ht="19.5" thickBot="1">
      <c r="A45" s="105">
        <f t="shared" si="0"/>
        <v>35</v>
      </c>
      <c r="B45" s="122" t="s">
        <v>879</v>
      </c>
      <c r="E45" s="384"/>
      <c r="G45" s="384"/>
      <c r="H45" s="380"/>
      <c r="I45" s="385">
        <f>I43/I31</f>
        <v>0.36742733634565911</v>
      </c>
      <c r="J45" s="286"/>
      <c r="K45" s="375" t="str">
        <f>"Line "&amp;A43&amp;" / Line "&amp;A31</f>
        <v>Line 33 / Line 21</v>
      </c>
      <c r="L45" s="105">
        <f t="shared" si="1"/>
        <v>35</v>
      </c>
      <c r="M45" s="371"/>
    </row>
    <row r="46" spans="1:13" ht="16.5" thickTop="1">
      <c r="E46" s="95"/>
      <c r="G46" s="386"/>
      <c r="H46" s="267"/>
      <c r="I46" s="267"/>
      <c r="J46" s="267"/>
      <c r="K46" s="105"/>
    </row>
    <row r="47" spans="1:13">
      <c r="E47" s="95"/>
      <c r="G47" s="386"/>
      <c r="H47" s="267"/>
      <c r="I47" s="267"/>
      <c r="J47" s="267"/>
      <c r="K47" s="105"/>
    </row>
    <row r="48" spans="1:13" ht="18.75">
      <c r="A48" s="306">
        <v>1</v>
      </c>
      <c r="B48" s="16" t="s">
        <v>201</v>
      </c>
      <c r="E48" s="95"/>
      <c r="G48" s="386"/>
      <c r="H48" s="267"/>
      <c r="I48" s="267"/>
      <c r="J48" s="267"/>
      <c r="K48" s="105"/>
    </row>
    <row r="49" spans="1:14" ht="18.75">
      <c r="A49" s="121">
        <v>2</v>
      </c>
      <c r="B49" s="16" t="s">
        <v>202</v>
      </c>
      <c r="E49" s="95"/>
      <c r="G49" s="386"/>
      <c r="H49" s="267"/>
      <c r="I49" s="267"/>
      <c r="J49" s="267"/>
      <c r="K49" s="105"/>
    </row>
    <row r="50" spans="1:14" ht="18.75">
      <c r="A50" s="121">
        <v>3</v>
      </c>
      <c r="B50" s="16" t="s">
        <v>203</v>
      </c>
    </row>
    <row r="51" spans="1:14" ht="18.75">
      <c r="A51" s="121">
        <v>4</v>
      </c>
      <c r="B51" s="16" t="s">
        <v>204</v>
      </c>
    </row>
    <row r="52" spans="1:14" ht="18.75">
      <c r="A52" s="121">
        <v>5</v>
      </c>
      <c r="B52" s="122" t="s">
        <v>205</v>
      </c>
      <c r="N52" s="170"/>
    </row>
    <row r="53" spans="1:14" ht="18.75">
      <c r="A53" s="121"/>
    </row>
    <row r="54" spans="1:14" ht="18.75">
      <c r="A54" s="121"/>
      <c r="N54" s="170"/>
    </row>
    <row r="55" spans="1:14" ht="18.75">
      <c r="A55" s="121"/>
      <c r="N55" s="170"/>
    </row>
    <row r="56" spans="1:14" ht="18.75">
      <c r="A56" s="121"/>
      <c r="N56" s="170"/>
    </row>
    <row r="57" spans="1:14" ht="18.75">
      <c r="A57" s="121"/>
      <c r="B57" s="16"/>
    </row>
    <row r="58" spans="1:14" ht="18.75">
      <c r="A58" s="121"/>
    </row>
    <row r="59" spans="1:14" ht="18.75">
      <c r="A59" s="121"/>
      <c r="B59" s="96"/>
    </row>
    <row r="60" spans="1:14" ht="18.75">
      <c r="A60" s="121"/>
    </row>
    <row r="82" spans="7:7">
      <c r="G82" s="105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47"/>
  <sheetViews>
    <sheetView zoomScale="80" zoomScaleNormal="80" workbookViewId="0">
      <selection activeCell="E39" sqref="E39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208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209</v>
      </c>
      <c r="D11" s="102"/>
      <c r="E11" s="103" t="s">
        <v>209</v>
      </c>
      <c r="F11" s="104"/>
    </row>
    <row r="12" spans="1:9">
      <c r="A12" s="105" t="s">
        <v>4</v>
      </c>
      <c r="B12" s="106"/>
      <c r="C12" s="95" t="s">
        <v>210</v>
      </c>
      <c r="D12" s="102"/>
      <c r="E12" s="107" t="s">
        <v>210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09">
        <v>575385.30310999975</v>
      </c>
      <c r="D14" s="110" t="s">
        <v>213</v>
      </c>
      <c r="E14" s="111">
        <v>591049.8386799997</v>
      </c>
      <c r="F14" s="110" t="s">
        <v>893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575890.89097999991</v>
      </c>
      <c r="D15" s="114"/>
      <c r="E15" s="115">
        <v>591555.42654999986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576338.16654000001</v>
      </c>
      <c r="D16" s="114"/>
      <c r="E16" s="115">
        <v>592002.70210999995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215</v>
      </c>
      <c r="C17" s="113">
        <v>576715.40640999994</v>
      </c>
      <c r="D17" s="114"/>
      <c r="E17" s="115">
        <v>592379.94197999989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216</v>
      </c>
      <c r="C18" s="113">
        <v>577964.17983999988</v>
      </c>
      <c r="D18" s="114"/>
      <c r="E18" s="115">
        <v>593628.71540999983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160</v>
      </c>
      <c r="C19" s="113">
        <v>577722.8820499999</v>
      </c>
      <c r="D19" s="114"/>
      <c r="E19" s="115">
        <v>593387.41761999985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217</v>
      </c>
      <c r="C20" s="113">
        <v>577894.59728999995</v>
      </c>
      <c r="D20" s="114"/>
      <c r="E20" s="115">
        <v>593559.1328599999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577906.93120999995</v>
      </c>
      <c r="D21" s="114"/>
      <c r="E21" s="115">
        <v>593571.4667799999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13">
        <v>577941.1466199999</v>
      </c>
      <c r="D22" s="114"/>
      <c r="E22" s="115">
        <v>593605.68218999985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13">
        <v>577962.10829</v>
      </c>
      <c r="D23" s="114"/>
      <c r="E23" s="115">
        <v>593626.64385999995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13">
        <v>578909.32411999989</v>
      </c>
      <c r="D24" s="114"/>
      <c r="E24" s="115">
        <v>594573.69419999991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13">
        <v>579438.53095999989</v>
      </c>
      <c r="D25" s="114"/>
      <c r="E25" s="115">
        <v>595102.90103999991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2">
        <v>581614.31114999996</v>
      </c>
      <c r="D26" s="110" t="s">
        <v>213</v>
      </c>
      <c r="E26" s="1032">
        <v>597278.79622999998</v>
      </c>
      <c r="F26" s="110" t="s">
        <v>894</v>
      </c>
      <c r="G26" s="105">
        <f t="shared" si="1"/>
        <v>13</v>
      </c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7511683.7785699982</v>
      </c>
      <c r="D28" s="144" t="str">
        <f>"Sum Lines "&amp;A14&amp;" thru "&amp;A26</f>
        <v>Sum Lines 1 thru 13</v>
      </c>
      <c r="E28" s="118">
        <f>SUM(E14:E26)</f>
        <v>7715322.3595099989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577821.82912076905</v>
      </c>
      <c r="D31" s="144" t="str">
        <f>"Average of Lines "&amp;A14&amp;" thru "&amp;A26</f>
        <v>Average of Lines 1 thru 13</v>
      </c>
      <c r="E31" s="118">
        <f>E28/13</f>
        <v>593486.33534692298</v>
      </c>
      <c r="F31" s="110" t="s">
        <v>895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225</v>
      </c>
      <c r="C35" s="120"/>
      <c r="D35" s="96"/>
      <c r="E35" s="120"/>
    </row>
    <row r="36" spans="1:5">
      <c r="B36" s="122" t="s">
        <v>226</v>
      </c>
      <c r="C36" s="120"/>
      <c r="D36" s="96"/>
      <c r="E36" s="120"/>
    </row>
    <row r="37" spans="1:5">
      <c r="C37" s="120"/>
      <c r="D37" s="96"/>
      <c r="E37" s="120"/>
    </row>
    <row r="38" spans="1:5"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9"/>
      <c r="E7" s="97"/>
      <c r="F7" s="97"/>
    </row>
    <row r="8" spans="1:8">
      <c r="B8" s="1308" t="s">
        <v>227</v>
      </c>
      <c r="C8" s="1308"/>
      <c r="D8" s="1308"/>
      <c r="E8" s="1308"/>
      <c r="F8" s="1308"/>
    </row>
    <row r="10" spans="1:8">
      <c r="B10" s="940"/>
      <c r="C10" s="739" t="s">
        <v>80</v>
      </c>
      <c r="D10" s="941"/>
      <c r="E10" s="739"/>
      <c r="F10" s="941"/>
    </row>
    <row r="11" spans="1:8">
      <c r="B11" s="102"/>
      <c r="C11" s="107" t="s">
        <v>228</v>
      </c>
      <c r="D11" s="102"/>
      <c r="E11" s="107" t="s">
        <v>228</v>
      </c>
      <c r="F11" s="102"/>
      <c r="H11" s="126"/>
    </row>
    <row r="12" spans="1:8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  <c r="H12" s="126"/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  <c r="H13" s="126"/>
    </row>
    <row r="14" spans="1:8">
      <c r="A14" s="105">
        <v>1</v>
      </c>
      <c r="B14" s="108" t="str">
        <f>"Dec-"&amp;RIGHT(Automation!$B$3-1,2)</f>
        <v>Dec-23</v>
      </c>
      <c r="C14" s="127">
        <v>0</v>
      </c>
      <c r="D14" s="110" t="s">
        <v>213</v>
      </c>
      <c r="E14" s="127">
        <v>0</v>
      </c>
      <c r="F14" s="110" t="s">
        <v>893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28">
        <v>0</v>
      </c>
      <c r="D15" s="114"/>
      <c r="E15" s="128">
        <v>0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214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215</v>
      </c>
      <c r="C17" s="128">
        <v>0</v>
      </c>
      <c r="D17" s="114"/>
      <c r="E17" s="128">
        <v>0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28">
        <v>0</v>
      </c>
      <c r="D18" s="114"/>
      <c r="E18" s="128">
        <v>0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160</v>
      </c>
      <c r="C19" s="128">
        <v>0</v>
      </c>
      <c r="D19" s="114"/>
      <c r="E19" s="128">
        <v>0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28">
        <v>0</v>
      </c>
      <c r="D20" s="114"/>
      <c r="E20" s="128">
        <v>0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28">
        <v>0</v>
      </c>
      <c r="D26" s="1035" t="s">
        <v>213</v>
      </c>
      <c r="E26" s="1036">
        <v>0</v>
      </c>
      <c r="F26" s="110" t="s">
        <v>894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2"/>
      <c r="D27" s="116"/>
      <c r="E27" s="129"/>
      <c r="F27" s="940"/>
      <c r="G27" s="105">
        <f t="shared" si="1"/>
        <v>14</v>
      </c>
    </row>
    <row r="28" spans="1:8">
      <c r="A28" s="105">
        <f t="shared" si="0"/>
        <v>15</v>
      </c>
      <c r="B28" s="116" t="s">
        <v>223</v>
      </c>
      <c r="C28" s="130">
        <f>SUM(C14:C26)</f>
        <v>0</v>
      </c>
      <c r="D28" s="144" t="str">
        <f>"Sum Lines "&amp;A14&amp;" thru "&amp;A26</f>
        <v>Sum Lines 1 thru 13</v>
      </c>
      <c r="E28" s="130">
        <f>SUM(E14:E26)</f>
        <v>0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8">
      <c r="A30" s="105">
        <f t="shared" si="0"/>
        <v>17</v>
      </c>
      <c r="B30" s="116"/>
      <c r="C30" s="129"/>
      <c r="D30" s="116"/>
      <c r="E30" s="129"/>
      <c r="F30" s="116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30">
        <f>C28/13</f>
        <v>0</v>
      </c>
      <c r="D31" s="144" t="str">
        <f>"Average of Lines "&amp;A14&amp;" thru "&amp;A26</f>
        <v>Average of Lines 1 thru 13</v>
      </c>
      <c r="E31" s="130">
        <f>E28/13</f>
        <v>0</v>
      </c>
      <c r="F31" s="110" t="s">
        <v>895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7"/>
      <c r="D32" s="987"/>
      <c r="E32" s="1037"/>
      <c r="F32" s="987"/>
      <c r="G32" s="105">
        <f t="shared" si="1"/>
        <v>19</v>
      </c>
    </row>
    <row r="33" spans="1:7">
      <c r="B33" s="122"/>
      <c r="C33" s="131"/>
      <c r="D33" s="122"/>
      <c r="E33" s="131"/>
      <c r="F33" s="122"/>
      <c r="G33" s="492"/>
    </row>
    <row r="34" spans="1:7">
      <c r="C34" s="131"/>
      <c r="D34" s="122"/>
      <c r="E34" s="131"/>
      <c r="F34" s="122"/>
      <c r="G34" s="492"/>
    </row>
    <row r="35" spans="1:7" ht="18.75">
      <c r="A35" s="121">
        <v>1</v>
      </c>
      <c r="B35" s="122" t="s">
        <v>225</v>
      </c>
      <c r="C35" s="132"/>
      <c r="D35" s="122"/>
      <c r="E35" s="132"/>
      <c r="F35" s="122"/>
      <c r="G35" s="492"/>
    </row>
    <row r="36" spans="1:7">
      <c r="B36" s="122" t="s">
        <v>226</v>
      </c>
      <c r="C36" s="132"/>
      <c r="D36" s="122"/>
      <c r="E36" s="132"/>
      <c r="F36" s="122"/>
      <c r="G36" s="492"/>
    </row>
    <row r="37" spans="1:7">
      <c r="C37" s="132"/>
      <c r="D37" s="122"/>
      <c r="E37" s="132"/>
      <c r="F37" s="122"/>
      <c r="G37" s="492"/>
    </row>
    <row r="38" spans="1:7">
      <c r="C38" s="132"/>
      <c r="D38" s="122"/>
      <c r="E38" s="132"/>
      <c r="F38" s="122"/>
      <c r="G38" s="492"/>
    </row>
    <row r="39" spans="1:7">
      <c r="C39" s="133"/>
      <c r="E39" s="126"/>
      <c r="G39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>
      <selection activeCell="I30" sqref="I30"/>
    </sheetView>
  </sheetViews>
  <sheetFormatPr defaultColWidth="9.425781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8"/>
      <c r="E7" s="97"/>
      <c r="F7" s="97"/>
    </row>
    <row r="8" spans="1:9">
      <c r="B8" s="1308" t="s">
        <v>229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107" t="s">
        <v>230</v>
      </c>
      <c r="D11" s="102"/>
      <c r="E11" s="107" t="s">
        <v>230</v>
      </c>
      <c r="F11" s="102"/>
    </row>
    <row r="12" spans="1:9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  <c r="H13" s="126"/>
    </row>
    <row r="14" spans="1:9">
      <c r="A14" s="105">
        <v>1</v>
      </c>
      <c r="B14" s="108" t="str">
        <f>"Dec-"&amp;RIGHT(Automation!$B$3-1,2)</f>
        <v>Dec-23</v>
      </c>
      <c r="C14" s="127">
        <v>0</v>
      </c>
      <c r="D14" s="110" t="s">
        <v>213</v>
      </c>
      <c r="E14" s="127">
        <v>0</v>
      </c>
      <c r="F14" s="110" t="s">
        <v>213</v>
      </c>
      <c r="G14" s="105">
        <f>A14</f>
        <v>1</v>
      </c>
      <c r="H14" s="126"/>
      <c r="I14" s="126"/>
    </row>
    <row r="15" spans="1:9">
      <c r="A15" s="105">
        <f>A14+1</f>
        <v>2</v>
      </c>
      <c r="B15" s="108" t="str">
        <f>"Jan-"&amp;RIGHT(Automation!$B$3,2)</f>
        <v>Jan-24</v>
      </c>
      <c r="C15" s="128">
        <v>0</v>
      </c>
      <c r="D15" s="114"/>
      <c r="E15" s="128">
        <v>0</v>
      </c>
      <c r="F15" s="114"/>
      <c r="G15" s="105">
        <f>G14+1</f>
        <v>2</v>
      </c>
      <c r="H15" s="126"/>
    </row>
    <row r="16" spans="1:9">
      <c r="A16" s="105">
        <f t="shared" ref="A16:A32" si="0">A15+1</f>
        <v>3</v>
      </c>
      <c r="B16" s="108" t="s">
        <v>214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  <c r="H16" s="126"/>
    </row>
    <row r="17" spans="1:9">
      <c r="A17" s="105">
        <f t="shared" si="0"/>
        <v>4</v>
      </c>
      <c r="B17" s="108" t="s">
        <v>215</v>
      </c>
      <c r="C17" s="128">
        <v>0</v>
      </c>
      <c r="D17" s="114"/>
      <c r="E17" s="128">
        <v>0</v>
      </c>
      <c r="F17" s="114"/>
      <c r="G17" s="105">
        <f t="shared" si="1"/>
        <v>4</v>
      </c>
      <c r="H17" s="126"/>
    </row>
    <row r="18" spans="1:9">
      <c r="A18" s="105">
        <f t="shared" si="0"/>
        <v>5</v>
      </c>
      <c r="B18" s="108" t="s">
        <v>216</v>
      </c>
      <c r="C18" s="128">
        <v>0</v>
      </c>
      <c r="D18" s="114"/>
      <c r="E18" s="128">
        <v>0</v>
      </c>
      <c r="F18" s="114"/>
      <c r="G18" s="105">
        <f t="shared" si="1"/>
        <v>5</v>
      </c>
      <c r="H18" s="126"/>
    </row>
    <row r="19" spans="1:9">
      <c r="A19" s="105">
        <f t="shared" si="0"/>
        <v>6</v>
      </c>
      <c r="B19" s="108" t="s">
        <v>160</v>
      </c>
      <c r="C19" s="128">
        <v>0</v>
      </c>
      <c r="D19" s="114"/>
      <c r="E19" s="128">
        <v>0</v>
      </c>
      <c r="F19" s="114"/>
      <c r="G19" s="105">
        <f t="shared" si="1"/>
        <v>6</v>
      </c>
      <c r="H19" s="126"/>
    </row>
    <row r="20" spans="1:9">
      <c r="A20" s="105">
        <f>A19+1</f>
        <v>7</v>
      </c>
      <c r="B20" s="108" t="s">
        <v>217</v>
      </c>
      <c r="C20" s="128">
        <v>0</v>
      </c>
      <c r="D20" s="114"/>
      <c r="E20" s="128">
        <v>0</v>
      </c>
      <c r="F20" s="114"/>
      <c r="G20" s="105">
        <f>G19+1</f>
        <v>7</v>
      </c>
      <c r="H20" s="126"/>
    </row>
    <row r="21" spans="1:9">
      <c r="A21" s="105">
        <f t="shared" si="0"/>
        <v>8</v>
      </c>
      <c r="B21" s="108" t="s">
        <v>218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28">
        <v>0</v>
      </c>
      <c r="D26" s="1035" t="s">
        <v>213</v>
      </c>
      <c r="E26" s="1036">
        <v>0</v>
      </c>
      <c r="F26" s="1035" t="s">
        <v>213</v>
      </c>
      <c r="G26" s="105">
        <f t="shared" si="1"/>
        <v>13</v>
      </c>
      <c r="I26" s="126"/>
    </row>
    <row r="27" spans="1:9">
      <c r="A27" s="105">
        <f t="shared" si="0"/>
        <v>14</v>
      </c>
      <c r="B27" s="116"/>
      <c r="C27" s="742"/>
      <c r="D27" s="134"/>
      <c r="E27" s="129"/>
      <c r="F27" s="942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30">
        <f>SUM(C14:C26)</f>
        <v>0</v>
      </c>
      <c r="D28" s="271" t="str">
        <f>"Sum Lines "&amp;A14&amp;" thru "&amp;A26</f>
        <v>Sum Lines 1 thru 13</v>
      </c>
      <c r="E28" s="130">
        <f>SUM(E14:E26)</f>
        <v>0</v>
      </c>
      <c r="F28" s="445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7"/>
      <c r="D29" s="1038"/>
      <c r="E29" s="1037"/>
      <c r="F29" s="1039"/>
      <c r="G29" s="105">
        <f t="shared" si="1"/>
        <v>16</v>
      </c>
    </row>
    <row r="30" spans="1:9">
      <c r="A30" s="105">
        <f t="shared" si="0"/>
        <v>17</v>
      </c>
      <c r="B30" s="116"/>
      <c r="C30" s="129"/>
      <c r="D30" s="135"/>
      <c r="E30" s="129"/>
      <c r="F30" s="13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37">
        <f>C28/13</f>
        <v>0</v>
      </c>
      <c r="D31" s="271" t="str">
        <f>"Average of Lines "&amp;A14&amp;" thru "&amp;A26</f>
        <v>Average of Lines 1 thru 13</v>
      </c>
      <c r="E31" s="137">
        <f>E28/13</f>
        <v>0</v>
      </c>
      <c r="F31" s="445" t="str">
        <f>"Average of Lines "&amp;A14&amp;" thru "&amp;A26</f>
        <v>Average of Lines 1 thru 13</v>
      </c>
      <c r="G31" s="105">
        <f t="shared" si="1"/>
        <v>18</v>
      </c>
      <c r="I31" s="126"/>
    </row>
    <row r="32" spans="1:9">
      <c r="A32" s="105">
        <f t="shared" si="0"/>
        <v>19</v>
      </c>
      <c r="B32" s="987"/>
      <c r="C32" s="1037"/>
      <c r="D32" s="988"/>
      <c r="E32" s="1037"/>
      <c r="F32" s="1039"/>
      <c r="G32" s="105">
        <f t="shared" si="1"/>
        <v>19</v>
      </c>
    </row>
    <row r="33" spans="1:7">
      <c r="A33" s="105"/>
      <c r="B33" s="122"/>
      <c r="C33" s="131"/>
      <c r="D33" s="131"/>
      <c r="E33" s="131"/>
      <c r="F33" s="132"/>
      <c r="G33" s="492"/>
    </row>
    <row r="34" spans="1:7">
      <c r="A34" s="105"/>
      <c r="C34" s="132"/>
      <c r="D34" s="132"/>
      <c r="E34" s="132"/>
      <c r="F34" s="132"/>
      <c r="G34" s="492"/>
    </row>
    <row r="35" spans="1:7" ht="18.75">
      <c r="A35" s="121">
        <v>1</v>
      </c>
      <c r="B35" s="122" t="s">
        <v>225</v>
      </c>
      <c r="C35" s="132"/>
      <c r="D35" s="132"/>
      <c r="E35" s="132"/>
      <c r="F35" s="132"/>
      <c r="G35" s="492"/>
    </row>
    <row r="36" spans="1:7">
      <c r="B36" s="122" t="s">
        <v>226</v>
      </c>
      <c r="C36" s="132"/>
      <c r="D36" s="132"/>
      <c r="E36" s="132"/>
      <c r="F36" s="132"/>
      <c r="G36" s="492"/>
    </row>
    <row r="37" spans="1:7">
      <c r="C37" s="132"/>
      <c r="D37" s="132"/>
      <c r="E37" s="132"/>
      <c r="F37" s="132"/>
      <c r="G37" s="492"/>
    </row>
    <row r="38" spans="1:7">
      <c r="C38" s="133"/>
      <c r="D38" s="133"/>
      <c r="E38" s="126"/>
      <c r="F38" s="126"/>
      <c r="G38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H44"/>
  <sheetViews>
    <sheetView zoomScale="80" zoomScaleNormal="80" workbookViewId="0">
      <selection activeCell="E14" sqref="E14:E26"/>
    </sheetView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42578125" style="139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138"/>
      <c r="E7" s="97"/>
      <c r="F7" s="97"/>
    </row>
    <row r="8" spans="1:8">
      <c r="B8" s="1308" t="s">
        <v>231</v>
      </c>
      <c r="C8" s="1308"/>
      <c r="D8" s="1308"/>
      <c r="E8" s="1308"/>
      <c r="F8" s="1308"/>
    </row>
    <row r="10" spans="1:8">
      <c r="B10" s="940"/>
      <c r="C10" s="739" t="s">
        <v>80</v>
      </c>
      <c r="D10" s="941"/>
      <c r="E10" s="739"/>
      <c r="F10" s="941"/>
    </row>
    <row r="11" spans="1:8">
      <c r="A11" s="105"/>
      <c r="B11" s="102"/>
      <c r="C11" s="95" t="s">
        <v>232</v>
      </c>
      <c r="D11" s="102"/>
      <c r="E11" s="107" t="s">
        <v>232</v>
      </c>
      <c r="F11" s="102"/>
    </row>
    <row r="12" spans="1:8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Dec-23</v>
      </c>
      <c r="C14" s="109">
        <v>624502.05602999998</v>
      </c>
      <c r="D14" s="110" t="s">
        <v>213</v>
      </c>
      <c r="E14" s="109">
        <v>582308.96525000001</v>
      </c>
      <c r="F14" s="110" t="s">
        <v>893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13">
        <v>624797.41312000004</v>
      </c>
      <c r="D15" s="114"/>
      <c r="E15" s="113">
        <v>582604.32234000007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214</v>
      </c>
      <c r="C16" s="113">
        <v>624644.7580400001</v>
      </c>
      <c r="D16" s="114"/>
      <c r="E16" s="113">
        <v>582451.66726000013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215</v>
      </c>
      <c r="C17" s="113">
        <v>624849.3525299998</v>
      </c>
      <c r="D17" s="114"/>
      <c r="E17" s="113">
        <v>582656.26174999983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13">
        <v>625519.85930000024</v>
      </c>
      <c r="D18" s="114"/>
      <c r="E18" s="113">
        <v>583326.76852000027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160</v>
      </c>
      <c r="C19" s="113">
        <v>625517.72751000023</v>
      </c>
      <c r="D19" s="114"/>
      <c r="E19" s="113">
        <v>583324.63673000026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13">
        <v>625691.33254000009</v>
      </c>
      <c r="D20" s="114"/>
      <c r="E20" s="113">
        <v>583498.24176000012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13">
        <v>625777.29544999986</v>
      </c>
      <c r="D21" s="114"/>
      <c r="E21" s="113">
        <v>583584.20466999989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13">
        <v>625828.18670999981</v>
      </c>
      <c r="D22" s="114"/>
      <c r="E22" s="113">
        <v>583635.09592999984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13">
        <v>625931.38958999992</v>
      </c>
      <c r="D23" s="114"/>
      <c r="E23" s="113">
        <v>583738.29880999995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13">
        <v>625976.81964999996</v>
      </c>
      <c r="D24" s="114"/>
      <c r="E24" s="113">
        <v>583783.72886999999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13">
        <v>625662.86396999995</v>
      </c>
      <c r="D25" s="114"/>
      <c r="E25" s="113">
        <v>583844.80027000001</v>
      </c>
      <c r="F25" s="114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13">
        <v>625992.21435000002</v>
      </c>
      <c r="D26" s="1035" t="s">
        <v>213</v>
      </c>
      <c r="E26" s="1038">
        <v>584174.15065000008</v>
      </c>
      <c r="F26" s="110" t="s">
        <v>894</v>
      </c>
      <c r="G26" s="105">
        <f t="shared" si="1"/>
        <v>13</v>
      </c>
      <c r="H26" s="112"/>
    </row>
    <row r="27" spans="1:8">
      <c r="A27" s="105">
        <f>A26+1</f>
        <v>14</v>
      </c>
      <c r="B27" s="116"/>
      <c r="C27" s="742"/>
      <c r="D27" s="116"/>
      <c r="E27" s="129"/>
      <c r="F27" s="940"/>
      <c r="G27" s="105">
        <f>G26+1</f>
        <v>14</v>
      </c>
    </row>
    <row r="28" spans="1:8">
      <c r="A28" s="105">
        <f t="shared" si="0"/>
        <v>15</v>
      </c>
      <c r="B28" s="116" t="s">
        <v>223</v>
      </c>
      <c r="C28" s="118">
        <f>SUM(C14:C26)</f>
        <v>8130691.2687900001</v>
      </c>
      <c r="D28" s="144" t="str">
        <f>"Sum Lines "&amp;A14&amp;" thru "&amp;A26</f>
        <v>Sum Lines 1 thru 13</v>
      </c>
      <c r="E28" s="118">
        <f>SUM(E14:E26)</f>
        <v>7582931.1428100001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33"/>
      <c r="D29" s="1040"/>
      <c r="E29" s="1033"/>
      <c r="F29" s="1040"/>
      <c r="G29" s="105">
        <f t="shared" si="1"/>
        <v>16</v>
      </c>
    </row>
    <row r="30" spans="1:8">
      <c r="A30" s="105">
        <f t="shared" si="0"/>
        <v>17</v>
      </c>
      <c r="B30" s="116"/>
      <c r="C30" s="118"/>
      <c r="D30" s="119"/>
      <c r="E30" s="118"/>
      <c r="F30" s="119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18">
        <f>C28/13</f>
        <v>625437.78990692308</v>
      </c>
      <c r="D31" s="144" t="str">
        <f>"Average of Lines "&amp;A14&amp;" thru "&amp;A26</f>
        <v>Average of Lines 1 thru 13</v>
      </c>
      <c r="E31" s="118">
        <f>E28/13</f>
        <v>583302.3956007692</v>
      </c>
      <c r="F31" s="110" t="s">
        <v>895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7"/>
      <c r="D32" s="987"/>
      <c r="E32" s="1037"/>
      <c r="F32" s="987"/>
      <c r="G32" s="105">
        <f t="shared" si="1"/>
        <v>19</v>
      </c>
    </row>
    <row r="33" spans="1:7">
      <c r="B33" s="122"/>
      <c r="C33" s="131"/>
      <c r="D33" s="122"/>
      <c r="E33" s="131"/>
      <c r="F33" s="122"/>
    </row>
    <row r="34" spans="1:7">
      <c r="C34" s="131"/>
      <c r="D34" s="122"/>
      <c r="E34" s="131"/>
      <c r="F34" s="122"/>
    </row>
    <row r="35" spans="1:7" ht="18.75">
      <c r="A35" s="121">
        <v>1</v>
      </c>
      <c r="B35" s="122" t="s">
        <v>225</v>
      </c>
      <c r="C35" s="131"/>
      <c r="D35" s="122"/>
      <c r="E35" s="131"/>
      <c r="F35" s="122"/>
    </row>
    <row r="36" spans="1:7">
      <c r="B36" s="122" t="s">
        <v>226</v>
      </c>
      <c r="C36" s="131"/>
      <c r="D36" s="122"/>
      <c r="E36" s="131"/>
      <c r="F36" s="122"/>
    </row>
    <row r="37" spans="1:7">
      <c r="C37" s="131"/>
      <c r="D37" s="122"/>
      <c r="E37" s="131"/>
      <c r="F37" s="122"/>
    </row>
    <row r="38" spans="1:7">
      <c r="C38" s="131"/>
      <c r="D38" s="122"/>
      <c r="E38" s="131"/>
      <c r="F38" s="122"/>
    </row>
    <row r="39" spans="1:7">
      <c r="C39" s="140"/>
      <c r="D39" s="140"/>
      <c r="E39" s="140"/>
      <c r="F39" s="140"/>
      <c r="G39" s="493"/>
    </row>
    <row r="40" spans="1:7">
      <c r="E40" s="141"/>
    </row>
    <row r="41" spans="1:7">
      <c r="E41" s="141"/>
    </row>
    <row r="42" spans="1:7">
      <c r="E42" s="141"/>
    </row>
    <row r="43" spans="1:7">
      <c r="E43" s="141"/>
    </row>
    <row r="44" spans="1:7">
      <c r="E44" s="14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31"/>
  <sheetViews>
    <sheetView zoomScale="80" zoomScaleNormal="80" workbookViewId="0">
      <selection activeCell="C34" sqref="C34"/>
    </sheetView>
  </sheetViews>
  <sheetFormatPr defaultColWidth="9.140625" defaultRowHeight="15.75"/>
  <cols>
    <col min="1" max="1" width="5.140625" style="95" customWidth="1"/>
    <col min="2" max="2" width="38" style="96" customWidth="1"/>
    <col min="3" max="3" width="18.5703125" style="100" customWidth="1"/>
    <col min="4" max="4" width="29.42578125" style="100" bestFit="1" customWidth="1"/>
    <col min="5" max="5" width="18.5703125" style="96" customWidth="1"/>
    <col min="6" max="6" width="55.42578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I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8"/>
      <c r="E7" s="97"/>
      <c r="F7" s="97"/>
    </row>
    <row r="8" spans="1:9">
      <c r="B8" s="1308" t="s">
        <v>233</v>
      </c>
      <c r="C8" s="1308"/>
      <c r="D8" s="1308"/>
      <c r="E8" s="1308"/>
      <c r="F8" s="1308"/>
    </row>
    <row r="9" spans="1:9">
      <c r="G9" s="105"/>
    </row>
    <row r="10" spans="1:9">
      <c r="B10" s="940"/>
      <c r="C10" s="739" t="s">
        <v>80</v>
      </c>
      <c r="D10" s="941"/>
      <c r="E10" s="739"/>
      <c r="F10" s="941"/>
      <c r="G10" s="105"/>
    </row>
    <row r="11" spans="1:9">
      <c r="B11" s="102"/>
      <c r="C11" s="95" t="s">
        <v>234</v>
      </c>
      <c r="D11" s="102"/>
      <c r="E11" s="107" t="s">
        <v>234</v>
      </c>
      <c r="F11" s="102"/>
      <c r="G11" s="105"/>
    </row>
    <row r="12" spans="1:9">
      <c r="A12" s="105" t="s">
        <v>4</v>
      </c>
      <c r="B12" s="106"/>
      <c r="C12" s="95" t="s">
        <v>235</v>
      </c>
      <c r="D12" s="102"/>
      <c r="E12" s="107" t="s">
        <v>235</v>
      </c>
      <c r="F12" s="102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/>
      <c r="B14" s="142"/>
      <c r="C14" s="853"/>
      <c r="D14" s="102"/>
      <c r="E14" s="107"/>
      <c r="F14" s="102"/>
      <c r="G14" s="105"/>
    </row>
    <row r="15" spans="1:9">
      <c r="A15" s="105">
        <v>1</v>
      </c>
      <c r="B15" s="108" t="str">
        <f>"Dec-"&amp;RIGHT(Automation!$B$3-1,2)</f>
        <v>Dec-23</v>
      </c>
      <c r="C15" s="109">
        <v>10855749.871329978</v>
      </c>
      <c r="D15" s="143" t="s">
        <v>213</v>
      </c>
      <c r="E15" s="111">
        <v>11031887.66371526</v>
      </c>
      <c r="F15" s="143" t="s">
        <v>893</v>
      </c>
      <c r="G15" s="105">
        <f>A15</f>
        <v>1</v>
      </c>
      <c r="H15" s="1146"/>
      <c r="I15" s="1147"/>
    </row>
    <row r="16" spans="1:9">
      <c r="A16" s="105">
        <f>A15+1</f>
        <v>2</v>
      </c>
      <c r="B16" s="108"/>
      <c r="C16" s="113"/>
      <c r="D16" s="143"/>
      <c r="E16" s="115"/>
      <c r="F16" s="143"/>
      <c r="G16" s="105">
        <f>G15+1</f>
        <v>2</v>
      </c>
    </row>
    <row r="17" spans="1:9" ht="15.75" customHeight="1">
      <c r="A17" s="105">
        <f t="shared" ref="A17:A21" si="0">A16+1</f>
        <v>3</v>
      </c>
      <c r="B17" s="108" t="str">
        <f>"Dec-"&amp;RIGHT(Automation!$B$3,2)</f>
        <v>Dec-24</v>
      </c>
      <c r="C17" s="113">
        <v>11684818.694049969</v>
      </c>
      <c r="D17" s="143" t="s">
        <v>213</v>
      </c>
      <c r="E17" s="113">
        <v>11900658.479583826</v>
      </c>
      <c r="F17" s="143" t="s">
        <v>894</v>
      </c>
      <c r="G17" s="105">
        <f t="shared" ref="G17:G21" si="1">G16+1</f>
        <v>3</v>
      </c>
      <c r="I17" s="112"/>
    </row>
    <row r="18" spans="1:9">
      <c r="A18" s="105">
        <f t="shared" si="0"/>
        <v>4</v>
      </c>
      <c r="B18" s="1041"/>
      <c r="C18" s="1037"/>
      <c r="D18" s="1042"/>
      <c r="E18" s="1037"/>
      <c r="F18" s="1042"/>
      <c r="G18" s="105">
        <f t="shared" si="1"/>
        <v>4</v>
      </c>
    </row>
    <row r="19" spans="1:9">
      <c r="A19" s="105">
        <f>A18+1</f>
        <v>5</v>
      </c>
      <c r="B19" s="116"/>
      <c r="C19" s="129"/>
      <c r="D19" s="116"/>
      <c r="E19" s="129"/>
      <c r="F19" s="116"/>
      <c r="G19" s="105">
        <f>G18+1</f>
        <v>5</v>
      </c>
    </row>
    <row r="20" spans="1:9">
      <c r="A20" s="105">
        <f t="shared" si="0"/>
        <v>6</v>
      </c>
      <c r="B20" s="116" t="s">
        <v>236</v>
      </c>
      <c r="C20" s="118">
        <f>(C15+C17)/2</f>
        <v>11270284.282689974</v>
      </c>
      <c r="D20" s="180" t="str">
        <f>"Average of Line "&amp;A15&amp;" and Line "&amp;A17</f>
        <v>Average of Line 1 and Line 3</v>
      </c>
      <c r="E20" s="118">
        <f>(E15+E17)/2</f>
        <v>11466273.071649544</v>
      </c>
      <c r="F20" s="144" t="str">
        <f>"Average of Line "&amp;A15&amp;" and Line "&amp;A17</f>
        <v>Average of Line 1 and Line 3</v>
      </c>
      <c r="G20" s="105">
        <f t="shared" si="1"/>
        <v>6</v>
      </c>
    </row>
    <row r="21" spans="1:9">
      <c r="A21" s="105">
        <f t="shared" si="0"/>
        <v>7</v>
      </c>
      <c r="B21" s="987"/>
      <c r="C21" s="1033"/>
      <c r="D21" s="1003"/>
      <c r="E21" s="1033"/>
      <c r="F21" s="1043"/>
      <c r="G21" s="105">
        <f t="shared" si="1"/>
        <v>7</v>
      </c>
    </row>
    <row r="22" spans="1:9">
      <c r="B22" s="122"/>
      <c r="C22" s="122"/>
      <c r="D22" s="122"/>
      <c r="E22" s="122"/>
      <c r="F22" s="122"/>
    </row>
    <row r="23" spans="1:9">
      <c r="C23" s="122"/>
      <c r="D23" s="122"/>
      <c r="E23" s="145"/>
      <c r="F23" s="122"/>
    </row>
    <row r="24" spans="1:9" ht="18.75">
      <c r="A24" s="121">
        <v>1</v>
      </c>
      <c r="B24" s="122" t="s">
        <v>225</v>
      </c>
      <c r="C24" s="122"/>
      <c r="D24" s="122"/>
      <c r="E24" s="122"/>
      <c r="F24" s="122"/>
    </row>
    <row r="25" spans="1:9">
      <c r="B25" s="122" t="s">
        <v>226</v>
      </c>
      <c r="C25" s="122"/>
      <c r="D25" s="122"/>
      <c r="E25" s="122"/>
      <c r="F25" s="122"/>
    </row>
    <row r="26" spans="1:9">
      <c r="B26" s="122"/>
      <c r="C26" s="122"/>
      <c r="D26" s="122"/>
      <c r="E26" s="122"/>
      <c r="F26" s="122"/>
    </row>
    <row r="27" spans="1:9" ht="18.75">
      <c r="A27" s="121"/>
      <c r="B27" s="122"/>
      <c r="C27" s="122"/>
      <c r="D27" s="122"/>
      <c r="E27" s="122"/>
      <c r="F27" s="122"/>
      <c r="I27" s="170"/>
    </row>
    <row r="28" spans="1:9">
      <c r="B28" s="122"/>
      <c r="C28" s="122"/>
      <c r="D28" s="122"/>
      <c r="E28" s="122"/>
      <c r="F28" s="122"/>
    </row>
    <row r="29" spans="1:9">
      <c r="B29" s="122"/>
      <c r="C29" s="122"/>
      <c r="D29" s="122"/>
      <c r="E29" s="122"/>
      <c r="F29" s="122"/>
    </row>
    <row r="30" spans="1:9">
      <c r="B30" s="122"/>
      <c r="H30" s="170"/>
    </row>
    <row r="31" spans="1:9">
      <c r="B31" s="1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  <ignoredErrors>
    <ignoredError sqref="D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K47"/>
  <sheetViews>
    <sheetView zoomScale="80" zoomScaleNormal="80" workbookViewId="0">
      <selection activeCell="F37" sqref="F37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9.8554687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11">
      <c r="B2" s="1308" t="s">
        <v>0</v>
      </c>
      <c r="C2" s="1308"/>
      <c r="D2" s="1308"/>
      <c r="E2" s="1308"/>
      <c r="F2" s="1308"/>
    </row>
    <row r="3" spans="1:11">
      <c r="B3" s="1308" t="s">
        <v>206</v>
      </c>
      <c r="C3" s="1308"/>
      <c r="D3" s="1308"/>
      <c r="E3" s="1308"/>
      <c r="F3" s="1308"/>
    </row>
    <row r="4" spans="1:11">
      <c r="B4" s="1308" t="s">
        <v>207</v>
      </c>
      <c r="C4" s="1308"/>
      <c r="D4" s="1308"/>
      <c r="E4" s="1308"/>
      <c r="F4" s="1308"/>
    </row>
    <row r="5" spans="1:11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11">
      <c r="B6" s="1312" t="s">
        <v>3</v>
      </c>
      <c r="C6" s="1312"/>
      <c r="D6" s="1312"/>
      <c r="E6" s="1312"/>
      <c r="F6" s="1312"/>
    </row>
    <row r="7" spans="1:11">
      <c r="B7" s="97"/>
      <c r="C7" s="98"/>
      <c r="D7" s="98"/>
      <c r="E7" s="97"/>
      <c r="F7" s="97"/>
    </row>
    <row r="8" spans="1:11">
      <c r="B8" s="1308" t="s">
        <v>237</v>
      </c>
      <c r="C8" s="1308"/>
      <c r="D8" s="1308"/>
      <c r="E8" s="1308"/>
      <c r="F8" s="1308"/>
    </row>
    <row r="10" spans="1:11">
      <c r="B10" s="940"/>
      <c r="C10" s="739" t="s">
        <v>80</v>
      </c>
      <c r="D10" s="941"/>
      <c r="E10" s="739"/>
      <c r="F10" s="941"/>
    </row>
    <row r="11" spans="1:11">
      <c r="B11" s="102"/>
      <c r="C11" s="107" t="s">
        <v>238</v>
      </c>
      <c r="D11" s="102"/>
      <c r="E11" s="107" t="s">
        <v>238</v>
      </c>
      <c r="F11" s="102"/>
      <c r="G11" s="105"/>
    </row>
    <row r="12" spans="1:11">
      <c r="A12" s="105" t="s">
        <v>4</v>
      </c>
      <c r="B12" s="106"/>
      <c r="C12" s="107" t="s">
        <v>235</v>
      </c>
      <c r="D12" s="102"/>
      <c r="E12" s="107" t="s">
        <v>235</v>
      </c>
      <c r="F12" s="102"/>
      <c r="G12" s="105" t="s">
        <v>4</v>
      </c>
    </row>
    <row r="13" spans="1:11" ht="18.75">
      <c r="A13" s="105" t="s">
        <v>5</v>
      </c>
      <c r="B13" s="986" t="s">
        <v>123</v>
      </c>
      <c r="C13" s="1031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11">
      <c r="A14" s="105">
        <v>1</v>
      </c>
      <c r="B14" s="108" t="str">
        <f>"Dec-"&amp;RIGHT(Automation!$B$3-1,2)</f>
        <v>Dec-23</v>
      </c>
      <c r="C14" s="109">
        <v>8381786.0543000083</v>
      </c>
      <c r="D14" s="143" t="s">
        <v>213</v>
      </c>
      <c r="E14" s="111">
        <v>8232399.6584847281</v>
      </c>
      <c r="F14" s="143" t="s">
        <v>893</v>
      </c>
      <c r="G14" s="105">
        <f>A14</f>
        <v>1</v>
      </c>
      <c r="H14" s="112"/>
      <c r="K14" s="141"/>
    </row>
    <row r="15" spans="1:11">
      <c r="A15" s="105">
        <f>A14+1</f>
        <v>2</v>
      </c>
      <c r="B15" s="108" t="str">
        <f>"Jan-"&amp;RIGHT(Automation!$B$3,2)</f>
        <v>Jan-24</v>
      </c>
      <c r="C15" s="113">
        <v>8393678.8092899974</v>
      </c>
      <c r="D15" s="146"/>
      <c r="E15" s="115">
        <v>8228824.0889611412</v>
      </c>
      <c r="F15" s="146"/>
      <c r="G15" s="105">
        <f>G14+1</f>
        <v>2</v>
      </c>
      <c r="H15" s="141"/>
      <c r="K15" s="141"/>
    </row>
    <row r="16" spans="1:11">
      <c r="A16" s="105">
        <f t="shared" ref="A16:A36" si="0">A15+1</f>
        <v>3</v>
      </c>
      <c r="B16" s="108" t="s">
        <v>214</v>
      </c>
      <c r="C16" s="113">
        <v>8403500.8650400005</v>
      </c>
      <c r="D16" s="146"/>
      <c r="E16" s="115">
        <v>8243847.9425111441</v>
      </c>
      <c r="F16" s="146"/>
      <c r="G16" s="105">
        <f t="shared" ref="G16:G36" si="1">G15+1</f>
        <v>3</v>
      </c>
      <c r="H16" s="141"/>
      <c r="K16" s="141"/>
    </row>
    <row r="17" spans="1:11">
      <c r="A17" s="105">
        <f t="shared" si="0"/>
        <v>4</v>
      </c>
      <c r="B17" s="108" t="s">
        <v>215</v>
      </c>
      <c r="C17" s="113">
        <v>8409682.7701999936</v>
      </c>
      <c r="D17" s="146"/>
      <c r="E17" s="115">
        <v>8250037.2298911372</v>
      </c>
      <c r="F17" s="146"/>
      <c r="G17" s="105">
        <f t="shared" si="1"/>
        <v>4</v>
      </c>
      <c r="H17" s="141"/>
      <c r="K17" s="141"/>
    </row>
    <row r="18" spans="1:11">
      <c r="A18" s="105">
        <f t="shared" si="0"/>
        <v>5</v>
      </c>
      <c r="B18" s="108" t="s">
        <v>216</v>
      </c>
      <c r="C18" s="113">
        <v>8468927.4627899993</v>
      </c>
      <c r="D18" s="146"/>
      <c r="E18" s="115">
        <v>8301201.4049986433</v>
      </c>
      <c r="F18" s="146"/>
      <c r="G18" s="105">
        <f t="shared" si="1"/>
        <v>5</v>
      </c>
      <c r="H18" s="141"/>
      <c r="K18" s="141"/>
    </row>
    <row r="19" spans="1:11">
      <c r="A19" s="105">
        <f t="shared" si="0"/>
        <v>6</v>
      </c>
      <c r="B19" s="108" t="s">
        <v>160</v>
      </c>
      <c r="C19" s="113">
        <v>8483092.0777300037</v>
      </c>
      <c r="D19" s="146"/>
      <c r="E19" s="115">
        <v>8314410.5331961475</v>
      </c>
      <c r="F19" s="146"/>
      <c r="G19" s="105">
        <f t="shared" si="1"/>
        <v>6</v>
      </c>
      <c r="H19" s="141"/>
      <c r="K19" s="141"/>
    </row>
    <row r="20" spans="1:11">
      <c r="A20" s="105">
        <f>A19+1</f>
        <v>7</v>
      </c>
      <c r="B20" s="108" t="s">
        <v>217</v>
      </c>
      <c r="C20" s="113">
        <v>8514138.651639998</v>
      </c>
      <c r="D20" s="146"/>
      <c r="E20" s="115">
        <v>8345549.8600361422</v>
      </c>
      <c r="F20" s="146"/>
      <c r="G20" s="105">
        <f>G19+1</f>
        <v>7</v>
      </c>
      <c r="H20" s="141"/>
      <c r="K20" s="141"/>
    </row>
    <row r="21" spans="1:11">
      <c r="A21" s="105">
        <f t="shared" si="0"/>
        <v>8</v>
      </c>
      <c r="B21" s="108" t="s">
        <v>218</v>
      </c>
      <c r="C21" s="113">
        <v>8528703.3100799993</v>
      </c>
      <c r="D21" s="146"/>
      <c r="E21" s="115">
        <v>8360659.864641143</v>
      </c>
      <c r="F21" s="146"/>
      <c r="G21" s="105">
        <f t="shared" si="1"/>
        <v>8</v>
      </c>
      <c r="H21" s="141"/>
      <c r="K21" s="141"/>
    </row>
    <row r="22" spans="1:11">
      <c r="A22" s="105">
        <f t="shared" si="0"/>
        <v>9</v>
      </c>
      <c r="B22" s="108" t="s">
        <v>219</v>
      </c>
      <c r="C22" s="113">
        <v>8554763.1626600046</v>
      </c>
      <c r="D22" s="146"/>
      <c r="E22" s="115">
        <v>8385866.3523211489</v>
      </c>
      <c r="F22" s="146"/>
      <c r="G22" s="105">
        <f t="shared" si="1"/>
        <v>9</v>
      </c>
      <c r="H22" s="141"/>
      <c r="K22" s="141"/>
    </row>
    <row r="23" spans="1:11">
      <c r="A23" s="105">
        <f t="shared" si="0"/>
        <v>10</v>
      </c>
      <c r="B23" s="108" t="s">
        <v>220</v>
      </c>
      <c r="C23" s="113">
        <v>8593229.2658799905</v>
      </c>
      <c r="D23" s="146"/>
      <c r="E23" s="115">
        <v>8422321.0130861346</v>
      </c>
      <c r="F23" s="146"/>
      <c r="G23" s="105">
        <f t="shared" si="1"/>
        <v>10</v>
      </c>
      <c r="H23" s="141"/>
      <c r="K23" s="141"/>
    </row>
    <row r="24" spans="1:11">
      <c r="A24" s="105">
        <f t="shared" si="0"/>
        <v>11</v>
      </c>
      <c r="B24" s="108" t="s">
        <v>221</v>
      </c>
      <c r="C24" s="113">
        <v>8606956.1893300042</v>
      </c>
      <c r="D24" s="146"/>
      <c r="E24" s="115">
        <v>8435982.391721148</v>
      </c>
      <c r="F24" s="146"/>
      <c r="G24" s="105">
        <f t="shared" si="1"/>
        <v>11</v>
      </c>
      <c r="H24" s="141"/>
      <c r="K24" s="141"/>
    </row>
    <row r="25" spans="1:11">
      <c r="A25" s="105">
        <f t="shared" si="0"/>
        <v>12</v>
      </c>
      <c r="B25" s="108" t="s">
        <v>222</v>
      </c>
      <c r="C25" s="113">
        <v>8659862.6564699933</v>
      </c>
      <c r="D25" s="146"/>
      <c r="E25" s="115">
        <v>8488867.9566511363</v>
      </c>
      <c r="F25" s="146"/>
      <c r="G25" s="105">
        <f t="shared" si="1"/>
        <v>12</v>
      </c>
      <c r="H25" s="141"/>
      <c r="K25" s="141"/>
    </row>
    <row r="26" spans="1:11">
      <c r="A26" s="105">
        <f t="shared" si="0"/>
        <v>13</v>
      </c>
      <c r="B26" s="997" t="str">
        <f>"Dec-"&amp;RIGHT(Automation!$B$3,2)</f>
        <v>Dec-24</v>
      </c>
      <c r="C26" s="1038">
        <v>8747995.4415899906</v>
      </c>
      <c r="D26" s="992" t="s">
        <v>213</v>
      </c>
      <c r="E26" s="1044">
        <v>8558532.0760361347</v>
      </c>
      <c r="F26" s="143" t="s">
        <v>894</v>
      </c>
      <c r="G26" s="105">
        <f t="shared" si="1"/>
        <v>13</v>
      </c>
      <c r="H26" s="112"/>
      <c r="K26" s="141"/>
    </row>
    <row r="27" spans="1:11">
      <c r="A27" s="105">
        <f t="shared" si="0"/>
        <v>14</v>
      </c>
      <c r="B27" s="116"/>
      <c r="C27" s="742"/>
      <c r="D27" s="943"/>
      <c r="E27" s="129"/>
      <c r="F27" s="940"/>
      <c r="G27" s="105">
        <f t="shared" si="1"/>
        <v>14</v>
      </c>
    </row>
    <row r="28" spans="1:11">
      <c r="A28" s="105">
        <f t="shared" si="0"/>
        <v>15</v>
      </c>
      <c r="B28" s="116" t="s">
        <v>223</v>
      </c>
      <c r="C28" s="118">
        <f>SUM(C14:C26)</f>
        <v>110746316.71699999</v>
      </c>
      <c r="D28" s="180" t="str">
        <f>"Sum Lines "&amp;A14&amp;" thru "&amp;A26</f>
        <v>Sum Lines 1 thru 13</v>
      </c>
      <c r="E28" s="118">
        <f>SUM(E14:E26)</f>
        <v>108568500.37253594</v>
      </c>
      <c r="F28" s="180" t="str">
        <f>"Sum Lines "&amp;A14&amp;" thru "&amp;A26</f>
        <v>Sum Lines 1 thru 13</v>
      </c>
      <c r="G28" s="105">
        <f t="shared" si="1"/>
        <v>15</v>
      </c>
    </row>
    <row r="29" spans="1:11">
      <c r="A29" s="105">
        <f t="shared" si="0"/>
        <v>16</v>
      </c>
      <c r="B29" s="987"/>
      <c r="C29" s="1033"/>
      <c r="D29" s="1045"/>
      <c r="E29" s="1033"/>
      <c r="F29" s="1045"/>
      <c r="G29" s="105">
        <f t="shared" si="1"/>
        <v>16</v>
      </c>
    </row>
    <row r="30" spans="1:11">
      <c r="A30" s="105">
        <f t="shared" si="0"/>
        <v>17</v>
      </c>
      <c r="B30" s="116"/>
      <c r="C30" s="129"/>
      <c r="D30" s="795"/>
      <c r="E30" s="129"/>
      <c r="F30" s="795"/>
      <c r="G30" s="105">
        <f t="shared" si="1"/>
        <v>17</v>
      </c>
    </row>
    <row r="31" spans="1:11">
      <c r="A31" s="105">
        <f t="shared" si="0"/>
        <v>18</v>
      </c>
      <c r="B31" s="116" t="s">
        <v>224</v>
      </c>
      <c r="C31" s="118">
        <f>C28/13</f>
        <v>8518947.4397692308</v>
      </c>
      <c r="D31" s="180" t="str">
        <f>"Average of Lines "&amp;A14&amp;" thru "&amp;A26</f>
        <v>Average of Lines 1 thru 13</v>
      </c>
      <c r="E31" s="118">
        <f>E28/13</f>
        <v>8351423.1055796882</v>
      </c>
      <c r="F31" s="143" t="s">
        <v>895</v>
      </c>
      <c r="G31" s="105">
        <f t="shared" si="1"/>
        <v>18</v>
      </c>
      <c r="H31" s="112"/>
    </row>
    <row r="32" spans="1:11">
      <c r="A32" s="105">
        <f t="shared" si="0"/>
        <v>19</v>
      </c>
      <c r="B32" s="987"/>
      <c r="C32" s="1034"/>
      <c r="D32" s="1046"/>
      <c r="E32" s="1034"/>
      <c r="F32" s="1046"/>
      <c r="G32" s="105">
        <f t="shared" si="1"/>
        <v>19</v>
      </c>
    </row>
    <row r="33" spans="1:7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7" ht="18.75">
      <c r="A34" s="105">
        <f t="shared" si="0"/>
        <v>21</v>
      </c>
      <c r="B34" s="122" t="s">
        <v>858</v>
      </c>
      <c r="C34" s="122"/>
      <c r="D34" s="122"/>
      <c r="E34" s="854">
        <f>'AD-6A'!E31</f>
        <v>85194</v>
      </c>
      <c r="F34" s="105" t="s">
        <v>47</v>
      </c>
      <c r="G34" s="105">
        <f t="shared" si="1"/>
        <v>21</v>
      </c>
    </row>
    <row r="35" spans="1:7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7" ht="16.5" thickBot="1">
      <c r="A36" s="105">
        <f t="shared" si="0"/>
        <v>23</v>
      </c>
      <c r="B36" s="96" t="s">
        <v>239</v>
      </c>
      <c r="C36" s="122"/>
      <c r="D36" s="122"/>
      <c r="E36" s="257">
        <f>E31+E34</f>
        <v>8436617.1055796891</v>
      </c>
      <c r="F36" s="105" t="str">
        <f>"Line "&amp;A31&amp;" + Line "&amp;A34</f>
        <v>Line 18 + Line 21</v>
      </c>
      <c r="G36" s="105">
        <f t="shared" si="1"/>
        <v>23</v>
      </c>
    </row>
    <row r="37" spans="1:7" ht="16.5" thickTop="1">
      <c r="A37" s="105"/>
      <c r="B37" s="122"/>
      <c r="C37" s="122"/>
      <c r="D37" s="122"/>
      <c r="E37" s="122"/>
      <c r="F37" s="122"/>
    </row>
    <row r="38" spans="1:7">
      <c r="D38" s="122"/>
      <c r="E38" s="145"/>
      <c r="F38" s="122"/>
    </row>
    <row r="39" spans="1:7" ht="18.75">
      <c r="A39" s="121">
        <v>1</v>
      </c>
      <c r="B39" s="122" t="s">
        <v>225</v>
      </c>
      <c r="C39" s="122"/>
      <c r="D39" s="122"/>
      <c r="E39" s="122"/>
      <c r="F39" s="122"/>
    </row>
    <row r="40" spans="1:7">
      <c r="B40" s="122" t="s">
        <v>226</v>
      </c>
      <c r="C40" s="147"/>
      <c r="D40" s="122"/>
      <c r="E40" s="122"/>
      <c r="F40" s="122"/>
    </row>
    <row r="41" spans="1:7">
      <c r="B41" s="122"/>
      <c r="C41" s="147"/>
      <c r="D41" s="122"/>
      <c r="E41" s="122"/>
      <c r="F41" s="122"/>
    </row>
    <row r="42" spans="1:7" ht="18.75">
      <c r="A42" s="121">
        <v>2</v>
      </c>
      <c r="B42" s="122" t="s">
        <v>240</v>
      </c>
      <c r="C42" s="122"/>
      <c r="D42" s="122"/>
      <c r="E42" s="122"/>
      <c r="F42" s="122"/>
    </row>
    <row r="43" spans="1:7">
      <c r="B43" s="122"/>
      <c r="C43" s="122"/>
      <c r="D43" s="122"/>
      <c r="E43" s="122"/>
      <c r="F43" s="122"/>
    </row>
    <row r="44" spans="1:7">
      <c r="A44" s="1107"/>
      <c r="C44" s="122"/>
      <c r="D44" s="96"/>
    </row>
    <row r="45" spans="1:7">
      <c r="B45" s="122"/>
    </row>
    <row r="47" spans="1:7">
      <c r="A47" s="1107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zoomScale="80" zoomScaleNormal="80" workbookViewId="0">
      <selection activeCell="E14" sqref="E14"/>
    </sheetView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140625" style="96" customWidth="1"/>
    <col min="11" max="11" width="9.1406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237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238</v>
      </c>
      <c r="D11" s="102"/>
      <c r="E11" s="103" t="s">
        <v>238</v>
      </c>
      <c r="F11" s="104"/>
    </row>
    <row r="12" spans="1:9">
      <c r="A12" s="105" t="s">
        <v>4</v>
      </c>
      <c r="B12" s="106"/>
      <c r="C12" s="95" t="s">
        <v>235</v>
      </c>
      <c r="D12" s="102"/>
      <c r="E12" s="107" t="s">
        <v>235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241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09">
        <v>0</v>
      </c>
      <c r="D14" s="143" t="s">
        <v>213</v>
      </c>
      <c r="E14" s="111">
        <v>85194</v>
      </c>
      <c r="F14" s="143" t="s">
        <v>213</v>
      </c>
      <c r="G14" s="105">
        <f>A14</f>
        <v>1</v>
      </c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0</v>
      </c>
      <c r="D15" s="114"/>
      <c r="E15" s="115">
        <v>85194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0</v>
      </c>
      <c r="D16" s="114"/>
      <c r="E16" s="115">
        <v>85194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215</v>
      </c>
      <c r="C17" s="113">
        <v>0</v>
      </c>
      <c r="D17" s="114"/>
      <c r="E17" s="115">
        <v>85194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216</v>
      </c>
      <c r="C18" s="113">
        <v>0</v>
      </c>
      <c r="D18" s="114"/>
      <c r="E18" s="115">
        <v>85194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160</v>
      </c>
      <c r="C19" s="113">
        <v>0</v>
      </c>
      <c r="D19" s="114"/>
      <c r="E19" s="115">
        <v>85194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217</v>
      </c>
      <c r="C20" s="113">
        <v>0</v>
      </c>
      <c r="D20" s="114"/>
      <c r="E20" s="115">
        <v>85194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0</v>
      </c>
      <c r="D21" s="114"/>
      <c r="E21" s="115">
        <v>85194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13">
        <v>0</v>
      </c>
      <c r="D22" s="114"/>
      <c r="E22" s="115">
        <v>85194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13">
        <v>0</v>
      </c>
      <c r="D23" s="114"/>
      <c r="E23" s="115">
        <v>85194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13">
        <v>0</v>
      </c>
      <c r="D24" s="114"/>
      <c r="E24" s="115">
        <v>85194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13">
        <v>0</v>
      </c>
      <c r="D25" s="114"/>
      <c r="E25" s="115">
        <v>85194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2">
        <v>0</v>
      </c>
      <c r="D26" s="992" t="s">
        <v>213</v>
      </c>
      <c r="E26" s="1044">
        <v>85194</v>
      </c>
      <c r="F26" s="144" t="str">
        <f>Automation!B3&amp;" Form 1; Page 213; Line 1; Col. f"</f>
        <v>2024 Form 1; Page 213; Line 1; Col. f</v>
      </c>
      <c r="G26" s="105">
        <f t="shared" si="1"/>
        <v>13</v>
      </c>
      <c r="H26" s="112"/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0</v>
      </c>
      <c r="D28" s="144" t="str">
        <f>"Sum Lines "&amp;A14&amp;" thru "&amp;A26</f>
        <v>Sum Lines 1 thru 13</v>
      </c>
      <c r="E28" s="118">
        <f>SUM(E14:E26)</f>
        <v>1107522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0</v>
      </c>
      <c r="D31" s="144" t="str">
        <f>"Average of Lines "&amp;A14&amp;" thru "&amp;A26</f>
        <v>Average of Lines 1 thru 13</v>
      </c>
      <c r="E31" s="118">
        <f>E28/13</f>
        <v>85194</v>
      </c>
      <c r="F31" s="144" t="str">
        <f>"Average of Lines "&amp;A14&amp;" thru "&amp;A26</f>
        <v>Average of Lines 1 thru 13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242</v>
      </c>
      <c r="C35" s="120"/>
      <c r="D35" s="96"/>
      <c r="E35" s="120"/>
    </row>
    <row r="36" spans="1:5">
      <c r="B36" s="122"/>
      <c r="C36" s="120"/>
      <c r="D36" s="96"/>
      <c r="E36" s="120"/>
    </row>
    <row r="37" spans="1:5">
      <c r="B37" s="122"/>
      <c r="C37" s="120"/>
      <c r="D37" s="96"/>
      <c r="E37" s="120"/>
    </row>
    <row r="38" spans="1:5">
      <c r="B38" s="122"/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>
      <selection activeCell="D24" sqref="D24:J31"/>
    </sheetView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4">
      <c r="C1" s="105"/>
    </row>
    <row r="2" spans="1:14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4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4">
      <c r="B4" s="1308" t="s">
        <v>244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N4" s="170"/>
    </row>
    <row r="5" spans="1:14">
      <c r="B5" s="1312" t="str">
        <f>"BALANCES AS OF 12/31/"&amp;Automation!$B$3-1</f>
        <v>BALANCES AS OF 12/31/2023</v>
      </c>
      <c r="C5" s="1312"/>
      <c r="D5" s="1312"/>
      <c r="E5" s="1312"/>
      <c r="F5" s="1312"/>
      <c r="G5" s="1312"/>
      <c r="H5" s="1312"/>
      <c r="I5" s="1312"/>
      <c r="J5" s="1312"/>
      <c r="K5" s="1312"/>
      <c r="L5" s="1312"/>
      <c r="N5" s="170"/>
    </row>
    <row r="6" spans="1:14">
      <c r="B6" s="1312" t="s">
        <v>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4">
      <c r="C7" s="97"/>
      <c r="D7" s="98"/>
      <c r="E7" s="151"/>
      <c r="F7" s="151"/>
      <c r="G7" s="151"/>
      <c r="H7" s="151"/>
      <c r="I7" s="151"/>
      <c r="J7" s="151"/>
    </row>
    <row r="8" spans="1:14" s="95" customFormat="1">
      <c r="B8" s="941"/>
      <c r="C8" s="944"/>
      <c r="D8" s="945" t="s">
        <v>245</v>
      </c>
      <c r="E8" s="946" t="s">
        <v>246</v>
      </c>
      <c r="F8" s="946" t="s">
        <v>247</v>
      </c>
      <c r="G8" s="946" t="s">
        <v>248</v>
      </c>
      <c r="H8" s="946" t="s">
        <v>249</v>
      </c>
      <c r="I8" s="946" t="s">
        <v>250</v>
      </c>
      <c r="J8" s="946" t="s">
        <v>251</v>
      </c>
      <c r="K8" s="946" t="s">
        <v>252</v>
      </c>
      <c r="L8" s="941"/>
      <c r="M8" s="95" t="s">
        <v>183</v>
      </c>
    </row>
    <row r="9" spans="1:14">
      <c r="B9" s="152"/>
      <c r="C9" s="104"/>
      <c r="D9" s="153"/>
      <c r="E9" s="154"/>
      <c r="F9" s="154"/>
      <c r="G9" s="154"/>
      <c r="H9" s="154"/>
      <c r="I9" s="154"/>
      <c r="J9" s="154"/>
      <c r="K9" s="947" t="s">
        <v>80</v>
      </c>
      <c r="L9" s="152"/>
      <c r="M9" s="105" t="s">
        <v>183</v>
      </c>
    </row>
    <row r="10" spans="1:14">
      <c r="B10" s="948"/>
      <c r="C10" s="119"/>
      <c r="D10" s="153"/>
      <c r="E10" s="154" t="s">
        <v>253</v>
      </c>
      <c r="F10" s="154" t="s">
        <v>234</v>
      </c>
      <c r="G10" s="154" t="s">
        <v>238</v>
      </c>
      <c r="H10" s="154" t="s">
        <v>238</v>
      </c>
      <c r="I10" s="154" t="s">
        <v>238</v>
      </c>
      <c r="J10" s="154" t="s">
        <v>238</v>
      </c>
      <c r="K10" s="154" t="s">
        <v>238</v>
      </c>
      <c r="L10" s="144"/>
      <c r="M10" s="105" t="s">
        <v>183</v>
      </c>
    </row>
    <row r="11" spans="1:14">
      <c r="B11" s="949"/>
      <c r="C11" s="116"/>
      <c r="D11" s="155" t="s">
        <v>80</v>
      </c>
      <c r="E11" s="154" t="s">
        <v>254</v>
      </c>
      <c r="F11" s="154" t="s">
        <v>254</v>
      </c>
      <c r="G11" s="154" t="s">
        <v>254</v>
      </c>
      <c r="H11" s="154" t="s">
        <v>254</v>
      </c>
      <c r="I11" s="154" t="s">
        <v>254</v>
      </c>
      <c r="J11" s="154" t="s">
        <v>254</v>
      </c>
      <c r="K11" s="154" t="s">
        <v>235</v>
      </c>
      <c r="L11" s="102"/>
    </row>
    <row r="12" spans="1:14">
      <c r="A12" s="105" t="s">
        <v>4</v>
      </c>
      <c r="B12" s="949"/>
      <c r="C12" s="102"/>
      <c r="D12" s="155" t="s">
        <v>238</v>
      </c>
      <c r="E12" s="154" t="s">
        <v>255</v>
      </c>
      <c r="F12" s="156" t="s">
        <v>255</v>
      </c>
      <c r="G12" s="154" t="s">
        <v>255</v>
      </c>
      <c r="H12" s="154" t="s">
        <v>255</v>
      </c>
      <c r="I12" s="154" t="s">
        <v>255</v>
      </c>
      <c r="J12" s="154" t="s">
        <v>255</v>
      </c>
      <c r="K12" s="154" t="s">
        <v>256</v>
      </c>
      <c r="L12" s="102"/>
      <c r="M12" s="105" t="s">
        <v>4</v>
      </c>
    </row>
    <row r="13" spans="1:14">
      <c r="A13" s="105" t="s">
        <v>5</v>
      </c>
      <c r="B13" s="986" t="s">
        <v>257</v>
      </c>
      <c r="C13" s="986" t="s">
        <v>258</v>
      </c>
      <c r="D13" s="1047" t="s">
        <v>254</v>
      </c>
      <c r="E13" s="1048" t="s">
        <v>259</v>
      </c>
      <c r="F13" s="1048" t="s">
        <v>260</v>
      </c>
      <c r="G13" s="1048" t="s">
        <v>261</v>
      </c>
      <c r="H13" s="1048" t="s">
        <v>262</v>
      </c>
      <c r="I13" s="1048" t="s">
        <v>228</v>
      </c>
      <c r="J13" s="855" t="s">
        <v>263</v>
      </c>
      <c r="K13" s="986" t="s">
        <v>264</v>
      </c>
      <c r="L13" s="986" t="s">
        <v>8</v>
      </c>
      <c r="M13" s="105" t="s">
        <v>5</v>
      </c>
    </row>
    <row r="14" spans="1:14">
      <c r="B14" s="144"/>
      <c r="C14" s="119" t="s">
        <v>265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4">
      <c r="A15" s="105">
        <v>1</v>
      </c>
      <c r="B15" s="167">
        <v>303</v>
      </c>
      <c r="C15" s="61" t="s">
        <v>266</v>
      </c>
      <c r="D15" s="796">
        <v>0</v>
      </c>
      <c r="E15" s="796">
        <v>0</v>
      </c>
      <c r="F15" s="797">
        <v>0</v>
      </c>
      <c r="G15" s="797">
        <v>0</v>
      </c>
      <c r="H15" s="797">
        <v>0</v>
      </c>
      <c r="I15" s="797">
        <v>0</v>
      </c>
      <c r="J15" s="797">
        <v>0</v>
      </c>
      <c r="K15" s="127">
        <f>SUM(D15:J15)</f>
        <v>0</v>
      </c>
      <c r="L15" s="144" t="s">
        <v>213</v>
      </c>
      <c r="M15" s="105">
        <f>A15</f>
        <v>1</v>
      </c>
    </row>
    <row r="16" spans="1:14">
      <c r="A16" s="105">
        <f>A15+1</f>
        <v>2</v>
      </c>
      <c r="B16" s="168">
        <v>310.10000000000002</v>
      </c>
      <c r="C16" s="61" t="s">
        <v>267</v>
      </c>
      <c r="D16" s="798">
        <v>0</v>
      </c>
      <c r="E16" s="798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8">
        <f>SUM(D16:J16)</f>
        <v>0</v>
      </c>
      <c r="L16" s="144" t="s">
        <v>213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268</v>
      </c>
      <c r="D17" s="798">
        <v>0</v>
      </c>
      <c r="E17" s="798">
        <v>4.5990200000000003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59">
        <f>SUM(D17:J17)</f>
        <v>4.5990200000000003</v>
      </c>
      <c r="L17" s="144" t="s">
        <v>213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268</v>
      </c>
      <c r="D18" s="798">
        <v>0</v>
      </c>
      <c r="E18" s="798">
        <v>0</v>
      </c>
      <c r="F18" s="799">
        <v>3626.3653099999997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3626.3653099999997</v>
      </c>
      <c r="L18" s="144" t="s">
        <v>213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269</v>
      </c>
      <c r="D19" s="798">
        <v>0</v>
      </c>
      <c r="E19" s="798">
        <v>0</v>
      </c>
      <c r="F19" s="799">
        <v>1496.2538400000001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1496.2538400000001</v>
      </c>
      <c r="L19" s="144" t="s">
        <v>213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5" t="s">
        <v>270</v>
      </c>
      <c r="C21" s="1116" t="s">
        <v>271</v>
      </c>
      <c r="D21" s="1117">
        <f>SUM(D15:D20)</f>
        <v>0</v>
      </c>
      <c r="E21" s="1117">
        <f t="shared" ref="E21:I21" si="2">SUM(E15:E20)</f>
        <v>4.5990200000000003</v>
      </c>
      <c r="F21" s="1117">
        <f t="shared" si="2"/>
        <v>5122.6191499999995</v>
      </c>
      <c r="G21" s="1117">
        <f t="shared" si="2"/>
        <v>0</v>
      </c>
      <c r="H21" s="1117">
        <f t="shared" si="2"/>
        <v>0</v>
      </c>
      <c r="I21" s="1117">
        <f t="shared" si="2"/>
        <v>0</v>
      </c>
      <c r="J21" s="1117">
        <f>SUM(J15:J20)</f>
        <v>0</v>
      </c>
      <c r="K21" s="1118">
        <f>SUM(K15:K20)</f>
        <v>5127.2181700000001</v>
      </c>
      <c r="L21" s="1119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0"/>
      <c r="E22" s="794"/>
      <c r="F22" s="794"/>
      <c r="G22" s="794"/>
      <c r="H22" s="794"/>
      <c r="I22" s="794"/>
      <c r="J22" s="794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268</v>
      </c>
      <c r="D23" s="161">
        <v>259692.10494000005</v>
      </c>
      <c r="E23" s="796">
        <v>0</v>
      </c>
      <c r="F23" s="797">
        <v>0</v>
      </c>
      <c r="G23" s="796">
        <v>0</v>
      </c>
      <c r="H23" s="796">
        <v>0</v>
      </c>
      <c r="I23" s="796">
        <v>0</v>
      </c>
      <c r="J23" s="796">
        <v>-13557.506586751999</v>
      </c>
      <c r="K23" s="162">
        <f>SUM(D23:J23)</f>
        <v>246134.59835324806</v>
      </c>
      <c r="L23" s="144" t="s">
        <v>213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269</v>
      </c>
      <c r="D24" s="163">
        <v>884871.03006999998</v>
      </c>
      <c r="E24" s="799">
        <v>0</v>
      </c>
      <c r="F24" s="799">
        <v>0</v>
      </c>
      <c r="G24" s="800">
        <v>-1928.2778199999998</v>
      </c>
      <c r="H24" s="799">
        <v>0</v>
      </c>
      <c r="I24" s="799">
        <v>0</v>
      </c>
      <c r="J24" s="794">
        <v>-121441.14931999987</v>
      </c>
      <c r="K24" s="164">
        <f t="shared" ref="K24:K31" si="3">SUM(D24:J24)</f>
        <v>761501.60293000017</v>
      </c>
      <c r="L24" s="144" t="s">
        <v>213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272</v>
      </c>
      <c r="D25" s="163">
        <v>2378839.4029300078</v>
      </c>
      <c r="E25" s="799">
        <v>0</v>
      </c>
      <c r="F25" s="799">
        <v>0</v>
      </c>
      <c r="G25" s="800">
        <v>-12009.877779999999</v>
      </c>
      <c r="H25" s="799">
        <v>-1420.3928800000001</v>
      </c>
      <c r="I25" s="799">
        <v>0</v>
      </c>
      <c r="J25" s="794">
        <v>-2429.9854400000017</v>
      </c>
      <c r="K25" s="164">
        <f t="shared" si="3"/>
        <v>2362979.1468300074</v>
      </c>
      <c r="L25" s="144" t="s">
        <v>213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273</v>
      </c>
      <c r="D26" s="163">
        <v>939903.55375999701</v>
      </c>
      <c r="E26" s="799">
        <v>0</v>
      </c>
      <c r="F26" s="799">
        <v>0</v>
      </c>
      <c r="G26" s="800">
        <v>0</v>
      </c>
      <c r="H26" s="799">
        <v>0</v>
      </c>
      <c r="I26" s="799">
        <v>0</v>
      </c>
      <c r="J26" s="794">
        <v>0</v>
      </c>
      <c r="K26" s="164">
        <f t="shared" si="3"/>
        <v>939903.55375999701</v>
      </c>
      <c r="L26" s="144" t="s">
        <v>213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274</v>
      </c>
      <c r="D27" s="163">
        <v>1231461.317300003</v>
      </c>
      <c r="E27" s="799">
        <v>0</v>
      </c>
      <c r="F27" s="799">
        <v>0</v>
      </c>
      <c r="G27" s="800">
        <v>0</v>
      </c>
      <c r="H27" s="799">
        <v>0</v>
      </c>
      <c r="I27" s="799">
        <v>0</v>
      </c>
      <c r="J27" s="794">
        <v>0</v>
      </c>
      <c r="K27" s="164">
        <f t="shared" si="3"/>
        <v>1231461.317300003</v>
      </c>
      <c r="L27" s="144" t="s">
        <v>213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275</v>
      </c>
      <c r="D28" s="163">
        <v>1006112.7117600004</v>
      </c>
      <c r="E28" s="799">
        <v>0</v>
      </c>
      <c r="F28" s="799">
        <v>0</v>
      </c>
      <c r="G28" s="800">
        <v>0</v>
      </c>
      <c r="H28" s="799">
        <v>0</v>
      </c>
      <c r="I28" s="799">
        <v>0</v>
      </c>
      <c r="J28" s="794">
        <v>0</v>
      </c>
      <c r="K28" s="164">
        <f t="shared" si="3"/>
        <v>1006112.7117600004</v>
      </c>
      <c r="L28" s="144" t="s">
        <v>213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276</v>
      </c>
      <c r="D29" s="163">
        <v>670833.92142000003</v>
      </c>
      <c r="E29" s="799">
        <v>0</v>
      </c>
      <c r="F29" s="799">
        <v>0</v>
      </c>
      <c r="G29" s="800">
        <v>0</v>
      </c>
      <c r="H29" s="799">
        <v>0</v>
      </c>
      <c r="I29" s="799">
        <v>0</v>
      </c>
      <c r="J29" s="794">
        <v>0</v>
      </c>
      <c r="K29" s="164">
        <f t="shared" si="3"/>
        <v>670833.92142000003</v>
      </c>
      <c r="L29" s="144" t="s">
        <v>213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277</v>
      </c>
      <c r="D30" s="163">
        <v>634322.36363000027</v>
      </c>
      <c r="E30" s="799">
        <v>0</v>
      </c>
      <c r="F30" s="799">
        <v>0</v>
      </c>
      <c r="G30" s="800">
        <v>-1726.37997</v>
      </c>
      <c r="H30" s="799">
        <v>0</v>
      </c>
      <c r="I30" s="799">
        <v>0</v>
      </c>
      <c r="J30" s="794">
        <v>0</v>
      </c>
      <c r="K30" s="164">
        <f t="shared" si="3"/>
        <v>632595.98366000026</v>
      </c>
      <c r="L30" s="144" t="s">
        <v>213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278</v>
      </c>
      <c r="D31" s="163">
        <v>375749.64848999982</v>
      </c>
      <c r="E31" s="799">
        <v>0</v>
      </c>
      <c r="F31" s="799">
        <v>0</v>
      </c>
      <c r="G31" s="800">
        <v>0</v>
      </c>
      <c r="H31" s="799">
        <v>0</v>
      </c>
      <c r="I31" s="799">
        <v>0</v>
      </c>
      <c r="J31" s="794">
        <v>0</v>
      </c>
      <c r="K31" s="164">
        <f t="shared" si="3"/>
        <v>375749.64848999982</v>
      </c>
      <c r="L31" s="144" t="s">
        <v>213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0"/>
      <c r="F32" s="998"/>
      <c r="G32" s="998"/>
      <c r="H32" s="998"/>
      <c r="I32" s="998"/>
      <c r="J32" s="794"/>
      <c r="K32" s="1049"/>
      <c r="L32" s="158"/>
      <c r="M32" s="105">
        <f t="shared" si="1"/>
        <v>18</v>
      </c>
    </row>
    <row r="33" spans="1:13">
      <c r="A33" s="105">
        <f t="shared" si="0"/>
        <v>19</v>
      </c>
      <c r="B33" s="1120" t="s">
        <v>270</v>
      </c>
      <c r="C33" s="1116" t="s">
        <v>237</v>
      </c>
      <c r="D33" s="1117">
        <f>SUM(D23:D32)</f>
        <v>8381786.0543000074</v>
      </c>
      <c r="E33" s="1117">
        <f t="shared" ref="E33:I33" si="4">SUM(E23:E32)</f>
        <v>0</v>
      </c>
      <c r="F33" s="1117">
        <f t="shared" si="4"/>
        <v>0</v>
      </c>
      <c r="G33" s="1117">
        <f t="shared" si="4"/>
        <v>-15664.535569999998</v>
      </c>
      <c r="H33" s="1117">
        <f t="shared" si="4"/>
        <v>-1420.3928800000001</v>
      </c>
      <c r="I33" s="1117">
        <f t="shared" si="4"/>
        <v>0</v>
      </c>
      <c r="J33" s="1117">
        <f>SUM(J23:J32)</f>
        <v>-137428.64134675186</v>
      </c>
      <c r="K33" s="1118">
        <f>SUM(K23:K32)</f>
        <v>8227272.4845032562</v>
      </c>
      <c r="L33" s="1121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48"/>
      <c r="D34" s="122"/>
      <c r="J34" s="160"/>
      <c r="K34" s="165"/>
      <c r="L34" s="1122"/>
      <c r="M34" s="105">
        <f t="shared" si="1"/>
        <v>20</v>
      </c>
    </row>
    <row r="35" spans="1:13">
      <c r="A35" s="105">
        <f t="shared" si="0"/>
        <v>21</v>
      </c>
      <c r="B35" s="1123" t="s">
        <v>279</v>
      </c>
      <c r="C35" s="1124"/>
      <c r="D35" s="1125">
        <f>D33+D21</f>
        <v>8381786.0543000074</v>
      </c>
      <c r="E35" s="1125">
        <f t="shared" ref="E35:I35" si="5">E33+E21</f>
        <v>4.5990200000000003</v>
      </c>
      <c r="F35" s="1125">
        <f t="shared" si="5"/>
        <v>5122.6191499999995</v>
      </c>
      <c r="G35" s="1125">
        <f>G33+G21</f>
        <v>-15664.535569999998</v>
      </c>
      <c r="H35" s="1125">
        <f>H33+H21</f>
        <v>-1420.3928800000001</v>
      </c>
      <c r="I35" s="1126">
        <f t="shared" si="5"/>
        <v>0</v>
      </c>
      <c r="J35" s="1125">
        <f>J33+J21</f>
        <v>-137428.64134675186</v>
      </c>
      <c r="K35" s="1127">
        <f>K33+K21</f>
        <v>8232399.7026732564</v>
      </c>
      <c r="L35" s="1119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280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80" zoomScaleNormal="80" workbookViewId="0">
      <selection activeCell="E29" sqref="E29"/>
    </sheetView>
  </sheetViews>
  <sheetFormatPr defaultColWidth="8.5703125" defaultRowHeight="15.75"/>
  <cols>
    <col min="1" max="1" width="5.140625" style="211" customWidth="1"/>
    <col min="2" max="2" width="89.8554687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16384" width="8.5703125" style="3"/>
  </cols>
  <sheetData>
    <row r="2" spans="1:8">
      <c r="B2" s="1292" t="str">
        <f>'Summary of Cost Components'!B2:D2</f>
        <v>SAN DIEGO GAS &amp; ELECTRIC COMPANY</v>
      </c>
      <c r="C2" s="1292"/>
      <c r="D2" s="1292"/>
      <c r="E2" s="1292"/>
      <c r="F2" s="1292"/>
      <c r="G2" s="1292"/>
    </row>
    <row r="3" spans="1:8" ht="15.75" customHeight="1">
      <c r="B3" s="1292" t="str">
        <f>'Summary of Cost Components'!B3:D3</f>
        <v>CITIZENS' SHARE OF THE BORDER EAST LINE</v>
      </c>
      <c r="C3" s="1292"/>
      <c r="D3" s="1292"/>
      <c r="E3" s="1292"/>
      <c r="F3" s="1292"/>
      <c r="G3" s="1292"/>
      <c r="H3" s="483"/>
    </row>
    <row r="4" spans="1:8">
      <c r="B4" s="1293" t="s">
        <v>9</v>
      </c>
      <c r="C4" s="1293"/>
      <c r="D4" s="1293"/>
      <c r="E4" s="1293"/>
      <c r="F4" s="1293"/>
      <c r="G4" s="1293"/>
      <c r="H4" s="482"/>
    </row>
    <row r="5" spans="1:8">
      <c r="B5" s="1294" t="str">
        <f>"Base Period &amp; True-Up Period 12 - Months Ending December 31, "&amp;Automation!B3</f>
        <v>Base Period &amp; True-Up Period 12 - Months Ending December 31, 2024</v>
      </c>
      <c r="C5" s="1294"/>
      <c r="D5" s="1294"/>
      <c r="E5" s="1294"/>
      <c r="F5" s="1294"/>
      <c r="G5" s="1294"/>
      <c r="H5" s="482"/>
    </row>
    <row r="6" spans="1:8">
      <c r="B6" s="1295" t="s">
        <v>3</v>
      </c>
      <c r="C6" s="1295"/>
      <c r="D6" s="1295"/>
      <c r="E6" s="1295"/>
      <c r="F6" s="1295"/>
      <c r="G6" s="1295"/>
      <c r="H6" s="484"/>
    </row>
    <row r="8" spans="1:8">
      <c r="A8" s="479" t="s">
        <v>4</v>
      </c>
      <c r="B8" s="44"/>
      <c r="C8" s="44"/>
      <c r="D8" s="44"/>
      <c r="E8" s="48"/>
      <c r="F8" s="48"/>
      <c r="G8" s="44"/>
      <c r="H8" s="479" t="s">
        <v>4</v>
      </c>
    </row>
    <row r="9" spans="1:8">
      <c r="A9" s="479" t="s">
        <v>5</v>
      </c>
      <c r="B9" s="44"/>
      <c r="C9" s="44"/>
      <c r="D9" s="44"/>
      <c r="E9" s="828" t="s">
        <v>7</v>
      </c>
      <c r="F9" s="21"/>
      <c r="G9" s="828" t="s">
        <v>8</v>
      </c>
      <c r="H9" s="479" t="s">
        <v>5</v>
      </c>
    </row>
    <row r="10" spans="1:8">
      <c r="A10" s="482"/>
      <c r="B10" s="44"/>
      <c r="C10" s="44"/>
      <c r="D10" s="44"/>
      <c r="E10" s="59"/>
      <c r="F10" s="21"/>
      <c r="G10" s="59"/>
      <c r="H10" s="479"/>
    </row>
    <row r="11" spans="1:8">
      <c r="A11" s="479">
        <v>1</v>
      </c>
      <c r="B11" s="15" t="s">
        <v>23</v>
      </c>
      <c r="C11" s="15"/>
      <c r="D11" s="15"/>
      <c r="E11" s="44"/>
      <c r="F11" s="44"/>
      <c r="G11" s="44"/>
      <c r="H11" s="479">
        <f>A11</f>
        <v>1</v>
      </c>
    </row>
    <row r="12" spans="1:8">
      <c r="A12" s="479">
        <f>A11+1</f>
        <v>2</v>
      </c>
      <c r="B12" s="59" t="s">
        <v>24</v>
      </c>
      <c r="C12" s="59"/>
      <c r="D12" s="59"/>
      <c r="E12" s="510">
        <f>'Stmt AH'!E12</f>
        <v>24.69952</v>
      </c>
      <c r="F12" s="44"/>
      <c r="G12" s="21" t="str">
        <f>"Statement AH; Line "&amp;'Stmt AH'!A12</f>
        <v>Statement AH; Line 2</v>
      </c>
      <c r="H12" s="479">
        <f>H11+1</f>
        <v>2</v>
      </c>
    </row>
    <row r="13" spans="1:8">
      <c r="A13" s="479">
        <f t="shared" ref="A13:A27" si="0">A12+1</f>
        <v>3</v>
      </c>
      <c r="B13" s="59" t="s">
        <v>25</v>
      </c>
      <c r="C13" s="59"/>
      <c r="D13" s="59"/>
      <c r="E13" s="938">
        <v>0.5</v>
      </c>
      <c r="F13" s="44"/>
      <c r="G13" s="44"/>
      <c r="H13" s="479">
        <f t="shared" ref="H13:H27" si="1">H12+1</f>
        <v>3</v>
      </c>
    </row>
    <row r="14" spans="1:8">
      <c r="A14" s="479">
        <f t="shared" si="0"/>
        <v>4</v>
      </c>
      <c r="B14" s="59" t="s">
        <v>26</v>
      </c>
      <c r="C14" s="59"/>
      <c r="D14" s="59"/>
      <c r="E14" s="511">
        <f>E12*E13</f>
        <v>12.34976</v>
      </c>
      <c r="F14" s="14"/>
      <c r="G14" s="21" t="str">
        <f>"Line "&amp;A12&amp;" x Line "&amp;A13</f>
        <v>Line 2 x Line 3</v>
      </c>
      <c r="H14" s="479">
        <f t="shared" si="1"/>
        <v>4</v>
      </c>
    </row>
    <row r="15" spans="1:8">
      <c r="A15" s="479">
        <f t="shared" si="0"/>
        <v>5</v>
      </c>
      <c r="B15" s="59"/>
      <c r="C15" s="59"/>
      <c r="D15" s="59"/>
      <c r="E15" s="486"/>
      <c r="F15" s="59"/>
      <c r="G15" s="21"/>
      <c r="H15" s="479">
        <f t="shared" si="1"/>
        <v>5</v>
      </c>
    </row>
    <row r="16" spans="1:8">
      <c r="A16" s="479">
        <f t="shared" si="0"/>
        <v>6</v>
      </c>
      <c r="B16" s="122" t="s">
        <v>27</v>
      </c>
      <c r="C16" s="122"/>
      <c r="D16" s="122"/>
      <c r="E16" s="938">
        <f>1/8</f>
        <v>0.125</v>
      </c>
      <c r="F16" s="44"/>
      <c r="G16" s="21" t="s">
        <v>28</v>
      </c>
      <c r="H16" s="479">
        <f t="shared" si="1"/>
        <v>6</v>
      </c>
    </row>
    <row r="17" spans="1:14">
      <c r="A17" s="479">
        <f t="shared" si="0"/>
        <v>7</v>
      </c>
      <c r="B17" s="59" t="s">
        <v>29</v>
      </c>
      <c r="C17" s="59"/>
      <c r="D17" s="59"/>
      <c r="E17" s="511">
        <f>E14*E16</f>
        <v>1.54372</v>
      </c>
      <c r="F17" s="14"/>
      <c r="G17" s="21" t="str">
        <f>"Line "&amp;A14&amp;" x Line "&amp;A16</f>
        <v>Line 4 x Line 6</v>
      </c>
      <c r="H17" s="479">
        <f t="shared" si="1"/>
        <v>7</v>
      </c>
    </row>
    <row r="18" spans="1:14">
      <c r="A18" s="479">
        <f t="shared" si="0"/>
        <v>8</v>
      </c>
      <c r="B18" s="59"/>
      <c r="C18" s="59"/>
      <c r="D18" s="59"/>
      <c r="E18" s="486"/>
      <c r="F18" s="59"/>
      <c r="G18" s="21"/>
      <c r="H18" s="479">
        <f t="shared" si="1"/>
        <v>8</v>
      </c>
    </row>
    <row r="19" spans="1:14">
      <c r="A19" s="479">
        <f t="shared" si="0"/>
        <v>9</v>
      </c>
      <c r="B19" s="59" t="s">
        <v>30</v>
      </c>
      <c r="C19" s="59"/>
      <c r="D19" s="59"/>
      <c r="E19" s="829">
        <f>'Stmt AV'!G110</f>
        <v>9.4969221929622108E-2</v>
      </c>
      <c r="F19" s="44"/>
      <c r="G19" s="26" t="str">
        <f>"Statement AV2; Line "&amp;'Stmt AV'!A110</f>
        <v>Statement AV2; Line 31</v>
      </c>
      <c r="H19" s="479">
        <f t="shared" si="1"/>
        <v>9</v>
      </c>
    </row>
    <row r="20" spans="1:14">
      <c r="A20" s="479">
        <f t="shared" si="0"/>
        <v>10</v>
      </c>
      <c r="B20" s="59"/>
      <c r="C20" s="59"/>
      <c r="D20" s="59"/>
      <c r="E20" s="486"/>
      <c r="F20" s="59"/>
      <c r="G20" s="21"/>
      <c r="H20" s="479">
        <f t="shared" si="1"/>
        <v>10</v>
      </c>
    </row>
    <row r="21" spans="1:14">
      <c r="A21" s="479">
        <f t="shared" si="0"/>
        <v>11</v>
      </c>
      <c r="B21" s="59" t="s">
        <v>31</v>
      </c>
      <c r="C21" s="59"/>
      <c r="D21" s="59"/>
      <c r="E21" s="837">
        <f>E19*E17</f>
        <v>0.14660588727719623</v>
      </c>
      <c r="F21" s="447"/>
      <c r="G21" s="21" t="str">
        <f>"Line "&amp;A17&amp;" x Line "&amp;A19</f>
        <v>Line 7 x Line 9</v>
      </c>
      <c r="H21" s="479">
        <f t="shared" si="1"/>
        <v>11</v>
      </c>
    </row>
    <row r="22" spans="1:14">
      <c r="A22" s="479">
        <f t="shared" si="0"/>
        <v>12</v>
      </c>
      <c r="B22" s="59"/>
      <c r="C22" s="59"/>
      <c r="D22" s="59"/>
      <c r="E22" s="486"/>
      <c r="F22" s="59"/>
      <c r="G22" s="21"/>
      <c r="H22" s="479">
        <f t="shared" si="1"/>
        <v>12</v>
      </c>
    </row>
    <row r="23" spans="1:14">
      <c r="A23" s="479">
        <f t="shared" si="0"/>
        <v>13</v>
      </c>
      <c r="B23" s="59" t="s">
        <v>32</v>
      </c>
      <c r="C23" s="59"/>
      <c r="D23" s="59"/>
      <c r="E23" s="512">
        <f>E21+E14</f>
        <v>12.496365887277197</v>
      </c>
      <c r="F23" s="447"/>
      <c r="G23" s="21" t="str">
        <f>"Line "&amp;A14&amp;" + Line "&amp;A21</f>
        <v>Line 4 + Line 11</v>
      </c>
      <c r="H23" s="479">
        <f t="shared" si="1"/>
        <v>13</v>
      </c>
    </row>
    <row r="24" spans="1:14">
      <c r="A24" s="479">
        <f t="shared" si="0"/>
        <v>14</v>
      </c>
      <c r="B24" s="59"/>
      <c r="C24" s="59"/>
      <c r="D24" s="59"/>
      <c r="E24" s="513"/>
      <c r="F24" s="22"/>
      <c r="G24" s="21"/>
      <c r="H24" s="479">
        <f t="shared" si="1"/>
        <v>14</v>
      </c>
      <c r="J24"/>
      <c r="K24"/>
      <c r="L24"/>
      <c r="M24"/>
      <c r="N24"/>
    </row>
    <row r="25" spans="1:14">
      <c r="A25" s="479">
        <f t="shared" si="0"/>
        <v>15</v>
      </c>
      <c r="B25" s="59" t="s">
        <v>33</v>
      </c>
      <c r="C25" s="515">
        <v>1.0207000000000001E-2</v>
      </c>
      <c r="D25" s="59"/>
      <c r="E25" s="939">
        <f>E23*C25</f>
        <v>0.12755040661143835</v>
      </c>
      <c r="F25" s="447"/>
      <c r="G25" s="21" t="str">
        <f>"Line "&amp;A23&amp;" x Franchise Fee Rate"</f>
        <v>Line 13 x Franchise Fee Rate</v>
      </c>
      <c r="H25" s="479">
        <f t="shared" si="1"/>
        <v>15</v>
      </c>
      <c r="J25"/>
      <c r="K25"/>
      <c r="L25"/>
      <c r="M25"/>
      <c r="N25"/>
    </row>
    <row r="26" spans="1:14">
      <c r="A26" s="479">
        <f t="shared" si="0"/>
        <v>16</v>
      </c>
      <c r="B26" s="59"/>
      <c r="C26" s="59"/>
      <c r="D26" s="59"/>
      <c r="E26" s="514"/>
      <c r="F26" s="23"/>
      <c r="G26" s="21"/>
      <c r="H26" s="479">
        <f t="shared" si="1"/>
        <v>16</v>
      </c>
    </row>
    <row r="27" spans="1:14" ht="16.5" thickBot="1">
      <c r="A27" s="479">
        <f t="shared" si="0"/>
        <v>17</v>
      </c>
      <c r="B27" s="44" t="s">
        <v>34</v>
      </c>
      <c r="C27" s="59"/>
      <c r="D27" s="59"/>
      <c r="E27" s="822">
        <f>E25+E23</f>
        <v>12.623916293888636</v>
      </c>
      <c r="F27" s="466"/>
      <c r="G27" s="21" t="str">
        <f>"Line "&amp;A23&amp;" + Line "&amp;A25</f>
        <v>Line 13 + Line 15</v>
      </c>
      <c r="H27" s="479">
        <f t="shared" si="1"/>
        <v>17</v>
      </c>
    </row>
    <row r="28" spans="1:14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5" orientation="portrait" r:id="rId1"/>
  <headerFooter scaleWithDoc="0">
    <oddFooter xml:space="preserve">&amp;C&amp;"Times New Roman,Regular"&amp;10Section 1
Direct Maintenance
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>
      <selection activeCell="I45" sqref="I45"/>
    </sheetView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3">
      <c r="C1" s="105"/>
    </row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244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12" t="str">
        <f>"BALANCES AS OF 12/31/"&amp;Automation!$B$3</f>
        <v>BALANCES AS OF 12/31/2024</v>
      </c>
      <c r="C5" s="1312"/>
      <c r="D5" s="1312"/>
      <c r="E5" s="1312"/>
      <c r="F5" s="1312"/>
      <c r="G5" s="1312"/>
      <c r="H5" s="1312"/>
      <c r="I5" s="1312"/>
      <c r="J5" s="1312"/>
      <c r="K5" s="1312"/>
      <c r="L5" s="1312"/>
    </row>
    <row r="6" spans="1:13">
      <c r="B6" s="1312" t="s">
        <v>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C7" s="97"/>
      <c r="D7" s="98"/>
      <c r="E7" s="151"/>
      <c r="F7" s="151"/>
      <c r="G7" s="151"/>
      <c r="H7" s="151"/>
      <c r="I7" s="151"/>
      <c r="J7" s="151"/>
    </row>
    <row r="8" spans="1:13" s="95" customFormat="1">
      <c r="B8" s="941"/>
      <c r="C8" s="944"/>
      <c r="D8" s="945" t="s">
        <v>245</v>
      </c>
      <c r="E8" s="946" t="s">
        <v>246</v>
      </c>
      <c r="F8" s="946" t="s">
        <v>247</v>
      </c>
      <c r="G8" s="946" t="s">
        <v>248</v>
      </c>
      <c r="H8" s="946" t="s">
        <v>249</v>
      </c>
      <c r="I8" s="946" t="s">
        <v>250</v>
      </c>
      <c r="J8" s="946" t="s">
        <v>251</v>
      </c>
      <c r="K8" s="946" t="s">
        <v>252</v>
      </c>
      <c r="L8" s="941"/>
      <c r="M8" s="95" t="s">
        <v>183</v>
      </c>
    </row>
    <row r="9" spans="1:13">
      <c r="B9" s="152"/>
      <c r="C9" s="104"/>
      <c r="D9" s="153"/>
      <c r="E9" s="154"/>
      <c r="F9" s="154"/>
      <c r="G9" s="154"/>
      <c r="H9" s="154"/>
      <c r="I9" s="154"/>
      <c r="J9" s="154"/>
      <c r="K9" s="947" t="s">
        <v>80</v>
      </c>
      <c r="L9" s="152"/>
      <c r="M9" s="105" t="s">
        <v>183</v>
      </c>
    </row>
    <row r="10" spans="1:13">
      <c r="B10" s="948"/>
      <c r="C10" s="119"/>
      <c r="D10" s="153"/>
      <c r="E10" s="154" t="s">
        <v>253</v>
      </c>
      <c r="F10" s="154" t="s">
        <v>234</v>
      </c>
      <c r="G10" s="154" t="s">
        <v>238</v>
      </c>
      <c r="H10" s="154" t="s">
        <v>238</v>
      </c>
      <c r="I10" s="154" t="s">
        <v>238</v>
      </c>
      <c r="J10" s="154" t="s">
        <v>238</v>
      </c>
      <c r="K10" s="154" t="s">
        <v>238</v>
      </c>
      <c r="L10" s="144"/>
      <c r="M10" s="105" t="s">
        <v>183</v>
      </c>
    </row>
    <row r="11" spans="1:13">
      <c r="B11" s="949"/>
      <c r="C11" s="116"/>
      <c r="D11" s="155" t="s">
        <v>80</v>
      </c>
      <c r="E11" s="154" t="s">
        <v>254</v>
      </c>
      <c r="F11" s="154" t="s">
        <v>254</v>
      </c>
      <c r="G11" s="154" t="s">
        <v>254</v>
      </c>
      <c r="H11" s="154" t="s">
        <v>254</v>
      </c>
      <c r="I11" s="154" t="s">
        <v>254</v>
      </c>
      <c r="J11" s="154" t="s">
        <v>254</v>
      </c>
      <c r="K11" s="154" t="s">
        <v>235</v>
      </c>
      <c r="L11" s="102"/>
    </row>
    <row r="12" spans="1:13">
      <c r="A12" s="105" t="s">
        <v>4</v>
      </c>
      <c r="B12" s="949"/>
      <c r="C12" s="102"/>
      <c r="D12" s="155" t="s">
        <v>238</v>
      </c>
      <c r="E12" s="154" t="s">
        <v>255</v>
      </c>
      <c r="F12" s="156" t="s">
        <v>255</v>
      </c>
      <c r="G12" s="154" t="s">
        <v>255</v>
      </c>
      <c r="H12" s="154" t="s">
        <v>255</v>
      </c>
      <c r="I12" s="154" t="s">
        <v>255</v>
      </c>
      <c r="J12" s="154" t="s">
        <v>255</v>
      </c>
      <c r="K12" s="154" t="s">
        <v>256</v>
      </c>
      <c r="L12" s="102"/>
      <c r="M12" s="105" t="s">
        <v>4</v>
      </c>
    </row>
    <row r="13" spans="1:13">
      <c r="A13" s="105" t="s">
        <v>5</v>
      </c>
      <c r="B13" s="986" t="s">
        <v>257</v>
      </c>
      <c r="C13" s="986" t="s">
        <v>258</v>
      </c>
      <c r="D13" s="1047" t="s">
        <v>254</v>
      </c>
      <c r="E13" s="1048" t="s">
        <v>259</v>
      </c>
      <c r="F13" s="1048" t="s">
        <v>260</v>
      </c>
      <c r="G13" s="1048" t="s">
        <v>261</v>
      </c>
      <c r="H13" s="1048" t="s">
        <v>262</v>
      </c>
      <c r="I13" s="1048" t="s">
        <v>228</v>
      </c>
      <c r="J13" s="855" t="s">
        <v>263</v>
      </c>
      <c r="K13" s="986" t="s">
        <v>264</v>
      </c>
      <c r="L13" s="986" t="s">
        <v>8</v>
      </c>
      <c r="M13" s="105" t="s">
        <v>5</v>
      </c>
    </row>
    <row r="14" spans="1:13">
      <c r="B14" s="144"/>
      <c r="C14" s="119" t="s">
        <v>265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3">
      <c r="A15" s="105">
        <v>1</v>
      </c>
      <c r="B15" s="167">
        <v>303</v>
      </c>
      <c r="C15" s="61" t="s">
        <v>266</v>
      </c>
      <c r="D15" s="796">
        <v>0</v>
      </c>
      <c r="E15" s="796">
        <v>0</v>
      </c>
      <c r="F15" s="796">
        <v>0</v>
      </c>
      <c r="G15" s="797">
        <v>0</v>
      </c>
      <c r="H15" s="797">
        <v>0</v>
      </c>
      <c r="I15" s="797">
        <v>0</v>
      </c>
      <c r="J15" s="797">
        <v>0</v>
      </c>
      <c r="K15" s="127">
        <f>SUM(D15:J15)</f>
        <v>0</v>
      </c>
      <c r="L15" s="144" t="s">
        <v>213</v>
      </c>
      <c r="M15" s="105">
        <f>A15</f>
        <v>1</v>
      </c>
    </row>
    <row r="16" spans="1:13">
      <c r="A16" s="105">
        <f>A15+1</f>
        <v>2</v>
      </c>
      <c r="B16" s="168">
        <v>310.10000000000002</v>
      </c>
      <c r="C16" s="61" t="s">
        <v>267</v>
      </c>
      <c r="D16" s="798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8">
        <f>SUM(D16:J16)</f>
        <v>0</v>
      </c>
      <c r="L16" s="144" t="s">
        <v>213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268</v>
      </c>
      <c r="D17" s="798">
        <v>0</v>
      </c>
      <c r="E17" s="794">
        <v>4.5108853959999999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59">
        <f>SUM(D17:J17)</f>
        <v>4.5108853959999999</v>
      </c>
      <c r="L17" s="144" t="s">
        <v>213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268</v>
      </c>
      <c r="D18" s="798">
        <v>0</v>
      </c>
      <c r="E18" s="799">
        <v>0</v>
      </c>
      <c r="F18" s="794">
        <v>3615.5538399999973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3615.5538399999973</v>
      </c>
      <c r="L18" s="144" t="s">
        <v>213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269</v>
      </c>
      <c r="D19" s="798">
        <v>0</v>
      </c>
      <c r="E19" s="799">
        <v>0</v>
      </c>
      <c r="F19" s="794">
        <v>1576.7471199999993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1576.7471199999993</v>
      </c>
      <c r="L19" s="144" t="s">
        <v>213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5" t="s">
        <v>270</v>
      </c>
      <c r="C21" s="1116" t="s">
        <v>271</v>
      </c>
      <c r="D21" s="1117">
        <f>SUM(D15:D20)</f>
        <v>0</v>
      </c>
      <c r="E21" s="1117">
        <f t="shared" ref="E21:I21" si="2">SUM(E15:E20)</f>
        <v>4.5108853959999999</v>
      </c>
      <c r="F21" s="1117">
        <f t="shared" si="2"/>
        <v>5192.3009599999968</v>
      </c>
      <c r="G21" s="1117">
        <f t="shared" si="2"/>
        <v>0</v>
      </c>
      <c r="H21" s="1117">
        <f t="shared" si="2"/>
        <v>0</v>
      </c>
      <c r="I21" s="1117">
        <f t="shared" si="2"/>
        <v>0</v>
      </c>
      <c r="J21" s="1117">
        <f>SUM(J15:J20)</f>
        <v>0</v>
      </c>
      <c r="K21" s="1118">
        <f>SUM(K15:K20)</f>
        <v>5196.8118453959969</v>
      </c>
      <c r="L21" s="1119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0"/>
      <c r="E22" s="794"/>
      <c r="F22" s="794"/>
      <c r="G22" s="794"/>
      <c r="H22" s="794"/>
      <c r="I22" s="794"/>
      <c r="J22" s="794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268</v>
      </c>
      <c r="D23" s="796">
        <v>261803.53346000009</v>
      </c>
      <c r="E23" s="797">
        <v>0</v>
      </c>
      <c r="F23" s="797">
        <v>0</v>
      </c>
      <c r="G23" s="797">
        <v>0</v>
      </c>
      <c r="H23" s="797">
        <v>0</v>
      </c>
      <c r="I23" s="797">
        <v>0</v>
      </c>
      <c r="J23" s="797">
        <v>-13557.506586751999</v>
      </c>
      <c r="K23" s="162">
        <f t="shared" ref="K23:K31" si="3">SUM(D23:J23)</f>
        <v>248246.02687324811</v>
      </c>
      <c r="L23" s="144" t="s">
        <v>213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269</v>
      </c>
      <c r="D24" s="800">
        <v>987733.53282999911</v>
      </c>
      <c r="E24" s="799">
        <v>0</v>
      </c>
      <c r="F24" s="799">
        <v>0</v>
      </c>
      <c r="G24" s="800">
        <v>-1928.2778199999998</v>
      </c>
      <c r="H24" s="799">
        <v>0</v>
      </c>
      <c r="I24" s="799">
        <v>0</v>
      </c>
      <c r="J24" s="794">
        <v>-161599.73698249995</v>
      </c>
      <c r="K24" s="164">
        <f t="shared" si="3"/>
        <v>824205.5180274992</v>
      </c>
      <c r="L24" s="144" t="s">
        <v>213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272</v>
      </c>
      <c r="D25" s="800">
        <v>2426904.1365399952</v>
      </c>
      <c r="E25" s="799">
        <v>0</v>
      </c>
      <c r="F25" s="799">
        <v>0</v>
      </c>
      <c r="G25" s="800">
        <v>-12009.827289999999</v>
      </c>
      <c r="H25" s="798">
        <v>-1420.3928799999999</v>
      </c>
      <c r="I25" s="799">
        <v>0</v>
      </c>
      <c r="J25" s="794">
        <v>-2418.0558699999997</v>
      </c>
      <c r="K25" s="164">
        <f t="shared" si="3"/>
        <v>2411055.8604999953</v>
      </c>
      <c r="L25" s="144" t="s">
        <v>213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273</v>
      </c>
      <c r="D26" s="800">
        <v>927208.76253999688</v>
      </c>
      <c r="E26" s="799">
        <v>0</v>
      </c>
      <c r="F26" s="799">
        <v>0</v>
      </c>
      <c r="G26" s="799">
        <v>0</v>
      </c>
      <c r="H26" s="799">
        <v>0</v>
      </c>
      <c r="I26" s="799">
        <v>0</v>
      </c>
      <c r="J26" s="799">
        <v>0</v>
      </c>
      <c r="K26" s="164">
        <f t="shared" si="3"/>
        <v>927208.76253999688</v>
      </c>
      <c r="L26" s="144" t="s">
        <v>213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274</v>
      </c>
      <c r="D27" s="800">
        <v>1326957.9840700012</v>
      </c>
      <c r="E27" s="799">
        <v>0</v>
      </c>
      <c r="F27" s="799">
        <v>0</v>
      </c>
      <c r="G27" s="799">
        <v>0</v>
      </c>
      <c r="H27" s="799">
        <v>0</v>
      </c>
      <c r="I27" s="799">
        <v>0</v>
      </c>
      <c r="J27" s="799">
        <v>0</v>
      </c>
      <c r="K27" s="164">
        <f t="shared" si="3"/>
        <v>1326957.9840700012</v>
      </c>
      <c r="L27" s="144" t="s">
        <v>213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275</v>
      </c>
      <c r="D28" s="800">
        <v>1075095.3280299997</v>
      </c>
      <c r="E28" s="799">
        <v>0</v>
      </c>
      <c r="F28" s="799">
        <v>0</v>
      </c>
      <c r="G28" s="799">
        <v>0</v>
      </c>
      <c r="H28" s="799">
        <v>0</v>
      </c>
      <c r="I28" s="799">
        <v>0</v>
      </c>
      <c r="J28" s="799">
        <v>0</v>
      </c>
      <c r="K28" s="164">
        <f t="shared" si="3"/>
        <v>1075095.3280299997</v>
      </c>
      <c r="L28" s="144" t="s">
        <v>213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276</v>
      </c>
      <c r="D29" s="800">
        <v>676654.19986999989</v>
      </c>
      <c r="E29" s="799">
        <v>0</v>
      </c>
      <c r="F29" s="799">
        <v>0</v>
      </c>
      <c r="G29" s="799">
        <v>0</v>
      </c>
      <c r="H29" s="799">
        <v>0</v>
      </c>
      <c r="I29" s="799">
        <v>0</v>
      </c>
      <c r="J29" s="799">
        <v>0</v>
      </c>
      <c r="K29" s="164">
        <f t="shared" si="3"/>
        <v>676654.19986999989</v>
      </c>
      <c r="L29" s="144" t="s">
        <v>213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277</v>
      </c>
      <c r="D30" s="800">
        <v>663263.29245999991</v>
      </c>
      <c r="E30" s="799">
        <v>0</v>
      </c>
      <c r="F30" s="799">
        <v>0</v>
      </c>
      <c r="G30" s="800">
        <v>-1726.37997</v>
      </c>
      <c r="H30" s="799">
        <v>0</v>
      </c>
      <c r="I30" s="799">
        <v>0</v>
      </c>
      <c r="J30" s="799">
        <v>0</v>
      </c>
      <c r="K30" s="164">
        <f t="shared" si="3"/>
        <v>661536.9124899999</v>
      </c>
      <c r="L30" s="144" t="s">
        <v>213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278</v>
      </c>
      <c r="D31" s="800">
        <v>402374.67178999982</v>
      </c>
      <c r="E31" s="799">
        <v>0</v>
      </c>
      <c r="F31" s="799">
        <v>0</v>
      </c>
      <c r="G31" s="799">
        <v>0</v>
      </c>
      <c r="H31" s="799">
        <v>0</v>
      </c>
      <c r="I31" s="799">
        <v>0</v>
      </c>
      <c r="J31" s="799">
        <v>0</v>
      </c>
      <c r="K31" s="164">
        <f t="shared" si="3"/>
        <v>402374.67178999982</v>
      </c>
      <c r="L31" s="144" t="s">
        <v>213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0"/>
      <c r="F32" s="998"/>
      <c r="G32" s="998"/>
      <c r="H32" s="998"/>
      <c r="I32" s="998"/>
      <c r="J32" s="794"/>
      <c r="K32" s="1049"/>
      <c r="L32" s="158"/>
      <c r="M32" s="105">
        <f t="shared" si="1"/>
        <v>18</v>
      </c>
    </row>
    <row r="33" spans="1:13">
      <c r="A33" s="105">
        <f t="shared" si="0"/>
        <v>19</v>
      </c>
      <c r="B33" s="1120" t="s">
        <v>270</v>
      </c>
      <c r="C33" s="1116" t="s">
        <v>237</v>
      </c>
      <c r="D33" s="1117">
        <f>SUM(D23:D32)</f>
        <v>8747995.4415899906</v>
      </c>
      <c r="E33" s="1117">
        <f t="shared" ref="E33:I33" si="4">SUM(E23:E32)</f>
        <v>0</v>
      </c>
      <c r="F33" s="1117">
        <f t="shared" si="4"/>
        <v>0</v>
      </c>
      <c r="G33" s="1117">
        <f t="shared" si="4"/>
        <v>-15664.485079999999</v>
      </c>
      <c r="H33" s="1117">
        <f t="shared" si="4"/>
        <v>-1420.3928799999999</v>
      </c>
      <c r="I33" s="1117">
        <f t="shared" si="4"/>
        <v>0</v>
      </c>
      <c r="J33" s="1117">
        <f>SUM(J23:J32)</f>
        <v>-177575.29943925195</v>
      </c>
      <c r="K33" s="1118">
        <f>SUM(K23:K32)</f>
        <v>8553335.264190739</v>
      </c>
      <c r="L33" s="1121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48"/>
      <c r="D34" s="122"/>
      <c r="J34" s="160"/>
      <c r="K34" s="165"/>
      <c r="L34" s="1122"/>
      <c r="M34" s="105">
        <f t="shared" si="1"/>
        <v>20</v>
      </c>
    </row>
    <row r="35" spans="1:13">
      <c r="A35" s="105">
        <f t="shared" si="0"/>
        <v>21</v>
      </c>
      <c r="B35" s="1123" t="s">
        <v>279</v>
      </c>
      <c r="C35" s="1124"/>
      <c r="D35" s="1125">
        <f>D33+D21</f>
        <v>8747995.4415899906</v>
      </c>
      <c r="E35" s="1125">
        <f t="shared" ref="E35:I35" si="5">E33+E21</f>
        <v>4.5108853959999999</v>
      </c>
      <c r="F35" s="1125">
        <f t="shared" si="5"/>
        <v>5192.3009599999968</v>
      </c>
      <c r="G35" s="1125">
        <f>G33+G21</f>
        <v>-15664.485079999999</v>
      </c>
      <c r="H35" s="1125">
        <f>H33+H21</f>
        <v>-1420.3928799999999</v>
      </c>
      <c r="I35" s="1126">
        <f t="shared" si="5"/>
        <v>0</v>
      </c>
      <c r="J35" s="1125">
        <f>J33+J21</f>
        <v>-177575.29943925195</v>
      </c>
      <c r="K35" s="1127">
        <f>K33+K21</f>
        <v>8558532.0760361347</v>
      </c>
      <c r="L35" s="1119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280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>
      <selection activeCell="F39" sqref="F39"/>
    </sheetView>
  </sheetViews>
  <sheetFormatPr defaultColWidth="9.425781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8"/>
      <c r="E7" s="97"/>
      <c r="F7" s="97"/>
    </row>
    <row r="8" spans="1:8">
      <c r="B8" s="1308" t="s">
        <v>281</v>
      </c>
      <c r="C8" s="1313"/>
      <c r="D8" s="1313"/>
      <c r="E8" s="1313"/>
      <c r="F8" s="1313"/>
    </row>
    <row r="10" spans="1:8">
      <c r="B10" s="940"/>
      <c r="C10" s="739" t="s">
        <v>80</v>
      </c>
      <c r="D10" s="941"/>
      <c r="E10" s="739"/>
      <c r="F10" s="941"/>
    </row>
    <row r="11" spans="1:8">
      <c r="B11" s="102"/>
      <c r="C11" s="107" t="s">
        <v>282</v>
      </c>
      <c r="D11" s="102"/>
      <c r="E11" s="107" t="s">
        <v>282</v>
      </c>
      <c r="F11" s="102"/>
    </row>
    <row r="12" spans="1:8">
      <c r="A12" s="105"/>
      <c r="B12" s="106"/>
      <c r="C12" s="95" t="s">
        <v>238</v>
      </c>
      <c r="D12" s="102"/>
      <c r="E12" s="107" t="s">
        <v>283</v>
      </c>
      <c r="F12" s="102"/>
      <c r="G12" s="105"/>
    </row>
    <row r="13" spans="1:8">
      <c r="A13" s="105" t="s">
        <v>4</v>
      </c>
      <c r="B13" s="106"/>
      <c r="C13" s="95" t="s">
        <v>235</v>
      </c>
      <c r="D13" s="102"/>
      <c r="E13" s="107" t="s">
        <v>235</v>
      </c>
      <c r="F13" s="102"/>
      <c r="G13" s="105" t="s">
        <v>4</v>
      </c>
    </row>
    <row r="14" spans="1:8">
      <c r="A14" s="105" t="s">
        <v>5</v>
      </c>
      <c r="B14" s="986" t="s">
        <v>123</v>
      </c>
      <c r="C14" s="852" t="s">
        <v>211</v>
      </c>
      <c r="D14" s="986" t="s">
        <v>8</v>
      </c>
      <c r="E14" s="1031" t="s">
        <v>284</v>
      </c>
      <c r="F14" s="986" t="s">
        <v>8</v>
      </c>
      <c r="G14" s="105" t="s">
        <v>5</v>
      </c>
    </row>
    <row r="15" spans="1:8">
      <c r="A15" s="105">
        <v>1</v>
      </c>
      <c r="B15" s="108" t="str">
        <f>"Dec-"&amp;RIGHT(Automation!$B$3-1,2)</f>
        <v>Dec-23</v>
      </c>
      <c r="C15" s="127">
        <v>0</v>
      </c>
      <c r="D15" s="110" t="s">
        <v>213</v>
      </c>
      <c r="E15" s="740">
        <v>0</v>
      </c>
      <c r="F15" s="110" t="s">
        <v>213</v>
      </c>
      <c r="G15" s="105">
        <f>A15</f>
        <v>1</v>
      </c>
      <c r="H15" s="112"/>
    </row>
    <row r="16" spans="1:8">
      <c r="A16" s="105">
        <f>A15+1</f>
        <v>2</v>
      </c>
      <c r="B16" s="108" t="str">
        <f>"Jan-"&amp;RIGHT(Automation!$B$3,2)</f>
        <v>Jan-24</v>
      </c>
      <c r="C16" s="128">
        <v>0</v>
      </c>
      <c r="D16" s="114"/>
      <c r="E16" s="741">
        <v>0</v>
      </c>
      <c r="F16" s="114"/>
      <c r="G16" s="105">
        <f>G15+1</f>
        <v>2</v>
      </c>
      <c r="H16" s="112"/>
    </row>
    <row r="17" spans="1:8">
      <c r="A17" s="105">
        <f t="shared" ref="A17:A33" si="0">A16+1</f>
        <v>3</v>
      </c>
      <c r="B17" s="108" t="s">
        <v>214</v>
      </c>
      <c r="C17" s="128">
        <v>0</v>
      </c>
      <c r="D17" s="114"/>
      <c r="E17" s="741">
        <v>0</v>
      </c>
      <c r="F17" s="114"/>
      <c r="G17" s="105">
        <f t="shared" ref="G17:G33" si="1">G16+1</f>
        <v>3</v>
      </c>
      <c r="H17" s="126"/>
    </row>
    <row r="18" spans="1:8">
      <c r="A18" s="105">
        <f t="shared" si="0"/>
        <v>4</v>
      </c>
      <c r="B18" s="108" t="s">
        <v>215</v>
      </c>
      <c r="C18" s="128">
        <v>0</v>
      </c>
      <c r="D18" s="114"/>
      <c r="E18" s="741">
        <v>0</v>
      </c>
      <c r="F18" s="114"/>
      <c r="G18" s="105">
        <f t="shared" si="1"/>
        <v>4</v>
      </c>
      <c r="H18" s="126"/>
    </row>
    <row r="19" spans="1:8">
      <c r="A19" s="105">
        <f t="shared" si="0"/>
        <v>5</v>
      </c>
      <c r="B19" s="108" t="s">
        <v>216</v>
      </c>
      <c r="C19" s="128">
        <v>0</v>
      </c>
      <c r="D19" s="114"/>
      <c r="E19" s="741">
        <v>0</v>
      </c>
      <c r="F19" s="114"/>
      <c r="G19" s="105">
        <f t="shared" si="1"/>
        <v>5</v>
      </c>
      <c r="H19" s="126"/>
    </row>
    <row r="20" spans="1:8">
      <c r="A20" s="105">
        <f t="shared" si="0"/>
        <v>6</v>
      </c>
      <c r="B20" s="108" t="s">
        <v>160</v>
      </c>
      <c r="C20" s="128">
        <v>0</v>
      </c>
      <c r="D20" s="114"/>
      <c r="E20" s="741">
        <v>0</v>
      </c>
      <c r="F20" s="114"/>
      <c r="G20" s="105">
        <f t="shared" si="1"/>
        <v>6</v>
      </c>
      <c r="H20" s="126"/>
    </row>
    <row r="21" spans="1:8">
      <c r="A21" s="105">
        <f>A20+1</f>
        <v>7</v>
      </c>
      <c r="B21" s="108" t="s">
        <v>217</v>
      </c>
      <c r="C21" s="128">
        <v>0</v>
      </c>
      <c r="D21" s="114"/>
      <c r="E21" s="741">
        <v>0</v>
      </c>
      <c r="F21" s="114"/>
      <c r="G21" s="105">
        <f>G20+1</f>
        <v>7</v>
      </c>
      <c r="H21" s="126"/>
    </row>
    <row r="22" spans="1:8">
      <c r="A22" s="105">
        <f t="shared" si="0"/>
        <v>8</v>
      </c>
      <c r="B22" s="108" t="s">
        <v>218</v>
      </c>
      <c r="C22" s="128">
        <v>0</v>
      </c>
      <c r="D22" s="114"/>
      <c r="E22" s="741">
        <v>0</v>
      </c>
      <c r="F22" s="114"/>
      <c r="G22" s="105">
        <f t="shared" si="1"/>
        <v>8</v>
      </c>
      <c r="H22" s="126"/>
    </row>
    <row r="23" spans="1:8">
      <c r="A23" s="105">
        <f t="shared" si="0"/>
        <v>9</v>
      </c>
      <c r="B23" s="108" t="s">
        <v>219</v>
      </c>
      <c r="C23" s="128">
        <v>0</v>
      </c>
      <c r="D23" s="114"/>
      <c r="E23" s="741">
        <v>0</v>
      </c>
      <c r="F23" s="114"/>
      <c r="G23" s="105">
        <f t="shared" si="1"/>
        <v>9</v>
      </c>
      <c r="H23" s="126"/>
    </row>
    <row r="24" spans="1:8">
      <c r="A24" s="105">
        <f t="shared" si="0"/>
        <v>10</v>
      </c>
      <c r="B24" s="108" t="s">
        <v>220</v>
      </c>
      <c r="C24" s="128">
        <v>0</v>
      </c>
      <c r="D24" s="114"/>
      <c r="E24" s="741">
        <v>0</v>
      </c>
      <c r="F24" s="114"/>
      <c r="G24" s="105">
        <f t="shared" si="1"/>
        <v>10</v>
      </c>
      <c r="H24" s="126"/>
    </row>
    <row r="25" spans="1:8">
      <c r="A25" s="105">
        <f t="shared" si="0"/>
        <v>11</v>
      </c>
      <c r="B25" s="108" t="s">
        <v>221</v>
      </c>
      <c r="C25" s="128">
        <v>0</v>
      </c>
      <c r="D25" s="114"/>
      <c r="E25" s="741">
        <v>0</v>
      </c>
      <c r="F25" s="114"/>
      <c r="G25" s="105">
        <f t="shared" si="1"/>
        <v>11</v>
      </c>
      <c r="H25" s="126"/>
    </row>
    <row r="26" spans="1:8">
      <c r="A26" s="105">
        <f t="shared" si="0"/>
        <v>12</v>
      </c>
      <c r="B26" s="108" t="s">
        <v>222</v>
      </c>
      <c r="C26" s="128">
        <v>0</v>
      </c>
      <c r="D26" s="114"/>
      <c r="E26" s="741">
        <v>0</v>
      </c>
      <c r="F26" s="114"/>
      <c r="G26" s="105">
        <f t="shared" si="1"/>
        <v>12</v>
      </c>
      <c r="H26" s="126"/>
    </row>
    <row r="27" spans="1:8">
      <c r="A27" s="105">
        <f t="shared" si="0"/>
        <v>13</v>
      </c>
      <c r="B27" s="997" t="str">
        <f>"Dec-"&amp;RIGHT(Automation!$B$3,2)</f>
        <v>Dec-24</v>
      </c>
      <c r="C27" s="1036">
        <v>0</v>
      </c>
      <c r="D27" s="1035" t="s">
        <v>213</v>
      </c>
      <c r="E27" s="1050">
        <v>0</v>
      </c>
      <c r="F27" s="1035" t="s">
        <v>213</v>
      </c>
      <c r="G27" s="105">
        <f t="shared" si="1"/>
        <v>13</v>
      </c>
      <c r="H27" s="112"/>
    </row>
    <row r="28" spans="1:8">
      <c r="A28" s="105">
        <f t="shared" si="0"/>
        <v>14</v>
      </c>
      <c r="B28" s="116"/>
      <c r="C28" s="742"/>
      <c r="D28" s="134"/>
      <c r="E28" s="129"/>
      <c r="F28" s="942"/>
      <c r="G28" s="105">
        <f t="shared" si="1"/>
        <v>14</v>
      </c>
      <c r="H28" s="126"/>
    </row>
    <row r="29" spans="1:8">
      <c r="A29" s="105">
        <f t="shared" si="0"/>
        <v>15</v>
      </c>
      <c r="B29" s="116" t="s">
        <v>223</v>
      </c>
      <c r="C29" s="130">
        <f>SUM(C15:C27)</f>
        <v>0</v>
      </c>
      <c r="D29" s="271" t="str">
        <f>"Sum Lines "&amp;A15&amp;" thru "&amp;A27</f>
        <v>Sum Lines 1 thru 13</v>
      </c>
      <c r="E29" s="130">
        <f>SUM(E15:E27)</f>
        <v>0</v>
      </c>
      <c r="F29" s="445" t="str">
        <f>"Sum Lines "&amp;A15&amp;" thru "&amp;A27</f>
        <v>Sum Lines 1 thru 13</v>
      </c>
      <c r="G29" s="105">
        <f t="shared" si="1"/>
        <v>15</v>
      </c>
      <c r="H29" s="126"/>
    </row>
    <row r="30" spans="1:8">
      <c r="A30" s="105">
        <f t="shared" si="0"/>
        <v>16</v>
      </c>
      <c r="B30" s="987"/>
      <c r="C30" s="1037"/>
      <c r="D30" s="1038"/>
      <c r="E30" s="1037"/>
      <c r="F30" s="1051"/>
      <c r="G30" s="105">
        <f t="shared" si="1"/>
        <v>16</v>
      </c>
      <c r="H30" s="126"/>
    </row>
    <row r="31" spans="1:8">
      <c r="A31" s="105">
        <f t="shared" si="0"/>
        <v>17</v>
      </c>
      <c r="B31" s="116"/>
      <c r="C31" s="129"/>
      <c r="D31" s="135"/>
      <c r="E31" s="129"/>
      <c r="F31" s="743"/>
      <c r="G31" s="105">
        <f t="shared" si="1"/>
        <v>17</v>
      </c>
      <c r="H31" s="126"/>
    </row>
    <row r="32" spans="1:8">
      <c r="A32" s="105">
        <f t="shared" si="0"/>
        <v>18</v>
      </c>
      <c r="B32" s="116" t="s">
        <v>224</v>
      </c>
      <c r="C32" s="137">
        <f>C29/13</f>
        <v>0</v>
      </c>
      <c r="D32" s="271" t="str">
        <f>"Average of Lines "&amp;A15&amp;" thru "&amp;A27</f>
        <v>Average of Lines 1 thru 13</v>
      </c>
      <c r="E32" s="137">
        <f>E29/13</f>
        <v>0</v>
      </c>
      <c r="F32" s="445" t="str">
        <f>"Average of Lines "&amp;A15&amp;" thru "&amp;A27</f>
        <v>Average of Lines 1 thru 13</v>
      </c>
      <c r="G32" s="105">
        <f t="shared" si="1"/>
        <v>18</v>
      </c>
      <c r="H32" s="126"/>
    </row>
    <row r="33" spans="1:8">
      <c r="A33" s="105">
        <f t="shared" si="0"/>
        <v>19</v>
      </c>
      <c r="B33" s="987"/>
      <c r="C33" s="1037"/>
      <c r="D33" s="1038"/>
      <c r="E33" s="1037"/>
      <c r="F33" s="1051"/>
      <c r="G33" s="105">
        <f t="shared" si="1"/>
        <v>19</v>
      </c>
      <c r="H33" s="126"/>
    </row>
    <row r="34" spans="1:8">
      <c r="B34" s="122"/>
      <c r="C34" s="131"/>
      <c r="D34" s="131"/>
      <c r="E34" s="131"/>
      <c r="F34" s="132"/>
      <c r="G34" s="744"/>
      <c r="H34" s="126"/>
    </row>
    <row r="35" spans="1:8">
      <c r="B35" s="147"/>
      <c r="C35" s="132"/>
      <c r="D35" s="132"/>
      <c r="E35" s="132"/>
      <c r="F35" s="132"/>
      <c r="G35" s="492"/>
      <c r="H35" s="126"/>
    </row>
    <row r="36" spans="1:8">
      <c r="B36" s="122"/>
      <c r="C36" s="132"/>
      <c r="D36" s="132"/>
      <c r="E36" s="132"/>
      <c r="F36" s="132"/>
      <c r="G36" s="492"/>
      <c r="H36" s="126"/>
    </row>
    <row r="37" spans="1:8">
      <c r="B37" s="122"/>
      <c r="C37" s="132"/>
      <c r="D37" s="132"/>
      <c r="E37" s="132"/>
      <c r="F37" s="132"/>
      <c r="G37" s="492"/>
      <c r="H37" s="126"/>
    </row>
    <row r="38" spans="1:8">
      <c r="B38" s="122"/>
      <c r="C38" s="132"/>
      <c r="D38" s="132"/>
      <c r="E38" s="132"/>
      <c r="F38" s="132"/>
      <c r="G38" s="492"/>
      <c r="H38" s="126"/>
    </row>
    <row r="39" spans="1:8">
      <c r="C39" s="133"/>
      <c r="D39" s="133"/>
      <c r="E39" s="126"/>
      <c r="F39" s="126"/>
      <c r="G39" s="492"/>
      <c r="H39" s="126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>
      <selection activeCell="D26" sqref="D26"/>
    </sheetView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96" customWidth="1"/>
    <col min="4" max="4" width="62.5703125" style="96" customWidth="1"/>
    <col min="5" max="5" width="5.425781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6">
      <c r="B2" s="1308" t="s">
        <v>0</v>
      </c>
      <c r="C2" s="1308"/>
      <c r="D2" s="1308"/>
    </row>
    <row r="3" spans="1:6">
      <c r="B3" s="1308" t="s">
        <v>206</v>
      </c>
      <c r="C3" s="1308"/>
      <c r="D3" s="1308"/>
    </row>
    <row r="4" spans="1:6">
      <c r="B4" s="1308" t="s">
        <v>207</v>
      </c>
      <c r="C4" s="1308"/>
      <c r="D4" s="1308"/>
    </row>
    <row r="5" spans="1:6">
      <c r="B5" s="1308" t="str">
        <f>"BASE PERIOD / TRUE UP PERIOD - 12/31/"&amp;Automation!$B$3&amp;" PER BOOK"</f>
        <v>BASE PERIOD / TRUE UP PERIOD - 12/31/2024 PER BOOK</v>
      </c>
      <c r="C5" s="1308"/>
      <c r="D5" s="1308"/>
    </row>
    <row r="6" spans="1:6">
      <c r="B6" s="1312" t="s">
        <v>3</v>
      </c>
      <c r="C6" s="1312"/>
      <c r="D6" s="1312"/>
    </row>
    <row r="7" spans="1:6">
      <c r="B7" s="97"/>
      <c r="C7" s="97"/>
      <c r="D7" s="97"/>
    </row>
    <row r="8" spans="1:6">
      <c r="B8" s="1308" t="s">
        <v>285</v>
      </c>
      <c r="C8" s="1308"/>
      <c r="D8" s="1308"/>
    </row>
    <row r="10" spans="1:6">
      <c r="B10" s="451"/>
      <c r="C10" s="950" t="s">
        <v>286</v>
      </c>
      <c r="D10" s="856"/>
      <c r="E10" s="105"/>
    </row>
    <row r="11" spans="1:6">
      <c r="A11" s="105" t="s">
        <v>4</v>
      </c>
      <c r="B11" s="949"/>
      <c r="C11" s="102" t="s">
        <v>287</v>
      </c>
      <c r="D11" s="171"/>
      <c r="E11" s="105" t="s">
        <v>4</v>
      </c>
    </row>
    <row r="12" spans="1:6">
      <c r="A12" s="105" t="s">
        <v>5</v>
      </c>
      <c r="B12" s="989" t="s">
        <v>123</v>
      </c>
      <c r="C12" s="986" t="s">
        <v>175</v>
      </c>
      <c r="D12" s="1031" t="s">
        <v>8</v>
      </c>
      <c r="E12" s="105" t="s">
        <v>5</v>
      </c>
    </row>
    <row r="13" spans="1:6">
      <c r="A13" s="105"/>
      <c r="B13" s="951"/>
      <c r="C13" s="172"/>
      <c r="D13" s="173"/>
      <c r="E13" s="105"/>
    </row>
    <row r="14" spans="1:6">
      <c r="A14" s="105">
        <v>1</v>
      </c>
      <c r="B14" s="952" t="str">
        <f>"Dec-"&amp;RIGHT(Automation!$B$3-1,2)</f>
        <v>Dec-23</v>
      </c>
      <c r="C14" s="801">
        <v>125194.79648999999</v>
      </c>
      <c r="D14" s="458" t="s">
        <v>893</v>
      </c>
      <c r="E14" s="105">
        <f>A14</f>
        <v>1</v>
      </c>
      <c r="F14" s="112"/>
    </row>
    <row r="15" spans="1:6">
      <c r="A15" s="105">
        <f>A14+1</f>
        <v>2</v>
      </c>
      <c r="B15" s="953"/>
      <c r="C15" s="795"/>
      <c r="D15" s="174"/>
      <c r="E15" s="105">
        <f>E14+1</f>
        <v>2</v>
      </c>
    </row>
    <row r="16" spans="1:6">
      <c r="A16" s="105">
        <f t="shared" ref="A16:A20" si="0">A15+1</f>
        <v>3</v>
      </c>
      <c r="B16" s="952" t="str">
        <f>"Dec-"&amp;RIGHT(Automation!$B$3,2)</f>
        <v>Dec-24</v>
      </c>
      <c r="C16" s="800">
        <v>236259.08225000006</v>
      </c>
      <c r="D16" s="458" t="s">
        <v>894</v>
      </c>
      <c r="E16" s="105">
        <f t="shared" ref="E16:E20" si="1">E15+1</f>
        <v>3</v>
      </c>
      <c r="F16" s="112"/>
    </row>
    <row r="17" spans="1:5">
      <c r="A17" s="105">
        <f t="shared" si="0"/>
        <v>4</v>
      </c>
      <c r="B17" s="954"/>
      <c r="C17" s="1043"/>
      <c r="D17" s="1052"/>
      <c r="E17" s="105">
        <f t="shared" si="1"/>
        <v>4</v>
      </c>
    </row>
    <row r="18" spans="1:5">
      <c r="A18" s="105">
        <f t="shared" si="0"/>
        <v>5</v>
      </c>
      <c r="B18" s="451"/>
      <c r="C18" s="172"/>
      <c r="D18" s="173"/>
      <c r="E18" s="105">
        <f t="shared" si="1"/>
        <v>5</v>
      </c>
    </row>
    <row r="19" spans="1:5">
      <c r="A19" s="105">
        <f t="shared" si="0"/>
        <v>6</v>
      </c>
      <c r="B19" s="954" t="s">
        <v>236</v>
      </c>
      <c r="C19" s="175">
        <f>(C14+C16)/2</f>
        <v>180726.93937000004</v>
      </c>
      <c r="D19" s="176" t="str">
        <f>"Average of Line "&amp;A14&amp;" and Line "&amp;A16</f>
        <v>Average of Line 1 and Line 3</v>
      </c>
      <c r="E19" s="105">
        <f t="shared" si="1"/>
        <v>6</v>
      </c>
    </row>
    <row r="20" spans="1:5">
      <c r="A20" s="105">
        <f t="shared" si="0"/>
        <v>7</v>
      </c>
      <c r="B20" s="1053"/>
      <c r="C20" s="1006"/>
      <c r="D20" s="1037"/>
      <c r="E20" s="105">
        <f t="shared" si="1"/>
        <v>7</v>
      </c>
    </row>
    <row r="21" spans="1:5">
      <c r="A21" s="105"/>
      <c r="B21" s="122"/>
      <c r="C21" s="177"/>
      <c r="D21" s="122"/>
      <c r="E21" s="105"/>
    </row>
    <row r="22" spans="1:5">
      <c r="B22" s="122"/>
      <c r="C22" s="122"/>
      <c r="D22" s="122"/>
      <c r="E22" s="105"/>
    </row>
    <row r="23" spans="1:5">
      <c r="B23" s="122"/>
      <c r="C23" s="122"/>
      <c r="D23" s="122"/>
    </row>
    <row r="24" spans="1:5">
      <c r="B24" s="122"/>
      <c r="C24" s="122"/>
      <c r="D24" s="122"/>
    </row>
    <row r="25" spans="1:5">
      <c r="B25" s="122"/>
      <c r="C25" s="122"/>
      <c r="D25" s="122"/>
    </row>
    <row r="26" spans="1:5">
      <c r="B26" s="122"/>
      <c r="C26" s="122"/>
      <c r="D26" s="122"/>
    </row>
    <row r="27" spans="1:5">
      <c r="B27" s="122"/>
      <c r="C27" s="122"/>
      <c r="D27" s="122"/>
    </row>
    <row r="28" spans="1:5">
      <c r="B28" s="122"/>
      <c r="C28" s="122"/>
      <c r="D28" s="122"/>
    </row>
    <row r="29" spans="1:5">
      <c r="B29" s="122"/>
      <c r="C29" s="122"/>
      <c r="D29" s="122"/>
    </row>
    <row r="30" spans="1:5">
      <c r="B30" s="122"/>
      <c r="C30" s="122"/>
      <c r="D30" s="122"/>
    </row>
    <row r="31" spans="1:5">
      <c r="B31" s="122"/>
      <c r="C31" s="122"/>
      <c r="D31" s="122"/>
    </row>
    <row r="32" spans="1:5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H42"/>
  <sheetViews>
    <sheetView zoomScale="80" zoomScaleNormal="80" workbookViewId="0">
      <selection activeCell="C32" sqref="C32"/>
    </sheetView>
  </sheetViews>
  <sheetFormatPr defaultColWidth="9.140625" defaultRowHeight="15.75"/>
  <cols>
    <col min="1" max="1" width="5.140625" style="95" customWidth="1"/>
    <col min="2" max="2" width="51.140625" style="96" customWidth="1"/>
    <col min="3" max="3" width="25.140625" style="96" customWidth="1"/>
    <col min="4" max="4" width="58" style="96" customWidth="1"/>
    <col min="5" max="5" width="5.140625" style="95" customWidth="1"/>
    <col min="6" max="6" width="25.140625" style="96" customWidth="1"/>
    <col min="7" max="7" width="7.42578125" style="96" customWidth="1"/>
    <col min="8" max="8" width="17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8">
      <c r="B2" s="1308" t="s">
        <v>0</v>
      </c>
      <c r="C2" s="1308"/>
      <c r="D2" s="1308"/>
    </row>
    <row r="3" spans="1:8">
      <c r="B3" s="1308" t="s">
        <v>206</v>
      </c>
      <c r="C3" s="1308"/>
      <c r="D3" s="1308"/>
    </row>
    <row r="4" spans="1:8">
      <c r="B4" s="1308" t="s">
        <v>207</v>
      </c>
      <c r="C4" s="1308"/>
      <c r="D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8">
      <c r="B6" s="1312" t="s">
        <v>3</v>
      </c>
      <c r="C6" s="1312"/>
      <c r="D6" s="1312"/>
    </row>
    <row r="7" spans="1:8">
      <c r="B7" s="97"/>
      <c r="C7" s="97"/>
      <c r="D7" s="97"/>
    </row>
    <row r="8" spans="1:8">
      <c r="B8" s="1308" t="s">
        <v>288</v>
      </c>
      <c r="C8" s="1308"/>
      <c r="D8" s="1308"/>
      <c r="E8" s="105"/>
    </row>
    <row r="9" spans="1:8">
      <c r="A9" s="105"/>
      <c r="E9" s="105"/>
    </row>
    <row r="10" spans="1:8">
      <c r="A10" s="105"/>
      <c r="B10" s="451"/>
      <c r="C10" s="950" t="s">
        <v>286</v>
      </c>
      <c r="D10" s="955"/>
      <c r="E10" s="105"/>
    </row>
    <row r="11" spans="1:8">
      <c r="A11" s="105" t="s">
        <v>4</v>
      </c>
      <c r="B11" s="949"/>
      <c r="C11" s="102" t="s">
        <v>289</v>
      </c>
      <c r="D11" s="104"/>
      <c r="E11" s="105" t="s">
        <v>4</v>
      </c>
    </row>
    <row r="12" spans="1:8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8">
      <c r="A13" s="105"/>
      <c r="B13" s="951"/>
      <c r="C13" s="172"/>
      <c r="D13" s="178"/>
      <c r="E13" s="105"/>
    </row>
    <row r="14" spans="1:8">
      <c r="A14" s="105">
        <v>1</v>
      </c>
      <c r="B14" s="952" t="str">
        <f>"Dec-"&amp;RIGHT(Automation!$B$3-1,2)</f>
        <v>Dec-23</v>
      </c>
      <c r="C14" s="801">
        <v>614792.31672999891</v>
      </c>
      <c r="D14" s="143" t="s">
        <v>893</v>
      </c>
      <c r="E14" s="105">
        <f>A14</f>
        <v>1</v>
      </c>
      <c r="F14" s="1177"/>
      <c r="H14" s="1148"/>
    </row>
    <row r="15" spans="1:8">
      <c r="A15" s="105">
        <f>A14+1</f>
        <v>2</v>
      </c>
      <c r="B15" s="953"/>
      <c r="C15" s="795"/>
      <c r="D15" s="795"/>
      <c r="E15" s="105">
        <f>E14+1</f>
        <v>2</v>
      </c>
    </row>
    <row r="16" spans="1:8">
      <c r="A16" s="105">
        <f t="shared" ref="A16:A20" si="0">A15+1</f>
        <v>3</v>
      </c>
      <c r="B16" s="952" t="str">
        <f>"Dec-"&amp;RIGHT(Automation!$B$3,2)</f>
        <v>Dec-24</v>
      </c>
      <c r="C16" s="800">
        <v>651436.10081000126</v>
      </c>
      <c r="D16" s="143" t="s">
        <v>894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954"/>
      <c r="C17" s="1043"/>
      <c r="D17" s="1043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9">
        <f>(C14+C16)/2</f>
        <v>633114.20877000014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54"/>
      <c r="D20" s="988"/>
      <c r="E20" s="105">
        <f t="shared" si="1"/>
        <v>7</v>
      </c>
    </row>
    <row r="21" spans="1:6">
      <c r="A21" s="105"/>
      <c r="C21" s="208"/>
      <c r="D21" s="141"/>
      <c r="E21" s="105"/>
    </row>
    <row r="22" spans="1:6">
      <c r="A22" s="105"/>
      <c r="C22" s="208"/>
      <c r="D22" s="141"/>
      <c r="E22" s="105"/>
    </row>
    <row r="23" spans="1:6" ht="18.75">
      <c r="A23" s="121"/>
      <c r="B23" s="122"/>
      <c r="C23" s="122"/>
      <c r="D23" s="122"/>
    </row>
    <row r="24" spans="1:6">
      <c r="B24" s="122"/>
      <c r="C24" s="122"/>
      <c r="D24" s="122"/>
    </row>
    <row r="25" spans="1:6">
      <c r="B25" s="122"/>
      <c r="C25" s="122"/>
      <c r="D25" s="122"/>
      <c r="F25" s="170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8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>
      <selection activeCell="E33" sqref="E33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5.140625" style="96" bestFit="1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206</v>
      </c>
      <c r="C3" s="1308"/>
      <c r="D3" s="1308"/>
      <c r="E3" s="1308"/>
    </row>
    <row r="4" spans="1:7">
      <c r="B4" s="1308" t="s">
        <v>207</v>
      </c>
      <c r="C4" s="1308"/>
      <c r="D4" s="1308"/>
      <c r="E4" s="1308"/>
    </row>
    <row r="5" spans="1:7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G5"/>
    </row>
    <row r="6" spans="1:7">
      <c r="B6" s="1312" t="s">
        <v>3</v>
      </c>
      <c r="C6" s="1312"/>
      <c r="D6" s="1312"/>
      <c r="E6" s="1312"/>
    </row>
    <row r="7" spans="1:7">
      <c r="B7" s="97"/>
      <c r="C7" s="97"/>
      <c r="D7" s="97"/>
      <c r="E7" s="97"/>
    </row>
    <row r="8" spans="1:7">
      <c r="B8" s="1308" t="s">
        <v>290</v>
      </c>
      <c r="C8" s="1308"/>
      <c r="D8" s="1308"/>
      <c r="E8" s="1308"/>
      <c r="F8" s="105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144"/>
      <c r="E12" s="957"/>
      <c r="F12" s="105"/>
    </row>
    <row r="13" spans="1:7">
      <c r="A13" s="105">
        <v>1</v>
      </c>
      <c r="B13" s="952" t="str">
        <f>"Dec-"&amp;RIGHT(Automation!$B$3-1,2)</f>
        <v>Dec-23</v>
      </c>
      <c r="C13" s="952" t="s">
        <v>291</v>
      </c>
      <c r="D13" s="793">
        <v>2451965.4819999998</v>
      </c>
      <c r="E13" s="793" t="s">
        <v>976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0.73899999999999999</v>
      </c>
      <c r="E14" s="459" t="s">
        <v>978</v>
      </c>
      <c r="F14" s="105">
        <f>F13+1</f>
        <v>2</v>
      </c>
    </row>
    <row r="15" spans="1:7">
      <c r="A15" s="105">
        <f t="shared" ref="A15:A23" si="0">A14+1</f>
        <v>3</v>
      </c>
      <c r="B15" s="952"/>
      <c r="C15" s="952" t="s">
        <v>293</v>
      </c>
      <c r="D15" s="793">
        <f>D13*D14</f>
        <v>1812002.4911979998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2"/>
      <c r="C16" s="952"/>
      <c r="D16" s="181"/>
      <c r="E16" s="143"/>
      <c r="F16" s="105">
        <f t="shared" si="1"/>
        <v>4</v>
      </c>
    </row>
    <row r="17" spans="1:12">
      <c r="A17" s="105">
        <f t="shared" si="0"/>
        <v>5</v>
      </c>
      <c r="B17" s="952" t="str">
        <f>"Dec-"&amp;RIGHT(Automation!$B$3,2)</f>
        <v>Dec-24</v>
      </c>
      <c r="C17" s="952" t="s">
        <v>291</v>
      </c>
      <c r="D17" s="793">
        <v>2651696.2480000001</v>
      </c>
      <c r="E17" s="793" t="s">
        <v>977</v>
      </c>
      <c r="F17" s="105">
        <f t="shared" si="1"/>
        <v>5</v>
      </c>
    </row>
    <row r="18" spans="1:12">
      <c r="A18" s="105">
        <f t="shared" si="0"/>
        <v>6</v>
      </c>
      <c r="B18" s="952"/>
      <c r="C18" s="952" t="s">
        <v>292</v>
      </c>
      <c r="D18" s="990">
        <v>0.73870000000000002</v>
      </c>
      <c r="E18" s="459" t="s">
        <v>978</v>
      </c>
      <c r="F18" s="105">
        <f t="shared" si="1"/>
        <v>6</v>
      </c>
      <c r="G18" s="342"/>
      <c r="L18" s="201"/>
    </row>
    <row r="19" spans="1:12">
      <c r="A19" s="105">
        <f t="shared" si="0"/>
        <v>7</v>
      </c>
      <c r="B19" s="952"/>
      <c r="C19" s="952" t="s">
        <v>293</v>
      </c>
      <c r="D19" s="793">
        <f>D17*D18</f>
        <v>1958808.0183976002</v>
      </c>
      <c r="E19" s="180" t="str">
        <f>"Line "&amp;A17&amp;" x Line "&amp;A18</f>
        <v>Line 5 x Line 6</v>
      </c>
      <c r="F19" s="105">
        <f t="shared" si="1"/>
        <v>7</v>
      </c>
      <c r="L19" s="201"/>
    </row>
    <row r="20" spans="1:12">
      <c r="A20" s="105">
        <f t="shared" si="0"/>
        <v>8</v>
      </c>
      <c r="B20" s="991"/>
      <c r="C20" s="989"/>
      <c r="D20" s="1055"/>
      <c r="E20" s="992"/>
      <c r="F20" s="105">
        <f t="shared" si="1"/>
        <v>8</v>
      </c>
      <c r="L20" s="201"/>
    </row>
    <row r="21" spans="1:12">
      <c r="A21" s="105">
        <f t="shared" si="0"/>
        <v>9</v>
      </c>
      <c r="B21" s="451"/>
      <c r="D21" s="134"/>
      <c r="E21" s="116"/>
      <c r="F21" s="105">
        <f t="shared" si="1"/>
        <v>9</v>
      </c>
    </row>
    <row r="22" spans="1:12">
      <c r="A22" s="105">
        <f t="shared" si="0"/>
        <v>10</v>
      </c>
      <c r="B22" s="954" t="s">
        <v>236</v>
      </c>
      <c r="D22" s="175">
        <f>(D15+D19)/2</f>
        <v>1885405.2547978</v>
      </c>
      <c r="E22" s="144" t="str">
        <f>"Average of Line "&amp;A15&amp;" and Line "&amp;A19</f>
        <v>Average of Line 3 and Line 7</v>
      </c>
      <c r="F22" s="105">
        <f t="shared" si="1"/>
        <v>10</v>
      </c>
      <c r="L22" s="201"/>
    </row>
    <row r="23" spans="1:12">
      <c r="A23" s="105">
        <f t="shared" si="0"/>
        <v>11</v>
      </c>
      <c r="B23" s="1053"/>
      <c r="C23" s="857"/>
      <c r="D23" s="1006"/>
      <c r="E23" s="1043"/>
      <c r="F23" s="105">
        <f t="shared" si="1"/>
        <v>11</v>
      </c>
    </row>
    <row r="24" spans="1:12">
      <c r="A24" s="105"/>
      <c r="B24" s="122"/>
      <c r="C24" s="122"/>
      <c r="D24" s="122"/>
      <c r="E24" s="122"/>
      <c r="F24" s="105"/>
    </row>
    <row r="25" spans="1:12">
      <c r="A25" s="105"/>
      <c r="B25" s="122"/>
      <c r="C25" s="122"/>
      <c r="D25" s="122"/>
      <c r="E25" s="122"/>
    </row>
    <row r="26" spans="1:12">
      <c r="A26" s="105"/>
      <c r="B26" s="122"/>
      <c r="C26" s="122"/>
      <c r="D26" s="122"/>
      <c r="E26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0"/>
  <sheetViews>
    <sheetView zoomScale="80" zoomScaleNormal="80" zoomScalePageLayoutView="80" workbookViewId="0">
      <selection activeCell="I19" sqref="I19"/>
    </sheetView>
  </sheetViews>
  <sheetFormatPr defaultColWidth="8.85546875" defaultRowHeight="15.75"/>
  <cols>
    <col min="1" max="1" width="5.42578125" style="105" bestFit="1" customWidth="1"/>
    <col min="2" max="2" width="67.5703125" style="122" customWidth="1"/>
    <col min="3" max="3" width="25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22" bestFit="1" customWidth="1"/>
    <col min="13" max="13" width="8.85546875" style="122"/>
    <col min="14" max="14" width="33.42578125" style="122" customWidth="1"/>
    <col min="15" max="16384" width="8.85546875" style="122"/>
  </cols>
  <sheetData>
    <row r="1" spans="1:14">
      <c r="H1" s="105"/>
      <c r="I1" s="105"/>
      <c r="J1" s="105"/>
      <c r="K1" s="105"/>
      <c r="L1" s="105"/>
    </row>
    <row r="2" spans="1:14"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05"/>
    </row>
    <row r="3" spans="1:14">
      <c r="B3" s="1308" t="s">
        <v>294</v>
      </c>
      <c r="C3" s="1308"/>
      <c r="D3" s="1308"/>
      <c r="E3" s="1308"/>
      <c r="F3" s="1308"/>
      <c r="G3" s="1308"/>
      <c r="H3" s="1308"/>
      <c r="I3" s="1308"/>
      <c r="J3" s="1308"/>
      <c r="K3" s="1308"/>
      <c r="L3" s="105"/>
    </row>
    <row r="4" spans="1:14">
      <c r="B4" s="1308" t="s">
        <v>295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05"/>
    </row>
    <row r="5" spans="1:14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0"/>
      <c r="I5" s="1310"/>
      <c r="J5" s="1310"/>
      <c r="K5" s="1310"/>
      <c r="L5" s="105"/>
      <c r="N5" s="112"/>
    </row>
    <row r="6" spans="1:14">
      <c r="B6" s="1312" t="s">
        <v>3</v>
      </c>
      <c r="C6" s="1309"/>
      <c r="D6" s="1309"/>
      <c r="E6" s="1309"/>
      <c r="F6" s="1309"/>
      <c r="G6" s="1309"/>
      <c r="H6" s="1309"/>
      <c r="I6" s="1309"/>
      <c r="J6" s="1309"/>
      <c r="K6" s="1309"/>
      <c r="L6" s="105"/>
      <c r="N6" s="353"/>
    </row>
    <row r="7" spans="1:14">
      <c r="B7" s="105"/>
      <c r="D7" s="105"/>
      <c r="E7" s="105"/>
      <c r="F7" s="105"/>
      <c r="G7" s="105"/>
      <c r="H7" s="95"/>
      <c r="I7" s="95"/>
      <c r="J7" s="95"/>
      <c r="K7" s="105"/>
      <c r="L7" s="105"/>
    </row>
    <row r="8" spans="1:14">
      <c r="A8" s="105" t="s">
        <v>4</v>
      </c>
      <c r="B8" s="95"/>
      <c r="C8" s="211" t="s">
        <v>186</v>
      </c>
      <c r="D8" s="95"/>
      <c r="E8" s="317" t="s">
        <v>77</v>
      </c>
      <c r="F8" s="105"/>
      <c r="G8" s="317" t="s">
        <v>78</v>
      </c>
      <c r="H8" s="105"/>
      <c r="I8" s="317" t="s">
        <v>187</v>
      </c>
      <c r="J8" s="95"/>
      <c r="K8" s="105"/>
      <c r="L8" s="105" t="s">
        <v>4</v>
      </c>
    </row>
    <row r="9" spans="1:14">
      <c r="A9" s="105" t="s">
        <v>5</v>
      </c>
      <c r="B9" s="95"/>
      <c r="C9" s="845" t="s">
        <v>188</v>
      </c>
      <c r="D9" s="95"/>
      <c r="E9" s="858" t="str">
        <f>'Stmt AD'!E9</f>
        <v>31-Dec-23</v>
      </c>
      <c r="F9" s="95"/>
      <c r="G9" s="858" t="str">
        <f>'Stmt AD'!G9</f>
        <v>31-Dec-24</v>
      </c>
      <c r="H9" s="95"/>
      <c r="I9" s="848" t="s">
        <v>189</v>
      </c>
      <c r="J9" s="95"/>
      <c r="K9" s="849" t="s">
        <v>8</v>
      </c>
      <c r="L9" s="105" t="s">
        <v>5</v>
      </c>
      <c r="N9" s="170"/>
    </row>
    <row r="10" spans="1:14">
      <c r="B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pans="1:14" ht="18.75">
      <c r="A11" s="105">
        <v>1</v>
      </c>
      <c r="B11" s="16" t="s">
        <v>296</v>
      </c>
      <c r="D11" s="105"/>
      <c r="E11" s="354"/>
      <c r="F11" s="283"/>
      <c r="G11" s="354"/>
      <c r="H11" s="355"/>
      <c r="I11" s="356">
        <f>'AE-1'!E36</f>
        <v>2167261.8449331662</v>
      </c>
      <c r="J11" s="286"/>
      <c r="K11" s="105" t="str">
        <f>"AE-1; Line "&amp;'AE-1'!A36</f>
        <v>AE-1; Line 23</v>
      </c>
      <c r="L11" s="105">
        <f>A11</f>
        <v>1</v>
      </c>
      <c r="N11" s="1214"/>
    </row>
    <row r="12" spans="1:14">
      <c r="A12" s="105">
        <f>A11+1</f>
        <v>2</v>
      </c>
      <c r="B12" s="16"/>
      <c r="E12" s="276"/>
      <c r="G12" s="276"/>
      <c r="H12" s="289"/>
      <c r="I12" s="276"/>
      <c r="J12" s="289"/>
      <c r="K12" s="357"/>
      <c r="L12" s="105">
        <f>L11+1</f>
        <v>2</v>
      </c>
    </row>
    <row r="13" spans="1:14" ht="18.75">
      <c r="A13" s="105">
        <f t="shared" ref="A13:A29" si="0">+A12+1</f>
        <v>3</v>
      </c>
      <c r="B13" s="16" t="s">
        <v>880</v>
      </c>
      <c r="E13" s="358">
        <f>'AE-2'!C14</f>
        <v>76610.14694999998</v>
      </c>
      <c r="F13" s="359"/>
      <c r="G13" s="358">
        <f>'AE-2'!C16</f>
        <v>96781.857920000039</v>
      </c>
      <c r="H13" s="286"/>
      <c r="I13" s="294">
        <f>(E13+G13)/2</f>
        <v>86696.002435000002</v>
      </c>
      <c r="J13" s="286"/>
      <c r="K13" s="105" t="str">
        <f>"AE-2; Line "&amp;'AE-2'!A19</f>
        <v>AE-2; Line 6</v>
      </c>
      <c r="L13" s="105">
        <f t="shared" ref="L13:L29" si="1">+L12+1</f>
        <v>3</v>
      </c>
    </row>
    <row r="14" spans="1:14">
      <c r="A14" s="105">
        <f t="shared" si="0"/>
        <v>4</v>
      </c>
      <c r="B14" s="16"/>
      <c r="E14" s="276"/>
      <c r="G14" s="276"/>
      <c r="H14" s="289"/>
      <c r="I14" s="294"/>
      <c r="J14" s="289"/>
      <c r="K14" s="281"/>
      <c r="L14" s="105">
        <f t="shared" si="1"/>
        <v>4</v>
      </c>
    </row>
    <row r="15" spans="1:14" ht="18.75">
      <c r="A15" s="105">
        <f t="shared" si="0"/>
        <v>5</v>
      </c>
      <c r="B15" s="16" t="s">
        <v>881</v>
      </c>
      <c r="E15" s="319">
        <f>'AE-3'!C14</f>
        <v>268071.91264152038</v>
      </c>
      <c r="G15" s="319">
        <f>'AE-3'!C16</f>
        <v>295030.92501313915</v>
      </c>
      <c r="H15" s="360"/>
      <c r="I15" s="294">
        <f>(E15+G15)/2</f>
        <v>281551.41882732976</v>
      </c>
      <c r="J15" s="289"/>
      <c r="K15" s="105" t="str">
        <f>"AE-3; Line "&amp;'AE-3'!A19</f>
        <v>AE-3; Line 6</v>
      </c>
      <c r="L15" s="105">
        <f t="shared" si="1"/>
        <v>5</v>
      </c>
    </row>
    <row r="16" spans="1:14">
      <c r="A16" s="105">
        <f t="shared" si="0"/>
        <v>6</v>
      </c>
      <c r="B16" s="16"/>
      <c r="E16" s="294"/>
      <c r="G16" s="294"/>
      <c r="H16" s="289"/>
      <c r="I16" s="295"/>
      <c r="J16" s="289"/>
      <c r="K16" s="281"/>
      <c r="L16" s="105">
        <f t="shared" si="1"/>
        <v>6</v>
      </c>
    </row>
    <row r="17" spans="1:14" ht="18.75">
      <c r="A17" s="105">
        <f t="shared" si="0"/>
        <v>7</v>
      </c>
      <c r="B17" s="16" t="s">
        <v>297</v>
      </c>
      <c r="E17" s="319">
        <f>'AE-4'!D15</f>
        <v>756371.15274399996</v>
      </c>
      <c r="G17" s="319">
        <f>'AE-4'!D19</f>
        <v>875143.0719804999</v>
      </c>
      <c r="H17" s="360"/>
      <c r="I17" s="294">
        <f>(E17+G17)/2</f>
        <v>815757.11236224999</v>
      </c>
      <c r="J17" s="289"/>
      <c r="K17" s="105" t="str">
        <f>"AE-4; Line "&amp;'AE-4'!A22</f>
        <v>AE-4; Line 10</v>
      </c>
      <c r="L17" s="105">
        <f t="shared" si="1"/>
        <v>7</v>
      </c>
    </row>
    <row r="18" spans="1:14">
      <c r="A18" s="105">
        <f t="shared" si="0"/>
        <v>8</v>
      </c>
      <c r="B18" s="16"/>
      <c r="E18" s="276"/>
      <c r="G18" s="276"/>
      <c r="H18" s="289"/>
      <c r="I18" s="276"/>
      <c r="J18" s="289"/>
      <c r="K18" s="288"/>
      <c r="L18" s="105">
        <f t="shared" si="1"/>
        <v>8</v>
      </c>
    </row>
    <row r="19" spans="1:14">
      <c r="A19" s="105">
        <f t="shared" si="0"/>
        <v>9</v>
      </c>
      <c r="B19" s="16" t="s">
        <v>195</v>
      </c>
      <c r="E19" s="290"/>
      <c r="G19" s="290"/>
      <c r="H19" s="291"/>
      <c r="I19" s="859">
        <f>'Stmt AI'!E27</f>
        <v>0.11129405685920617</v>
      </c>
      <c r="J19" s="291"/>
      <c r="K19" s="281" t="str">
        <f>"Statement AI; Line "&amp;'Stmt AI'!A27</f>
        <v>Statement AI; Line 17</v>
      </c>
      <c r="L19" s="105">
        <f t="shared" si="1"/>
        <v>9</v>
      </c>
      <c r="N19" s="170"/>
    </row>
    <row r="20" spans="1:14">
      <c r="A20" s="105">
        <f t="shared" si="0"/>
        <v>10</v>
      </c>
      <c r="B20" s="16"/>
      <c r="E20" s="276"/>
      <c r="G20" s="276"/>
      <c r="H20" s="289"/>
      <c r="I20" s="313"/>
      <c r="J20" s="289"/>
      <c r="K20" s="288"/>
      <c r="L20" s="105">
        <f t="shared" si="1"/>
        <v>10</v>
      </c>
    </row>
    <row r="21" spans="1:14">
      <c r="A21" s="105">
        <f t="shared" si="0"/>
        <v>11</v>
      </c>
      <c r="B21" s="16" t="s">
        <v>298</v>
      </c>
      <c r="E21" s="276"/>
      <c r="G21" s="276"/>
      <c r="H21" s="289"/>
      <c r="I21" s="361">
        <f>I13*I19</f>
        <v>9648.7498244667659</v>
      </c>
      <c r="J21" s="286"/>
      <c r="K21" s="288" t="str">
        <f>"Line "&amp;A13&amp;" x Line "&amp;A19</f>
        <v>Line 3 x Line 9</v>
      </c>
      <c r="L21" s="105">
        <f t="shared" si="1"/>
        <v>11</v>
      </c>
    </row>
    <row r="22" spans="1:14">
      <c r="A22" s="105">
        <f t="shared" si="0"/>
        <v>12</v>
      </c>
      <c r="B22" s="16"/>
      <c r="E22" s="276"/>
      <c r="G22" s="276"/>
      <c r="H22" s="289"/>
      <c r="I22" s="313"/>
      <c r="J22" s="289"/>
      <c r="K22" s="288"/>
      <c r="L22" s="105">
        <f t="shared" si="1"/>
        <v>12</v>
      </c>
    </row>
    <row r="23" spans="1:14">
      <c r="A23" s="105">
        <f t="shared" si="0"/>
        <v>13</v>
      </c>
      <c r="B23" s="16" t="s">
        <v>299</v>
      </c>
      <c r="E23" s="294"/>
      <c r="F23" s="160"/>
      <c r="G23" s="294"/>
      <c r="H23" s="362"/>
      <c r="I23" s="363">
        <f>I15*I19</f>
        <v>31334.999615759007</v>
      </c>
      <c r="J23" s="289"/>
      <c r="K23" s="288" t="str">
        <f>"Line "&amp;A15&amp;" x Line "&amp;A19</f>
        <v>Line 5 x Line 9</v>
      </c>
      <c r="L23" s="105">
        <f t="shared" si="1"/>
        <v>13</v>
      </c>
    </row>
    <row r="24" spans="1:14">
      <c r="A24" s="105">
        <f t="shared" si="0"/>
        <v>14</v>
      </c>
      <c r="B24" s="16"/>
      <c r="E24" s="294"/>
      <c r="F24" s="160"/>
      <c r="G24" s="294"/>
      <c r="H24" s="360"/>
      <c r="I24" s="321"/>
      <c r="J24" s="289"/>
      <c r="K24" s="288"/>
      <c r="L24" s="105">
        <f t="shared" si="1"/>
        <v>14</v>
      </c>
    </row>
    <row r="25" spans="1:14">
      <c r="A25" s="105">
        <f t="shared" si="0"/>
        <v>15</v>
      </c>
      <c r="B25" s="16" t="s">
        <v>300</v>
      </c>
      <c r="E25" s="363"/>
      <c r="F25" s="160"/>
      <c r="G25" s="363"/>
      <c r="H25" s="360"/>
      <c r="I25" s="860">
        <f>I17*I19</f>
        <v>90788.918446546086</v>
      </c>
      <c r="J25" s="289"/>
      <c r="K25" s="288" t="str">
        <f>"Line "&amp;A17&amp;" x Line "&amp;A19</f>
        <v>Line 7 x Line 9</v>
      </c>
      <c r="L25" s="105">
        <f t="shared" si="1"/>
        <v>15</v>
      </c>
    </row>
    <row r="26" spans="1:14">
      <c r="A26" s="105">
        <f t="shared" si="0"/>
        <v>16</v>
      </c>
      <c r="B26" s="16"/>
      <c r="E26" s="363"/>
      <c r="F26" s="160"/>
      <c r="G26" s="363"/>
      <c r="H26" s="360"/>
      <c r="I26" s="321"/>
      <c r="J26" s="289"/>
      <c r="K26" s="288"/>
      <c r="L26" s="105">
        <f t="shared" si="1"/>
        <v>16</v>
      </c>
    </row>
    <row r="27" spans="1:14" ht="16.5" thickBot="1">
      <c r="A27" s="105">
        <f t="shared" si="0"/>
        <v>17</v>
      </c>
      <c r="B27" s="16" t="s">
        <v>301</v>
      </c>
      <c r="E27" s="292"/>
      <c r="F27" s="160"/>
      <c r="G27" s="292"/>
      <c r="H27" s="360"/>
      <c r="I27" s="293">
        <f>I11+I21+I23+I25</f>
        <v>2299034.5128199379</v>
      </c>
      <c r="J27" s="286"/>
      <c r="K27" s="288" t="str">
        <f>"Line "&amp;A11&amp;" + (Sum Lines "&amp;A21&amp;" thru "&amp;A25&amp;")"</f>
        <v>Line 1 + (Sum Lines 11 thru 15)</v>
      </c>
      <c r="L27" s="105">
        <f t="shared" si="1"/>
        <v>17</v>
      </c>
    </row>
    <row r="28" spans="1:14" ht="16.5" thickTop="1">
      <c r="A28" s="105">
        <f t="shared" si="0"/>
        <v>18</v>
      </c>
      <c r="B28" s="16"/>
      <c r="E28" s="292"/>
      <c r="F28" s="160"/>
      <c r="G28" s="292"/>
      <c r="H28" s="360"/>
      <c r="I28" s="292"/>
      <c r="J28" s="286"/>
      <c r="K28" s="288"/>
      <c r="L28" s="105">
        <f t="shared" si="1"/>
        <v>18</v>
      </c>
    </row>
    <row r="29" spans="1:14" ht="19.5" thickBot="1">
      <c r="A29" s="105">
        <f t="shared" si="0"/>
        <v>19</v>
      </c>
      <c r="B29" s="16" t="s">
        <v>302</v>
      </c>
      <c r="E29" s="292"/>
      <c r="F29" s="160"/>
      <c r="G29" s="292"/>
      <c r="H29" s="360"/>
      <c r="I29" s="755">
        <v>0</v>
      </c>
      <c r="J29" s="105"/>
      <c r="K29" s="105" t="s">
        <v>303</v>
      </c>
      <c r="L29" s="105">
        <f t="shared" si="1"/>
        <v>19</v>
      </c>
    </row>
    <row r="30" spans="1:14" ht="16.5" thickTop="1">
      <c r="B30" s="16"/>
      <c r="G30" s="285"/>
      <c r="H30" s="289"/>
      <c r="I30" s="289"/>
      <c r="J30" s="289"/>
      <c r="K30" s="288"/>
      <c r="L30" s="105"/>
    </row>
    <row r="32" spans="1:14" ht="18.75">
      <c r="A32" s="2">
        <v>1</v>
      </c>
      <c r="B32" s="122" t="s">
        <v>304</v>
      </c>
    </row>
    <row r="33" spans="1:14" ht="18.75">
      <c r="A33" s="1">
        <v>2</v>
      </c>
      <c r="B33" s="16" t="s">
        <v>305</v>
      </c>
    </row>
    <row r="34" spans="1:14" ht="18.75">
      <c r="A34" s="1">
        <v>3</v>
      </c>
      <c r="B34" s="122" t="s">
        <v>306</v>
      </c>
    </row>
    <row r="35" spans="1:14" ht="18.75">
      <c r="A35" s="1">
        <v>4</v>
      </c>
      <c r="B35" s="122" t="s">
        <v>204</v>
      </c>
    </row>
    <row r="36" spans="1:14" ht="18.75">
      <c r="A36" s="1"/>
      <c r="N36" s="170"/>
    </row>
    <row r="38" spans="1:14" ht="18.75">
      <c r="A38" s="1"/>
    </row>
    <row r="40" spans="1:14">
      <c r="N40" s="17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49"/>
  <sheetViews>
    <sheetView zoomScale="80" zoomScaleNormal="80" workbookViewId="0">
      <selection activeCell="B5" sqref="B5:F5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9.5703125" style="96" bestFit="1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307</v>
      </c>
      <c r="C3" s="1308"/>
      <c r="D3" s="1308"/>
      <c r="E3" s="1308"/>
      <c r="F3" s="1308"/>
    </row>
    <row r="4" spans="1:8">
      <c r="B4" s="1308" t="s">
        <v>308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8"/>
      <c r="E7" s="97"/>
      <c r="F7" s="97"/>
    </row>
    <row r="8" spans="1:8">
      <c r="B8" s="1308" t="s">
        <v>237</v>
      </c>
      <c r="C8" s="1308"/>
      <c r="D8" s="1308"/>
      <c r="E8" s="1308"/>
      <c r="F8" s="1308"/>
    </row>
    <row r="10" spans="1:8">
      <c r="A10" s="105"/>
      <c r="B10" s="940"/>
      <c r="C10" s="739" t="s">
        <v>80</v>
      </c>
      <c r="D10" s="941"/>
      <c r="E10" s="739"/>
      <c r="F10" s="941"/>
    </row>
    <row r="11" spans="1:8">
      <c r="A11" s="105"/>
      <c r="B11" s="102"/>
      <c r="C11" s="95" t="s">
        <v>238</v>
      </c>
      <c r="D11" s="102"/>
      <c r="E11" s="107" t="s">
        <v>238</v>
      </c>
      <c r="F11" s="102"/>
    </row>
    <row r="12" spans="1:8">
      <c r="A12" s="105" t="s">
        <v>4</v>
      </c>
      <c r="B12" s="106"/>
      <c r="C12" s="95" t="s">
        <v>309</v>
      </c>
      <c r="D12" s="104"/>
      <c r="E12" s="107" t="s">
        <v>309</v>
      </c>
      <c r="F12" s="104"/>
      <c r="G12" s="105" t="s">
        <v>4</v>
      </c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Dec-23</v>
      </c>
      <c r="C14" s="182">
        <v>2056225.609540567</v>
      </c>
      <c r="D14" s="143" t="s">
        <v>213</v>
      </c>
      <c r="E14" s="182">
        <v>2022634.589255455</v>
      </c>
      <c r="F14" s="143" t="str">
        <f>Automation!B3-1&amp;" Form 1; Page 200-201; Footnote Data (b)"</f>
        <v>2023 Form 1; Page 200-201; Footnote Data (b)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35">
        <v>2073840.0782028963</v>
      </c>
      <c r="D15" s="146"/>
      <c r="E15" s="183">
        <v>2039409.87563723</v>
      </c>
      <c r="F15" s="146"/>
      <c r="G15" s="105">
        <f>G14+1</f>
        <v>2</v>
      </c>
    </row>
    <row r="16" spans="1:8">
      <c r="A16" s="105">
        <f t="shared" ref="A16:A36" si="0">A15+1</f>
        <v>3</v>
      </c>
      <c r="B16" s="108" t="s">
        <v>214</v>
      </c>
      <c r="C16" s="135">
        <v>2093884.772367114</v>
      </c>
      <c r="D16" s="146"/>
      <c r="E16" s="183">
        <v>2059783.679735803</v>
      </c>
      <c r="F16" s="146"/>
      <c r="G16" s="105">
        <f t="shared" ref="G16:G36" si="1">G15+1</f>
        <v>3</v>
      </c>
    </row>
    <row r="17" spans="1:8">
      <c r="A17" s="105">
        <f t="shared" si="0"/>
        <v>4</v>
      </c>
      <c r="B17" s="108" t="s">
        <v>215</v>
      </c>
      <c r="C17" s="135">
        <v>2111579.3141827444</v>
      </c>
      <c r="D17" s="146"/>
      <c r="E17" s="183">
        <v>2077180.9949748183</v>
      </c>
      <c r="F17" s="146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35">
        <v>2129471.9817159926</v>
      </c>
      <c r="D18" s="146"/>
      <c r="E18" s="183">
        <v>2094033.1910039983</v>
      </c>
      <c r="F18" s="146"/>
      <c r="G18" s="105">
        <f t="shared" si="1"/>
        <v>5</v>
      </c>
      <c r="H18" s="184"/>
    </row>
    <row r="19" spans="1:8">
      <c r="A19" s="105">
        <f t="shared" si="0"/>
        <v>6</v>
      </c>
      <c r="B19" s="108" t="s">
        <v>160</v>
      </c>
      <c r="C19" s="135">
        <v>2145563.2801319268</v>
      </c>
      <c r="D19" s="146"/>
      <c r="E19" s="183">
        <v>2109738.0800851798</v>
      </c>
      <c r="F19" s="146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35">
        <v>2163696.5453733094</v>
      </c>
      <c r="D20" s="146"/>
      <c r="E20" s="183">
        <v>2127607.2230678303</v>
      </c>
      <c r="F20" s="146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35">
        <v>2181351.3254408161</v>
      </c>
      <c r="D21" s="146"/>
      <c r="E21" s="183">
        <v>2144993.2332386626</v>
      </c>
      <c r="F21" s="146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35">
        <v>2200952.2453661528</v>
      </c>
      <c r="D22" s="146"/>
      <c r="E22" s="183">
        <v>2164236.8710140302</v>
      </c>
      <c r="F22" s="146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35">
        <v>2218376.4078409993</v>
      </c>
      <c r="D23" s="146"/>
      <c r="E23" s="183">
        <v>2181375.5093397009</v>
      </c>
      <c r="F23" s="146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35">
        <v>2236896.1829476599</v>
      </c>
      <c r="D24" s="146"/>
      <c r="E24" s="183">
        <v>2199580.1656062794</v>
      </c>
      <c r="F24" s="146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35">
        <v>2256337.7802331634</v>
      </c>
      <c r="D25" s="146"/>
      <c r="E25" s="183">
        <v>2218681.3670703797</v>
      </c>
      <c r="F25" s="146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038">
        <v>2275156.2541863532</v>
      </c>
      <c r="D26" s="992" t="s">
        <v>213</v>
      </c>
      <c r="E26" s="1055">
        <v>2237105.4151017959</v>
      </c>
      <c r="F26" s="143" t="str">
        <f>Automation!B3&amp;" Form 1; Page 200-201; Footnote Data (b)"</f>
        <v>2024 Form 1; Page 200-201; Footnote Data (b)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2"/>
      <c r="D27" s="940"/>
      <c r="E27" s="129"/>
      <c r="F27" s="940"/>
      <c r="G27" s="105">
        <f t="shared" si="1"/>
        <v>14</v>
      </c>
    </row>
    <row r="28" spans="1:8">
      <c r="A28" s="105">
        <f t="shared" si="0"/>
        <v>15</v>
      </c>
      <c r="B28" s="116" t="s">
        <v>223</v>
      </c>
      <c r="C28" s="185">
        <f>SUM(C14:C26)</f>
        <v>28143331.777529698</v>
      </c>
      <c r="D28" s="180" t="str">
        <f>"Sum Lines "&amp;A14&amp;" thru "&amp;A26</f>
        <v>Sum Lines 1 thru 13</v>
      </c>
      <c r="E28" s="118">
        <f>SUM(E14:E26)</f>
        <v>27676360.195131164</v>
      </c>
      <c r="F28" s="180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56"/>
      <c r="D29" s="1045"/>
      <c r="E29" s="1033"/>
      <c r="F29" s="1045"/>
      <c r="G29" s="105">
        <f t="shared" si="1"/>
        <v>16</v>
      </c>
    </row>
    <row r="30" spans="1:8">
      <c r="A30" s="105">
        <f t="shared" si="0"/>
        <v>17</v>
      </c>
      <c r="B30" s="116"/>
      <c r="C30" s="186"/>
      <c r="D30" s="187"/>
      <c r="E30" s="186"/>
      <c r="F30" s="187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85">
        <f>C28/13</f>
        <v>2164871.6751945922</v>
      </c>
      <c r="D31" s="180" t="str">
        <f>"Average of Lines "&amp;A14&amp;" thru "&amp;A26</f>
        <v>Average of Lines 1 thru 13</v>
      </c>
      <c r="E31" s="118">
        <f>E28/13</f>
        <v>2128950.7842408586</v>
      </c>
      <c r="F31" s="143" t="str">
        <f>Automation!B3&amp;" Form 1; Page 200-201; Footnote Data (b)"</f>
        <v>2024 Form 1; Page 200-201; Footnote Data (b)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4"/>
      <c r="D32" s="1046"/>
      <c r="E32" s="1034"/>
      <c r="F32" s="1046"/>
      <c r="G32" s="105">
        <f t="shared" si="1"/>
        <v>19</v>
      </c>
    </row>
    <row r="33" spans="1:8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8">
      <c r="A34" s="105">
        <f t="shared" si="0"/>
        <v>21</v>
      </c>
      <c r="B34" s="122" t="s">
        <v>310</v>
      </c>
      <c r="C34" s="122"/>
      <c r="D34" s="122"/>
      <c r="E34" s="854">
        <f>'AE-1A'!E31</f>
        <v>38311.060692307699</v>
      </c>
      <c r="F34" s="105" t="str">
        <f>"AE-1A; Line "&amp;'AE-1A'!A31</f>
        <v>AE-1A; Line 18</v>
      </c>
      <c r="G34" s="105">
        <f t="shared" si="1"/>
        <v>21</v>
      </c>
      <c r="H34" s="112"/>
    </row>
    <row r="35" spans="1:8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8" ht="16.5" thickBot="1">
      <c r="A36" s="105">
        <f t="shared" si="0"/>
        <v>23</v>
      </c>
      <c r="B36" s="96" t="s">
        <v>311</v>
      </c>
      <c r="C36" s="122"/>
      <c r="D36" s="122"/>
      <c r="E36" s="257">
        <f>E31+E34</f>
        <v>2167261.8449331662</v>
      </c>
      <c r="F36" s="105" t="str">
        <f>"Line "&amp;A31&amp;" + Line "&amp;A34</f>
        <v>Line 18 + Line 21</v>
      </c>
      <c r="G36" s="105">
        <f t="shared" si="1"/>
        <v>23</v>
      </c>
    </row>
    <row r="37" spans="1:8" ht="16.5" thickTop="1">
      <c r="A37" s="105"/>
      <c r="C37" s="122"/>
      <c r="D37" s="122"/>
      <c r="E37" s="122"/>
      <c r="F37" s="122"/>
    </row>
    <row r="38" spans="1:8">
      <c r="C38" s="122"/>
      <c r="D38" s="122"/>
      <c r="E38" s="145"/>
      <c r="F38" s="122"/>
    </row>
    <row r="39" spans="1:8" ht="18.75">
      <c r="A39" s="121">
        <v>1</v>
      </c>
      <c r="B39" s="122" t="s">
        <v>312</v>
      </c>
      <c r="C39" s="122"/>
      <c r="D39" s="122"/>
      <c r="E39" s="122"/>
      <c r="F39" s="122"/>
    </row>
    <row r="40" spans="1:8">
      <c r="B40" s="122" t="s">
        <v>313</v>
      </c>
      <c r="C40" s="122"/>
      <c r="D40" s="122"/>
      <c r="E40" s="122"/>
      <c r="F40" s="122"/>
    </row>
    <row r="41" spans="1:8">
      <c r="B41" s="122"/>
      <c r="C41" s="122"/>
      <c r="D41" s="122"/>
      <c r="E41" s="122"/>
      <c r="F41" s="122"/>
    </row>
    <row r="42" spans="1:8">
      <c r="B42" s="122"/>
      <c r="C42" s="122"/>
      <c r="D42" s="122"/>
      <c r="E42" s="122"/>
      <c r="F42" s="122"/>
    </row>
    <row r="43" spans="1:8">
      <c r="A43" s="1107"/>
      <c r="B43" s="122"/>
    </row>
    <row r="46" spans="1:8">
      <c r="A46" s="1107"/>
    </row>
    <row r="49" spans="1:1">
      <c r="A49" s="1107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2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>
      <selection activeCell="F40" sqref="F40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57.1406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307</v>
      </c>
      <c r="C3" s="1308"/>
      <c r="D3" s="1308"/>
      <c r="E3" s="1308"/>
      <c r="F3" s="1308"/>
    </row>
    <row r="4" spans="1:9">
      <c r="B4" s="1308" t="s">
        <v>308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237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238</v>
      </c>
      <c r="D11" s="102"/>
      <c r="E11" s="103" t="s">
        <v>238</v>
      </c>
      <c r="F11" s="104"/>
    </row>
    <row r="12" spans="1:9">
      <c r="A12" s="105" t="s">
        <v>4</v>
      </c>
      <c r="B12" s="106"/>
      <c r="C12" s="95" t="s">
        <v>309</v>
      </c>
      <c r="D12" s="102"/>
      <c r="E12" s="107" t="s">
        <v>309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82">
        <v>36496.487000000001</v>
      </c>
      <c r="D14" s="143" t="s">
        <v>213</v>
      </c>
      <c r="E14" s="182">
        <f>C14</f>
        <v>36496.487000000001</v>
      </c>
      <c r="F14" s="143" t="s">
        <v>882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36798.92</v>
      </c>
      <c r="D15" s="114"/>
      <c r="E15" s="113">
        <f>C15</f>
        <v>36798.92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37101.345000000001</v>
      </c>
      <c r="D16" s="114"/>
      <c r="E16" s="113">
        <f t="shared" ref="E16:E25" si="1">C16</f>
        <v>37101.345000000001</v>
      </c>
      <c r="F16" s="114"/>
      <c r="G16" s="105">
        <f t="shared" ref="G16:G32" si="2">G15+1</f>
        <v>3</v>
      </c>
    </row>
    <row r="17" spans="1:9">
      <c r="A17" s="105">
        <f t="shared" si="0"/>
        <v>4</v>
      </c>
      <c r="B17" s="108" t="s">
        <v>215</v>
      </c>
      <c r="C17" s="113">
        <v>37403.773999999998</v>
      </c>
      <c r="D17" s="114"/>
      <c r="E17" s="113">
        <f t="shared" si="1"/>
        <v>37403.773999999998</v>
      </c>
      <c r="F17" s="114"/>
      <c r="G17" s="105">
        <f t="shared" si="2"/>
        <v>4</v>
      </c>
    </row>
    <row r="18" spans="1:9">
      <c r="A18" s="105">
        <f t="shared" si="0"/>
        <v>5</v>
      </c>
      <c r="B18" s="108" t="s">
        <v>216</v>
      </c>
      <c r="C18" s="113">
        <v>37706.203000000001</v>
      </c>
      <c r="D18" s="114"/>
      <c r="E18" s="113">
        <f t="shared" si="1"/>
        <v>37706.203000000001</v>
      </c>
      <c r="F18" s="114"/>
      <c r="G18" s="105">
        <f t="shared" si="2"/>
        <v>5</v>
      </c>
    </row>
    <row r="19" spans="1:9">
      <c r="A19" s="105">
        <f t="shared" si="0"/>
        <v>6</v>
      </c>
      <c r="B19" s="108" t="s">
        <v>160</v>
      </c>
      <c r="C19" s="113">
        <v>38008.631000000001</v>
      </c>
      <c r="D19" s="114"/>
      <c r="E19" s="113">
        <f t="shared" si="1"/>
        <v>38008.631000000001</v>
      </c>
      <c r="F19" s="114"/>
      <c r="G19" s="105">
        <f t="shared" si="2"/>
        <v>6</v>
      </c>
    </row>
    <row r="20" spans="1:9">
      <c r="A20" s="105">
        <f>A19+1</f>
        <v>7</v>
      </c>
      <c r="B20" s="108" t="s">
        <v>217</v>
      </c>
      <c r="C20" s="113">
        <v>38311.06</v>
      </c>
      <c r="D20" s="114"/>
      <c r="E20" s="113">
        <f t="shared" si="1"/>
        <v>38311.06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38613.489000000001</v>
      </c>
      <c r="D21" s="114"/>
      <c r="E21" s="113">
        <f t="shared" si="1"/>
        <v>38613.489000000001</v>
      </c>
      <c r="F21" s="114"/>
      <c r="G21" s="105">
        <f t="shared" si="2"/>
        <v>8</v>
      </c>
    </row>
    <row r="22" spans="1:9">
      <c r="A22" s="105">
        <f t="shared" si="0"/>
        <v>9</v>
      </c>
      <c r="B22" s="108" t="s">
        <v>219</v>
      </c>
      <c r="C22" s="113">
        <v>38915.917999999998</v>
      </c>
      <c r="D22" s="114"/>
      <c r="E22" s="113">
        <f t="shared" si="1"/>
        <v>38915.917999999998</v>
      </c>
      <c r="F22" s="114"/>
      <c r="G22" s="105">
        <f t="shared" si="2"/>
        <v>9</v>
      </c>
    </row>
    <row r="23" spans="1:9">
      <c r="A23" s="105">
        <f t="shared" si="0"/>
        <v>10</v>
      </c>
      <c r="B23" s="108" t="s">
        <v>220</v>
      </c>
      <c r="C23" s="113">
        <v>39218.347000000002</v>
      </c>
      <c r="D23" s="114"/>
      <c r="E23" s="113">
        <f t="shared" si="1"/>
        <v>39218.347000000002</v>
      </c>
      <c r="F23" s="114"/>
      <c r="G23" s="105">
        <f t="shared" si="2"/>
        <v>10</v>
      </c>
    </row>
    <row r="24" spans="1:9">
      <c r="A24" s="105">
        <f t="shared" si="0"/>
        <v>11</v>
      </c>
      <c r="B24" s="108" t="s">
        <v>221</v>
      </c>
      <c r="C24" s="113">
        <v>39520.775999999998</v>
      </c>
      <c r="D24" s="114"/>
      <c r="E24" s="113">
        <f t="shared" si="1"/>
        <v>39520.775999999998</v>
      </c>
      <c r="F24" s="114"/>
      <c r="G24" s="105">
        <f t="shared" si="2"/>
        <v>11</v>
      </c>
    </row>
    <row r="25" spans="1:9">
      <c r="A25" s="105">
        <f t="shared" si="0"/>
        <v>12</v>
      </c>
      <c r="B25" s="108" t="s">
        <v>222</v>
      </c>
      <c r="C25" s="113">
        <v>39823.205000000002</v>
      </c>
      <c r="D25" s="114"/>
      <c r="E25" s="113">
        <f t="shared" si="1"/>
        <v>39823.205000000002</v>
      </c>
      <c r="F25" s="114"/>
      <c r="G25" s="105">
        <f t="shared" si="2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8">
        <v>40125.633999999998</v>
      </c>
      <c r="D26" s="992" t="s">
        <v>213</v>
      </c>
      <c r="E26" s="1038">
        <f>C26</f>
        <v>40125.633999999998</v>
      </c>
      <c r="F26" s="992" t="s">
        <v>213</v>
      </c>
      <c r="G26" s="105">
        <f t="shared" si="2"/>
        <v>13</v>
      </c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2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498043.78900000005</v>
      </c>
      <c r="D28" s="180" t="str">
        <f>"Sum Lines "&amp;A14&amp;" thru "&amp;A26</f>
        <v>Sum Lines 1 thru 13</v>
      </c>
      <c r="E28" s="118">
        <f>SUM(E14:E26)</f>
        <v>498043.78900000005</v>
      </c>
      <c r="F28" s="144" t="str">
        <f>"Sum Lines "&amp;A14&amp;" thru "&amp;A26</f>
        <v>Sum Lines 1 thru 13</v>
      </c>
      <c r="G28" s="105">
        <f t="shared" si="2"/>
        <v>15</v>
      </c>
    </row>
    <row r="29" spans="1:9">
      <c r="A29" s="105">
        <f t="shared" si="0"/>
        <v>16</v>
      </c>
      <c r="B29" s="987"/>
      <c r="C29" s="1033"/>
      <c r="D29" s="1045"/>
      <c r="E29" s="1033"/>
      <c r="F29" s="987"/>
      <c r="G29" s="105">
        <f t="shared" si="2"/>
        <v>16</v>
      </c>
    </row>
    <row r="30" spans="1:9">
      <c r="A30" s="105">
        <f t="shared" si="0"/>
        <v>17</v>
      </c>
      <c r="B30" s="116"/>
      <c r="C30" s="118"/>
      <c r="D30" s="187"/>
      <c r="E30" s="118"/>
      <c r="F30" s="116"/>
      <c r="G30" s="105">
        <f t="shared" si="2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38311.060692307699</v>
      </c>
      <c r="D31" s="180" t="str">
        <f>"Average of Lines "&amp;A14&amp;" thru "&amp;A26</f>
        <v>Average of Lines 1 thru 13</v>
      </c>
      <c r="E31" s="118">
        <f>E28/13</f>
        <v>38311.060692307699</v>
      </c>
      <c r="F31" s="144" t="str">
        <f>"Average of Lines "&amp;A14&amp;" thru "&amp;A26</f>
        <v>Average of Lines 1 thru 13</v>
      </c>
      <c r="G31" s="105">
        <f t="shared" si="2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2"/>
        <v>19</v>
      </c>
    </row>
    <row r="33" spans="1:8">
      <c r="A33" s="105"/>
      <c r="C33" s="120"/>
      <c r="D33" s="96"/>
      <c r="E33" s="120"/>
    </row>
    <row r="34" spans="1:8">
      <c r="C34" s="120"/>
      <c r="D34" s="96"/>
      <c r="E34" s="120"/>
    </row>
    <row r="35" spans="1:8" ht="18.75">
      <c r="A35" s="121">
        <v>1</v>
      </c>
      <c r="B35" s="122" t="s">
        <v>314</v>
      </c>
      <c r="C35" s="120"/>
      <c r="D35" s="96"/>
      <c r="E35" s="120"/>
    </row>
    <row r="36" spans="1:8">
      <c r="B36" s="122"/>
      <c r="C36" s="120"/>
      <c r="D36" s="96"/>
      <c r="E36" s="120"/>
    </row>
    <row r="37" spans="1:8" ht="18.75">
      <c r="A37" s="121"/>
      <c r="B37" s="122"/>
      <c r="C37" s="120"/>
      <c r="D37" s="96"/>
      <c r="E37" s="120"/>
      <c r="H37" s="112"/>
    </row>
    <row r="38" spans="1:8">
      <c r="B38" s="1152"/>
      <c r="C38" s="120"/>
      <c r="D38" s="96"/>
      <c r="E38" s="120"/>
    </row>
    <row r="39" spans="1:8">
      <c r="B39" s="122"/>
      <c r="C39" s="123"/>
      <c r="E39" s="120"/>
    </row>
    <row r="40" spans="1:8">
      <c r="B40" s="191"/>
      <c r="C40" s="123"/>
      <c r="E40" s="120"/>
    </row>
    <row r="41" spans="1:8">
      <c r="B41" s="191"/>
      <c r="C41" s="123"/>
      <c r="E41" s="120"/>
    </row>
    <row r="42" spans="1:8">
      <c r="B42" s="122"/>
      <c r="C42" s="123"/>
      <c r="E42" s="120"/>
    </row>
    <row r="43" spans="1:8">
      <c r="B43" s="122"/>
      <c r="C43" s="123"/>
      <c r="E43" s="120"/>
    </row>
    <row r="44" spans="1:8">
      <c r="C44" s="123"/>
      <c r="E44" s="120"/>
    </row>
    <row r="45" spans="1:8">
      <c r="C45" s="123"/>
      <c r="E45" s="120"/>
    </row>
    <row r="46" spans="1:8">
      <c r="C46" s="123"/>
      <c r="E46" s="120"/>
    </row>
    <row r="47" spans="1:8">
      <c r="C47" s="123"/>
      <c r="E47" s="120"/>
    </row>
    <row r="48" spans="1:8">
      <c r="C48" s="123"/>
      <c r="E48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zoomScale="80" zoomScaleNormal="80" workbookViewId="0">
      <selection activeCell="I43" sqref="I43"/>
    </sheetView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315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08" t="s">
        <v>308</v>
      </c>
      <c r="C5" s="1308"/>
      <c r="D5" s="1308"/>
      <c r="E5" s="1308"/>
      <c r="F5" s="1308"/>
      <c r="G5" s="1308"/>
      <c r="H5" s="1308"/>
      <c r="I5" s="1308"/>
      <c r="J5" s="1308"/>
      <c r="K5" s="1308"/>
      <c r="L5" s="1308"/>
    </row>
    <row r="6" spans="1:13">
      <c r="B6" s="1308" t="str">
        <f>"BALANCES AS OF 12/31/"&amp;Automation!$B$3-1</f>
        <v>BALANCES AS OF 12/31/2023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B7" s="1312" t="s">
        <v>3</v>
      </c>
      <c r="C7" s="1308"/>
      <c r="D7" s="1308"/>
      <c r="E7" s="1308"/>
      <c r="F7" s="1308"/>
      <c r="G7" s="1308"/>
      <c r="H7" s="1308"/>
      <c r="I7" s="1308"/>
      <c r="J7" s="1308"/>
      <c r="K7" s="1308"/>
      <c r="L7" s="1308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5"/>
      <c r="C9" s="944"/>
      <c r="D9" s="945" t="s">
        <v>245</v>
      </c>
      <c r="E9" s="946" t="s">
        <v>246</v>
      </c>
      <c r="F9" s="946" t="s">
        <v>247</v>
      </c>
      <c r="G9" s="946" t="s">
        <v>248</v>
      </c>
      <c r="H9" s="946" t="s">
        <v>249</v>
      </c>
      <c r="I9" s="946" t="s">
        <v>250</v>
      </c>
      <c r="J9" s="946" t="s">
        <v>251</v>
      </c>
      <c r="K9" s="861" t="s">
        <v>252</v>
      </c>
      <c r="L9" s="941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253</v>
      </c>
      <c r="F11" s="189" t="s">
        <v>234</v>
      </c>
      <c r="G11" s="154" t="s">
        <v>238</v>
      </c>
      <c r="H11" s="154" t="s">
        <v>238</v>
      </c>
      <c r="I11" s="154" t="s">
        <v>238</v>
      </c>
      <c r="J11" s="154" t="s">
        <v>238</v>
      </c>
      <c r="K11" s="189" t="s">
        <v>238</v>
      </c>
      <c r="L11" s="144"/>
    </row>
    <row r="12" spans="1:13">
      <c r="B12" s="958"/>
      <c r="C12" s="119"/>
      <c r="D12" s="155" t="s">
        <v>80</v>
      </c>
      <c r="E12" s="154" t="s">
        <v>316</v>
      </c>
      <c r="F12" s="154" t="s">
        <v>316</v>
      </c>
      <c r="G12" s="154" t="s">
        <v>316</v>
      </c>
      <c r="H12" s="154" t="s">
        <v>316</v>
      </c>
      <c r="I12" s="154" t="s">
        <v>316</v>
      </c>
      <c r="J12" s="154" t="s">
        <v>316</v>
      </c>
      <c r="K12" s="189" t="s">
        <v>309</v>
      </c>
      <c r="L12" s="102"/>
    </row>
    <row r="13" spans="1:13">
      <c r="A13" s="105" t="s">
        <v>4</v>
      </c>
      <c r="B13" s="954"/>
      <c r="C13" s="116"/>
      <c r="D13" s="155" t="s">
        <v>238</v>
      </c>
      <c r="E13" s="154" t="s">
        <v>317</v>
      </c>
      <c r="F13" s="154" t="s">
        <v>317</v>
      </c>
      <c r="G13" s="154" t="s">
        <v>317</v>
      </c>
      <c r="H13" s="154" t="s">
        <v>317</v>
      </c>
      <c r="I13" s="154" t="s">
        <v>317</v>
      </c>
      <c r="J13" s="154" t="s">
        <v>317</v>
      </c>
      <c r="K13" s="189" t="s">
        <v>284</v>
      </c>
      <c r="L13" s="102"/>
      <c r="M13" s="105" t="s">
        <v>4</v>
      </c>
    </row>
    <row r="14" spans="1:13">
      <c r="A14" s="105" t="s">
        <v>5</v>
      </c>
      <c r="B14" s="989" t="s">
        <v>257</v>
      </c>
      <c r="C14" s="986" t="s">
        <v>258</v>
      </c>
      <c r="D14" s="1057" t="s">
        <v>316</v>
      </c>
      <c r="E14" s="1048" t="s">
        <v>259</v>
      </c>
      <c r="F14" s="1048" t="s">
        <v>260</v>
      </c>
      <c r="G14" s="1048" t="s">
        <v>318</v>
      </c>
      <c r="H14" s="1048" t="s">
        <v>319</v>
      </c>
      <c r="I14" s="1048" t="s">
        <v>320</v>
      </c>
      <c r="J14" s="1048" t="s">
        <v>263</v>
      </c>
      <c r="K14" s="1031" t="s">
        <v>264</v>
      </c>
      <c r="L14" s="986" t="s">
        <v>8</v>
      </c>
      <c r="M14" s="105" t="s">
        <v>5</v>
      </c>
    </row>
    <row r="15" spans="1:13">
      <c r="B15" s="119"/>
      <c r="C15" s="119" t="s">
        <v>265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266</v>
      </c>
      <c r="D16" s="796">
        <v>0</v>
      </c>
      <c r="E16" s="796">
        <v>0</v>
      </c>
      <c r="F16" s="796">
        <v>0</v>
      </c>
      <c r="G16" s="796">
        <v>0</v>
      </c>
      <c r="H16" s="796">
        <v>0</v>
      </c>
      <c r="I16" s="796">
        <v>0</v>
      </c>
      <c r="J16" s="796">
        <v>0</v>
      </c>
      <c r="K16" s="127">
        <f>SUM(D16:J16)</f>
        <v>0</v>
      </c>
      <c r="L16" s="144" t="s">
        <v>213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267</v>
      </c>
      <c r="D17" s="798">
        <v>0</v>
      </c>
      <c r="E17" s="799">
        <v>0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28">
        <f>SUM(D17:J17)</f>
        <v>0</v>
      </c>
      <c r="L17" s="144" t="s">
        <v>213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268</v>
      </c>
      <c r="D18" s="798">
        <v>0</v>
      </c>
      <c r="E18" s="799">
        <v>1.1003514720000001</v>
      </c>
      <c r="F18" s="799">
        <v>0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1.1003514720000001</v>
      </c>
      <c r="L18" s="144" t="s">
        <v>213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268</v>
      </c>
      <c r="D19" s="798">
        <v>0</v>
      </c>
      <c r="E19" s="799">
        <v>0</v>
      </c>
      <c r="F19" s="799">
        <v>49.343540000000004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49.343540000000004</v>
      </c>
      <c r="L19" s="144" t="s">
        <v>213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269</v>
      </c>
      <c r="D20" s="798">
        <v>0</v>
      </c>
      <c r="E20" s="799">
        <v>0</v>
      </c>
      <c r="F20" s="799">
        <v>785.35741082426387</v>
      </c>
      <c r="G20" s="799">
        <v>0</v>
      </c>
      <c r="H20" s="799">
        <v>0</v>
      </c>
      <c r="I20" s="799">
        <v>0</v>
      </c>
      <c r="J20" s="799">
        <v>0</v>
      </c>
      <c r="K20" s="159">
        <f>SUM(D20:J20)</f>
        <v>785.35741082426387</v>
      </c>
      <c r="L20" s="144" t="s">
        <v>213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5" t="s">
        <v>270</v>
      </c>
      <c r="C22" s="1116" t="s">
        <v>271</v>
      </c>
      <c r="D22" s="1117">
        <f>SUM(D16:D21)</f>
        <v>0</v>
      </c>
      <c r="E22" s="1117">
        <f>SUM(E16:E21)</f>
        <v>1.1003514720000001</v>
      </c>
      <c r="F22" s="1117">
        <f>SUM(F16:F21)</f>
        <v>834.70095082426383</v>
      </c>
      <c r="G22" s="1117">
        <f t="shared" ref="G22:I22" si="2">SUM(G16:G21)</f>
        <v>0</v>
      </c>
      <c r="H22" s="1117">
        <f t="shared" si="2"/>
        <v>0</v>
      </c>
      <c r="I22" s="1117">
        <f t="shared" si="2"/>
        <v>0</v>
      </c>
      <c r="J22" s="1117">
        <f>SUM(J16:J21)</f>
        <v>0</v>
      </c>
      <c r="K22" s="1118">
        <f>SUM(K16:K21)</f>
        <v>835.80130229626388</v>
      </c>
      <c r="L22" s="1119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0"/>
      <c r="E23" s="794"/>
      <c r="F23" s="794"/>
      <c r="G23" s="794"/>
      <c r="H23" s="794"/>
      <c r="I23" s="794"/>
      <c r="J23" s="794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268</v>
      </c>
      <c r="D24" s="796">
        <v>34192.177180000013</v>
      </c>
      <c r="E24" s="797">
        <v>0</v>
      </c>
      <c r="F24" s="796">
        <v>0</v>
      </c>
      <c r="G24" s="796">
        <v>0</v>
      </c>
      <c r="H24" s="796">
        <v>0</v>
      </c>
      <c r="I24" s="797">
        <v>0</v>
      </c>
      <c r="J24" s="797">
        <v>-398.91016672000012</v>
      </c>
      <c r="K24" s="127">
        <f>SUM(D24:J24)</f>
        <v>33793.267013280012</v>
      </c>
      <c r="L24" s="144" t="s">
        <v>213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269</v>
      </c>
      <c r="D25" s="800">
        <v>158132.68946523691</v>
      </c>
      <c r="E25" s="799">
        <v>0</v>
      </c>
      <c r="F25" s="799">
        <v>0</v>
      </c>
      <c r="G25" s="800">
        <v>-619.54469105066437</v>
      </c>
      <c r="H25" s="798">
        <v>0</v>
      </c>
      <c r="I25" s="799">
        <v>0</v>
      </c>
      <c r="J25" s="794">
        <v>-25973.644242050963</v>
      </c>
      <c r="K25" s="159">
        <f>SUM(D25:J25)</f>
        <v>131539.50053213528</v>
      </c>
      <c r="L25" s="144" t="s">
        <v>213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272</v>
      </c>
      <c r="D26" s="800">
        <v>675429.88923556637</v>
      </c>
      <c r="E26" s="799">
        <v>0</v>
      </c>
      <c r="F26" s="799">
        <v>0</v>
      </c>
      <c r="G26" s="800">
        <v>-4307.0072822957945</v>
      </c>
      <c r="H26" s="798">
        <v>-648.59725349409518</v>
      </c>
      <c r="I26" s="799">
        <v>0</v>
      </c>
      <c r="J26" s="794">
        <v>-1801.597698374565</v>
      </c>
      <c r="K26" s="159">
        <f t="shared" ref="K26:K32" si="3">SUM(D26:J26)</f>
        <v>668672.68700140191</v>
      </c>
      <c r="L26" s="144" t="s">
        <v>213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273</v>
      </c>
      <c r="D27" s="800">
        <v>300967.89680160215</v>
      </c>
      <c r="E27" s="799">
        <v>0</v>
      </c>
      <c r="F27" s="799">
        <v>0</v>
      </c>
      <c r="G27" s="800">
        <v>0</v>
      </c>
      <c r="H27" s="798">
        <v>0</v>
      </c>
      <c r="I27" s="799">
        <v>0</v>
      </c>
      <c r="J27" s="794">
        <v>0</v>
      </c>
      <c r="K27" s="159">
        <f t="shared" si="3"/>
        <v>300967.89680160215</v>
      </c>
      <c r="L27" s="144" t="s">
        <v>213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274</v>
      </c>
      <c r="D28" s="800">
        <v>242890.36550048084</v>
      </c>
      <c r="E28" s="799">
        <v>0</v>
      </c>
      <c r="F28" s="799">
        <v>0</v>
      </c>
      <c r="G28" s="800">
        <v>0</v>
      </c>
      <c r="H28" s="798">
        <v>0</v>
      </c>
      <c r="I28" s="799">
        <v>0</v>
      </c>
      <c r="J28" s="794">
        <v>0</v>
      </c>
      <c r="K28" s="159">
        <f t="shared" si="3"/>
        <v>242890.36550048084</v>
      </c>
      <c r="L28" s="144" t="s">
        <v>213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275</v>
      </c>
      <c r="D29" s="800">
        <v>319418.18373260985</v>
      </c>
      <c r="E29" s="799">
        <v>0</v>
      </c>
      <c r="F29" s="799">
        <v>0</v>
      </c>
      <c r="G29" s="800">
        <v>0</v>
      </c>
      <c r="H29" s="798">
        <v>0</v>
      </c>
      <c r="I29" s="799">
        <v>0</v>
      </c>
      <c r="J29" s="794">
        <v>0</v>
      </c>
      <c r="K29" s="159">
        <f t="shared" si="3"/>
        <v>319418.18373260985</v>
      </c>
      <c r="L29" s="144" t="s">
        <v>213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276</v>
      </c>
      <c r="D30" s="800">
        <v>128993.86591752002</v>
      </c>
      <c r="E30" s="799">
        <v>0</v>
      </c>
      <c r="F30" s="799">
        <v>0</v>
      </c>
      <c r="G30" s="800">
        <v>0</v>
      </c>
      <c r="H30" s="798">
        <v>0</v>
      </c>
      <c r="I30" s="799">
        <v>0</v>
      </c>
      <c r="J30" s="794">
        <v>0</v>
      </c>
      <c r="K30" s="159">
        <f t="shared" si="3"/>
        <v>128993.86591752002</v>
      </c>
      <c r="L30" s="144" t="s">
        <v>213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277</v>
      </c>
      <c r="D31" s="800">
        <v>127912.44765813717</v>
      </c>
      <c r="E31" s="799">
        <v>0</v>
      </c>
      <c r="F31" s="799">
        <v>0</v>
      </c>
      <c r="G31" s="800">
        <v>-677.52025342225772</v>
      </c>
      <c r="H31" s="798">
        <v>0</v>
      </c>
      <c r="I31" s="799">
        <v>0</v>
      </c>
      <c r="J31" s="794">
        <v>0</v>
      </c>
      <c r="K31" s="159">
        <f t="shared" si="3"/>
        <v>127234.92740471491</v>
      </c>
      <c r="L31" s="144" t="s">
        <v>213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278</v>
      </c>
      <c r="D32" s="800">
        <v>68288.094049413616</v>
      </c>
      <c r="E32" s="799">
        <v>0</v>
      </c>
      <c r="F32" s="799">
        <v>0</v>
      </c>
      <c r="G32" s="800">
        <v>0</v>
      </c>
      <c r="H32" s="798">
        <v>0</v>
      </c>
      <c r="I32" s="799">
        <v>0</v>
      </c>
      <c r="J32" s="794">
        <v>0</v>
      </c>
      <c r="K32" s="159">
        <f t="shared" si="3"/>
        <v>68288.094049413616</v>
      </c>
      <c r="L32" s="144" t="s">
        <v>213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0"/>
      <c r="F33" s="998"/>
      <c r="G33" s="998"/>
      <c r="H33" s="998"/>
      <c r="I33" s="998"/>
      <c r="J33" s="794"/>
      <c r="K33" s="1058"/>
      <c r="L33" s="158"/>
      <c r="M33" s="105">
        <f t="shared" si="1"/>
        <v>18</v>
      </c>
    </row>
    <row r="34" spans="1:13">
      <c r="A34" s="105">
        <f t="shared" si="0"/>
        <v>19</v>
      </c>
      <c r="B34" s="1120" t="s">
        <v>270</v>
      </c>
      <c r="C34" s="1116" t="s">
        <v>237</v>
      </c>
      <c r="D34" s="1117">
        <f>SUM(D24:D33)</f>
        <v>2056225.609540567</v>
      </c>
      <c r="E34" s="1117">
        <f t="shared" ref="E34:I34" si="4">SUM(E24:E33)</f>
        <v>0</v>
      </c>
      <c r="F34" s="1117">
        <f>SUM(F24:F33)</f>
        <v>0</v>
      </c>
      <c r="G34" s="1117">
        <f t="shared" si="4"/>
        <v>-5604.072226768717</v>
      </c>
      <c r="H34" s="1117">
        <f t="shared" si="4"/>
        <v>-648.59725349409518</v>
      </c>
      <c r="I34" s="1117">
        <f t="shared" si="4"/>
        <v>0</v>
      </c>
      <c r="J34" s="1117">
        <f>SUM(J24:J33)</f>
        <v>-28174.152107145528</v>
      </c>
      <c r="K34" s="1118">
        <f>SUM(K24:K33)</f>
        <v>2021798.7879531591</v>
      </c>
      <c r="L34" s="1121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58"/>
      <c r="D35" s="122"/>
      <c r="J35" s="160"/>
      <c r="K35" s="160"/>
      <c r="L35" s="1122"/>
      <c r="M35" s="105">
        <f t="shared" si="1"/>
        <v>20</v>
      </c>
    </row>
    <row r="36" spans="1:13">
      <c r="A36" s="105">
        <f t="shared" si="0"/>
        <v>21</v>
      </c>
      <c r="B36" s="1128" t="s">
        <v>279</v>
      </c>
      <c r="C36" s="1124"/>
      <c r="D36" s="1125">
        <f>D34+D22</f>
        <v>2056225.609540567</v>
      </c>
      <c r="E36" s="1125">
        <f t="shared" ref="E36:I36" si="5">E34+E22</f>
        <v>1.1003514720000001</v>
      </c>
      <c r="F36" s="1125">
        <f>F34+F22</f>
        <v>834.70095082426383</v>
      </c>
      <c r="G36" s="1125">
        <f t="shared" si="5"/>
        <v>-5604.072226768717</v>
      </c>
      <c r="H36" s="1125">
        <f t="shared" si="5"/>
        <v>-648.59725349409518</v>
      </c>
      <c r="I36" s="1126">
        <f t="shared" si="5"/>
        <v>0</v>
      </c>
      <c r="J36" s="1125">
        <f>J34+J22</f>
        <v>-28174.152107145528</v>
      </c>
      <c r="K36" s="1125">
        <f>K34+K22</f>
        <v>2022634.5892554554</v>
      </c>
      <c r="L36" s="1119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321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>
      <selection activeCell="O40" sqref="O40"/>
    </sheetView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315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08" t="s">
        <v>308</v>
      </c>
      <c r="C5" s="1308"/>
      <c r="D5" s="1308"/>
      <c r="E5" s="1308"/>
      <c r="F5" s="1308"/>
      <c r="G5" s="1308"/>
      <c r="H5" s="1308"/>
      <c r="I5" s="1308"/>
      <c r="J5" s="1308"/>
      <c r="K5" s="1308"/>
      <c r="L5" s="1308"/>
    </row>
    <row r="6" spans="1:13">
      <c r="B6" s="1308" t="str">
        <f>"BALANCES AS OF 12/31/"&amp;Automation!$B$3</f>
        <v>BALANCES AS OF 12/31/2024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B7" s="1312" t="s">
        <v>3</v>
      </c>
      <c r="C7" s="1308"/>
      <c r="D7" s="1308"/>
      <c r="E7" s="1308"/>
      <c r="F7" s="1308"/>
      <c r="G7" s="1308"/>
      <c r="H7" s="1308"/>
      <c r="I7" s="1308"/>
      <c r="J7" s="1308"/>
      <c r="K7" s="1308"/>
      <c r="L7" s="1308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5"/>
      <c r="C9" s="944"/>
      <c r="D9" s="945" t="s">
        <v>245</v>
      </c>
      <c r="E9" s="946" t="s">
        <v>246</v>
      </c>
      <c r="F9" s="946" t="s">
        <v>247</v>
      </c>
      <c r="G9" s="946" t="s">
        <v>248</v>
      </c>
      <c r="H9" s="946" t="s">
        <v>249</v>
      </c>
      <c r="I9" s="946" t="s">
        <v>250</v>
      </c>
      <c r="J9" s="946" t="s">
        <v>251</v>
      </c>
      <c r="K9" s="861" t="s">
        <v>252</v>
      </c>
      <c r="L9" s="941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253</v>
      </c>
      <c r="F11" s="189" t="s">
        <v>234</v>
      </c>
      <c r="G11" s="154" t="s">
        <v>238</v>
      </c>
      <c r="H11" s="154" t="s">
        <v>238</v>
      </c>
      <c r="I11" s="154" t="s">
        <v>238</v>
      </c>
      <c r="J11" s="154" t="s">
        <v>238</v>
      </c>
      <c r="K11" s="189" t="s">
        <v>238</v>
      </c>
      <c r="L11" s="144"/>
    </row>
    <row r="12" spans="1:13">
      <c r="B12" s="958"/>
      <c r="C12" s="119"/>
      <c r="D12" s="155" t="s">
        <v>80</v>
      </c>
      <c r="E12" s="154" t="s">
        <v>316</v>
      </c>
      <c r="F12" s="154" t="s">
        <v>316</v>
      </c>
      <c r="G12" s="154" t="s">
        <v>316</v>
      </c>
      <c r="H12" s="154" t="s">
        <v>316</v>
      </c>
      <c r="I12" s="154" t="s">
        <v>316</v>
      </c>
      <c r="J12" s="154" t="s">
        <v>316</v>
      </c>
      <c r="K12" s="189" t="s">
        <v>309</v>
      </c>
      <c r="L12" s="102"/>
    </row>
    <row r="13" spans="1:13">
      <c r="A13" s="105" t="s">
        <v>4</v>
      </c>
      <c r="B13" s="954"/>
      <c r="C13" s="116"/>
      <c r="D13" s="155" t="s">
        <v>238</v>
      </c>
      <c r="E13" s="154" t="s">
        <v>317</v>
      </c>
      <c r="F13" s="154" t="s">
        <v>317</v>
      </c>
      <c r="G13" s="154" t="s">
        <v>317</v>
      </c>
      <c r="H13" s="154" t="s">
        <v>317</v>
      </c>
      <c r="I13" s="154" t="s">
        <v>317</v>
      </c>
      <c r="J13" s="154" t="s">
        <v>317</v>
      </c>
      <c r="K13" s="189" t="s">
        <v>284</v>
      </c>
      <c r="L13" s="102"/>
      <c r="M13" s="105" t="s">
        <v>4</v>
      </c>
    </row>
    <row r="14" spans="1:13">
      <c r="A14" s="105" t="s">
        <v>5</v>
      </c>
      <c r="B14" s="989" t="s">
        <v>257</v>
      </c>
      <c r="C14" s="986" t="s">
        <v>258</v>
      </c>
      <c r="D14" s="1057" t="s">
        <v>316</v>
      </c>
      <c r="E14" s="1048" t="s">
        <v>259</v>
      </c>
      <c r="F14" s="1048" t="s">
        <v>260</v>
      </c>
      <c r="G14" s="1048" t="s">
        <v>318</v>
      </c>
      <c r="H14" s="1048" t="s">
        <v>319</v>
      </c>
      <c r="I14" s="1048" t="s">
        <v>320</v>
      </c>
      <c r="J14" s="1048" t="s">
        <v>263</v>
      </c>
      <c r="K14" s="1031" t="s">
        <v>264</v>
      </c>
      <c r="L14" s="986" t="s">
        <v>8</v>
      </c>
      <c r="M14" s="105" t="s">
        <v>5</v>
      </c>
    </row>
    <row r="15" spans="1:13">
      <c r="B15" s="119"/>
      <c r="C15" s="119" t="s">
        <v>265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266</v>
      </c>
      <c r="D16" s="796">
        <v>0</v>
      </c>
      <c r="E16" s="796">
        <v>0</v>
      </c>
      <c r="F16" s="796">
        <v>0</v>
      </c>
      <c r="G16" s="796">
        <v>0</v>
      </c>
      <c r="H16" s="796">
        <v>0</v>
      </c>
      <c r="I16" s="796">
        <v>0</v>
      </c>
      <c r="J16" s="796">
        <v>0</v>
      </c>
      <c r="K16" s="127">
        <f>SUM(D16:J16)</f>
        <v>0</v>
      </c>
      <c r="L16" s="144" t="s">
        <v>213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267</v>
      </c>
      <c r="D17" s="798">
        <v>0</v>
      </c>
      <c r="E17" s="799">
        <v>0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28">
        <f>SUM(D17:J17)</f>
        <v>0</v>
      </c>
      <c r="L17" s="144" t="s">
        <v>213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268</v>
      </c>
      <c r="D18" s="798">
        <v>0</v>
      </c>
      <c r="E18" s="799">
        <v>1.0564053960000002</v>
      </c>
      <c r="F18" s="799">
        <v>0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1.0564053960000002</v>
      </c>
      <c r="L18" s="144" t="s">
        <v>213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268</v>
      </c>
      <c r="D19" s="798">
        <v>0</v>
      </c>
      <c r="E19" s="799">
        <v>0</v>
      </c>
      <c r="F19" s="799">
        <v>46.146360000000001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46.146360000000001</v>
      </c>
      <c r="L19" s="144" t="s">
        <v>213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269</v>
      </c>
      <c r="D20" s="798">
        <v>0</v>
      </c>
      <c r="E20" s="799">
        <v>0</v>
      </c>
      <c r="F20" s="799">
        <v>839.17028317790084</v>
      </c>
      <c r="G20" s="799">
        <v>0</v>
      </c>
      <c r="H20" s="799">
        <v>0</v>
      </c>
      <c r="I20" s="799">
        <v>0</v>
      </c>
      <c r="J20" s="799">
        <v>0</v>
      </c>
      <c r="K20" s="159">
        <f>SUM(D20:J20)</f>
        <v>839.17028317790084</v>
      </c>
      <c r="L20" s="144" t="s">
        <v>213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5" t="s">
        <v>270</v>
      </c>
      <c r="C22" s="1116" t="s">
        <v>271</v>
      </c>
      <c r="D22" s="1117">
        <f>SUM(D16:D21)</f>
        <v>0</v>
      </c>
      <c r="E22" s="1117">
        <f>SUM(E16:E21)</f>
        <v>1.0564053960000002</v>
      </c>
      <c r="F22" s="1117">
        <f>SUM(F16:F21)</f>
        <v>885.3166431779008</v>
      </c>
      <c r="G22" s="1117">
        <f t="shared" ref="G22:I22" si="2">SUM(G16:G21)</f>
        <v>0</v>
      </c>
      <c r="H22" s="1117">
        <f t="shared" si="2"/>
        <v>0</v>
      </c>
      <c r="I22" s="1117">
        <f t="shared" si="2"/>
        <v>0</v>
      </c>
      <c r="J22" s="1117">
        <f>SUM(J16:J21)</f>
        <v>0</v>
      </c>
      <c r="K22" s="1118">
        <f>SUM(K16:K21)</f>
        <v>886.37304857390086</v>
      </c>
      <c r="L22" s="1119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0"/>
      <c r="E23" s="794"/>
      <c r="F23" s="794"/>
      <c r="G23" s="794"/>
      <c r="H23" s="794"/>
      <c r="I23" s="794"/>
      <c r="J23" s="794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268</v>
      </c>
      <c r="D24" s="796">
        <v>36274.471170000012</v>
      </c>
      <c r="E24" s="797">
        <v>0</v>
      </c>
      <c r="F24" s="796">
        <v>0</v>
      </c>
      <c r="G24" s="796">
        <v>0</v>
      </c>
      <c r="H24" s="796">
        <v>0</v>
      </c>
      <c r="I24" s="797">
        <v>0</v>
      </c>
      <c r="J24" s="797">
        <v>-410.48312322399994</v>
      </c>
      <c r="K24" s="127">
        <f>SUM(D24:J24)</f>
        <v>35863.988046776009</v>
      </c>
      <c r="L24" s="144" t="s">
        <v>213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269</v>
      </c>
      <c r="D25" s="800">
        <v>178417.75307480677</v>
      </c>
      <c r="E25" s="799">
        <v>0</v>
      </c>
      <c r="F25" s="799">
        <v>0</v>
      </c>
      <c r="G25" s="800">
        <v>-659.50825065986305</v>
      </c>
      <c r="H25" s="798">
        <v>0</v>
      </c>
      <c r="I25" s="799">
        <v>0</v>
      </c>
      <c r="J25" s="794">
        <v>-29862.490541050898</v>
      </c>
      <c r="K25" s="159">
        <f>SUM(D25:J25)</f>
        <v>147895.754283096</v>
      </c>
      <c r="L25" s="144" t="s">
        <v>213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272</v>
      </c>
      <c r="D26" s="800">
        <v>753016.49247165362</v>
      </c>
      <c r="E26" s="799">
        <v>0</v>
      </c>
      <c r="F26" s="799">
        <v>0</v>
      </c>
      <c r="G26" s="800">
        <v>-4722.7438212161023</v>
      </c>
      <c r="H26" s="798">
        <v>-700.2994833064505</v>
      </c>
      <c r="I26" s="799">
        <v>0</v>
      </c>
      <c r="J26" s="794">
        <v>-1893.5235277366114</v>
      </c>
      <c r="K26" s="159">
        <f t="shared" ref="K26:K32" si="3">SUM(D26:J26)</f>
        <v>745699.92563939444</v>
      </c>
      <c r="L26" s="144" t="s">
        <v>213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273</v>
      </c>
      <c r="D27" s="800">
        <v>324376.82897741447</v>
      </c>
      <c r="E27" s="799">
        <v>0</v>
      </c>
      <c r="F27" s="799">
        <v>0</v>
      </c>
      <c r="G27" s="800">
        <v>0</v>
      </c>
      <c r="H27" s="798">
        <v>0</v>
      </c>
      <c r="I27" s="799">
        <v>0</v>
      </c>
      <c r="J27" s="794">
        <v>0</v>
      </c>
      <c r="K27" s="159">
        <f t="shared" si="3"/>
        <v>324376.82897741447</v>
      </c>
      <c r="L27" s="144" t="s">
        <v>213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274</v>
      </c>
      <c r="D28" s="800">
        <v>289171.34153105889</v>
      </c>
      <c r="E28" s="799">
        <v>0</v>
      </c>
      <c r="F28" s="799">
        <v>0</v>
      </c>
      <c r="G28" s="800">
        <v>0</v>
      </c>
      <c r="H28" s="798">
        <v>0</v>
      </c>
      <c r="I28" s="799">
        <v>0</v>
      </c>
      <c r="J28" s="794">
        <v>0</v>
      </c>
      <c r="K28" s="159">
        <f t="shared" si="3"/>
        <v>289171.34153105889</v>
      </c>
      <c r="L28" s="144" t="s">
        <v>213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275</v>
      </c>
      <c r="D29" s="800">
        <v>334159.01997796044</v>
      </c>
      <c r="E29" s="799">
        <v>0</v>
      </c>
      <c r="F29" s="799">
        <v>0</v>
      </c>
      <c r="G29" s="800">
        <v>0</v>
      </c>
      <c r="H29" s="798">
        <v>0</v>
      </c>
      <c r="I29" s="799">
        <v>0</v>
      </c>
      <c r="J29" s="794">
        <v>0</v>
      </c>
      <c r="K29" s="159">
        <f t="shared" si="3"/>
        <v>334159.01997796044</v>
      </c>
      <c r="L29" s="144" t="s">
        <v>213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276</v>
      </c>
      <c r="D30" s="800">
        <v>143348.77712411463</v>
      </c>
      <c r="E30" s="799">
        <v>0</v>
      </c>
      <c r="F30" s="799">
        <v>0</v>
      </c>
      <c r="G30" s="800">
        <v>0</v>
      </c>
      <c r="H30" s="798">
        <v>0</v>
      </c>
      <c r="I30" s="799">
        <v>0</v>
      </c>
      <c r="J30" s="794">
        <v>0</v>
      </c>
      <c r="K30" s="159">
        <f t="shared" si="3"/>
        <v>143348.77712411463</v>
      </c>
      <c r="L30" s="144" t="s">
        <v>213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277</v>
      </c>
      <c r="D31" s="800">
        <v>141603.93200849576</v>
      </c>
      <c r="E31" s="799">
        <v>0</v>
      </c>
      <c r="F31" s="799">
        <v>0</v>
      </c>
      <c r="G31" s="800">
        <v>-688.163385937307</v>
      </c>
      <c r="H31" s="798">
        <v>0</v>
      </c>
      <c r="I31" s="799">
        <v>0</v>
      </c>
      <c r="J31" s="794">
        <v>0</v>
      </c>
      <c r="K31" s="159">
        <f t="shared" si="3"/>
        <v>140915.76862255845</v>
      </c>
      <c r="L31" s="144" t="s">
        <v>213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278</v>
      </c>
      <c r="D32" s="800">
        <v>74787.637850848667</v>
      </c>
      <c r="E32" s="799">
        <v>0</v>
      </c>
      <c r="F32" s="799">
        <v>0</v>
      </c>
      <c r="G32" s="800">
        <v>0</v>
      </c>
      <c r="H32" s="798">
        <v>0</v>
      </c>
      <c r="I32" s="799">
        <v>0</v>
      </c>
      <c r="J32" s="794">
        <v>0</v>
      </c>
      <c r="K32" s="159">
        <f t="shared" si="3"/>
        <v>74787.637850848667</v>
      </c>
      <c r="L32" s="144" t="s">
        <v>213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0"/>
      <c r="F33" s="998"/>
      <c r="G33" s="998"/>
      <c r="H33" s="998"/>
      <c r="I33" s="998"/>
      <c r="J33" s="794"/>
      <c r="K33" s="1058"/>
      <c r="L33" s="158"/>
      <c r="M33" s="105">
        <f t="shared" si="1"/>
        <v>18</v>
      </c>
    </row>
    <row r="34" spans="1:13">
      <c r="A34" s="105">
        <f t="shared" si="0"/>
        <v>19</v>
      </c>
      <c r="B34" s="1120" t="s">
        <v>270</v>
      </c>
      <c r="C34" s="1116" t="s">
        <v>237</v>
      </c>
      <c r="D34" s="1117">
        <f>SUM(D24:D33)</f>
        <v>2275156.2541863527</v>
      </c>
      <c r="E34" s="1117">
        <f t="shared" ref="E34:I34" si="4">SUM(E24:E33)</f>
        <v>0</v>
      </c>
      <c r="F34" s="1117">
        <f>SUM(F24:F33)</f>
        <v>0</v>
      </c>
      <c r="G34" s="1117">
        <f t="shared" si="4"/>
        <v>-6070.415457813272</v>
      </c>
      <c r="H34" s="1117">
        <f t="shared" si="4"/>
        <v>-700.2994833064505</v>
      </c>
      <c r="I34" s="1117">
        <f t="shared" si="4"/>
        <v>0</v>
      </c>
      <c r="J34" s="1117">
        <f>SUM(J24:J33)</f>
        <v>-32166.497192011509</v>
      </c>
      <c r="K34" s="1118">
        <f>SUM(K24:K33)</f>
        <v>2236219.0420532217</v>
      </c>
      <c r="L34" s="1121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58"/>
      <c r="D35" s="122"/>
      <c r="J35" s="160"/>
      <c r="K35" s="160"/>
      <c r="L35" s="1122"/>
      <c r="M35" s="105">
        <f t="shared" si="1"/>
        <v>20</v>
      </c>
    </row>
    <row r="36" spans="1:13">
      <c r="A36" s="105">
        <f t="shared" si="0"/>
        <v>21</v>
      </c>
      <c r="B36" s="1128" t="s">
        <v>279</v>
      </c>
      <c r="C36" s="1124"/>
      <c r="D36" s="1125">
        <f>D34+D22</f>
        <v>2275156.2541863527</v>
      </c>
      <c r="E36" s="1125">
        <f t="shared" ref="E36:I36" si="5">E34+E22</f>
        <v>1.0564053960000002</v>
      </c>
      <c r="F36" s="1125">
        <f>F34+F22</f>
        <v>885.3166431779008</v>
      </c>
      <c r="G36" s="1125">
        <f t="shared" si="5"/>
        <v>-6070.415457813272</v>
      </c>
      <c r="H36" s="1125">
        <f t="shared" si="5"/>
        <v>-700.2994833064505</v>
      </c>
      <c r="I36" s="1126">
        <f t="shared" si="5"/>
        <v>0</v>
      </c>
      <c r="J36" s="1125">
        <f>J34+J22</f>
        <v>-32166.497192011509</v>
      </c>
      <c r="K36" s="1125">
        <f>K34+K22</f>
        <v>2237105.4151017955</v>
      </c>
      <c r="L36" s="1119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321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90" zoomScaleNormal="90" zoomScalePageLayoutView="30" workbookViewId="0"/>
  </sheetViews>
  <sheetFormatPr defaultColWidth="8.5703125" defaultRowHeight="15.75"/>
  <cols>
    <col min="1" max="1" width="5.140625" style="191" customWidth="1"/>
    <col min="2" max="2" width="93.14062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9" width="8.5703125" style="3"/>
    <col min="10" max="10" width="9.85546875" style="3" bestFit="1" customWidth="1"/>
    <col min="11" max="16384" width="8.5703125" style="3"/>
  </cols>
  <sheetData>
    <row r="1" spans="1:10">
      <c r="A1" s="485"/>
      <c r="B1" s="28"/>
      <c r="C1" s="28"/>
      <c r="D1" s="28"/>
      <c r="E1" s="59"/>
      <c r="F1" s="59"/>
      <c r="G1" s="59"/>
      <c r="H1" s="479"/>
    </row>
    <row r="2" spans="1:10">
      <c r="A2" s="485"/>
      <c r="B2" s="1296" t="str">
        <f>'Summary of Cost Components'!B2:D2</f>
        <v>SAN DIEGO GAS &amp; ELECTRIC COMPANY</v>
      </c>
      <c r="C2" s="1296"/>
      <c r="D2" s="1296"/>
      <c r="E2" s="1296"/>
      <c r="F2" s="1296"/>
      <c r="G2" s="1296"/>
      <c r="H2" s="479"/>
    </row>
    <row r="3" spans="1:10">
      <c r="B3" s="1296" t="str">
        <f>'Summary of Cost Components'!B3:D3</f>
        <v>CITIZENS' SHARE OF THE BORDER EAST LINE</v>
      </c>
      <c r="C3" s="1296"/>
      <c r="D3" s="1296"/>
      <c r="E3" s="1296"/>
      <c r="F3" s="1296"/>
      <c r="G3" s="1296"/>
      <c r="H3" s="485"/>
    </row>
    <row r="4" spans="1:10">
      <c r="B4" s="1296" t="s">
        <v>35</v>
      </c>
      <c r="C4" s="1296"/>
      <c r="D4" s="1296"/>
      <c r="E4" s="1296"/>
      <c r="F4" s="1296"/>
      <c r="G4" s="1296"/>
      <c r="H4" s="485"/>
    </row>
    <row r="5" spans="1:10">
      <c r="B5" s="1297" t="str">
        <f>'A. Sec.1 - Direct Maintenance'!B5</f>
        <v>Base Period &amp; True-Up Period 12 - Months Ending December 31, 2024</v>
      </c>
      <c r="C5" s="1297"/>
      <c r="D5" s="1297"/>
      <c r="E5" s="1297"/>
      <c r="F5" s="1297"/>
      <c r="G5" s="1297"/>
      <c r="H5" s="485"/>
      <c r="J5" s="700"/>
    </row>
    <row r="6" spans="1:10">
      <c r="B6" s="1298" t="s">
        <v>3</v>
      </c>
      <c r="C6" s="1298"/>
      <c r="D6" s="1298"/>
      <c r="E6" s="1298"/>
      <c r="F6" s="1298"/>
      <c r="G6" s="1298"/>
      <c r="H6" s="490"/>
    </row>
    <row r="7" spans="1:10">
      <c r="A7" s="486"/>
      <c r="B7" s="27"/>
      <c r="C7" s="27"/>
      <c r="D7" s="27"/>
      <c r="E7" s="27"/>
      <c r="F7" s="27"/>
      <c r="G7" s="59"/>
      <c r="H7" s="479"/>
    </row>
    <row r="8" spans="1:10">
      <c r="A8" s="487" t="s">
        <v>4</v>
      </c>
      <c r="B8" s="28"/>
      <c r="C8" s="28"/>
      <c r="D8" s="28"/>
      <c r="E8" s="27"/>
      <c r="F8" s="27"/>
      <c r="G8" s="28"/>
      <c r="H8" s="487" t="s">
        <v>4</v>
      </c>
    </row>
    <row r="9" spans="1:10">
      <c r="A9" s="487" t="s">
        <v>5</v>
      </c>
      <c r="B9" s="28"/>
      <c r="C9" s="28"/>
      <c r="D9" s="28"/>
      <c r="E9" s="1029" t="s">
        <v>7</v>
      </c>
      <c r="F9" s="31"/>
      <c r="G9" s="1029" t="s">
        <v>8</v>
      </c>
      <c r="H9" s="487" t="s">
        <v>5</v>
      </c>
    </row>
    <row r="10" spans="1:10">
      <c r="A10" s="487"/>
      <c r="B10" s="28"/>
      <c r="C10" s="28"/>
      <c r="D10" s="28"/>
      <c r="E10" s="27"/>
      <c r="F10" s="31"/>
      <c r="G10" s="27"/>
      <c r="H10" s="487"/>
    </row>
    <row r="11" spans="1:10">
      <c r="A11" s="487">
        <v>1</v>
      </c>
      <c r="B11" s="30" t="s">
        <v>36</v>
      </c>
      <c r="C11" s="30"/>
      <c r="D11" s="30"/>
      <c r="E11" s="59"/>
      <c r="F11" s="59"/>
      <c r="G11" s="27"/>
      <c r="H11" s="487">
        <f>A11</f>
        <v>1</v>
      </c>
    </row>
    <row r="12" spans="1:10">
      <c r="A12" s="487">
        <f>A11+1</f>
        <v>2</v>
      </c>
      <c r="B12" s="32" t="s">
        <v>37</v>
      </c>
      <c r="C12" s="516"/>
      <c r="D12" s="516"/>
      <c r="E12" s="517">
        <f>E52</f>
        <v>9.4183537815507867E-3</v>
      </c>
      <c r="F12" s="462"/>
      <c r="G12" s="26" t="str">
        <f>"Page 2; Line "&amp;A52</f>
        <v>Page 2; Line 6</v>
      </c>
      <c r="H12" s="487">
        <f>H11+1</f>
        <v>2</v>
      </c>
    </row>
    <row r="13" spans="1:10">
      <c r="A13" s="487">
        <f t="shared" ref="A13:A35" si="0">A12+1</f>
        <v>3</v>
      </c>
      <c r="B13" s="28"/>
      <c r="C13" s="489"/>
      <c r="D13" s="489"/>
      <c r="E13" s="518"/>
      <c r="F13" s="31"/>
      <c r="G13" s="26"/>
      <c r="H13" s="487">
        <f t="shared" ref="H13:H35" si="1">H12+1</f>
        <v>3</v>
      </c>
    </row>
    <row r="14" spans="1:10">
      <c r="A14" s="487">
        <f t="shared" si="0"/>
        <v>4</v>
      </c>
      <c r="B14" s="32" t="s">
        <v>38</v>
      </c>
      <c r="C14" s="516"/>
      <c r="D14" s="516"/>
      <c r="E14" s="517">
        <f>E57</f>
        <v>8.6539862357181696E-3</v>
      </c>
      <c r="F14" s="462"/>
      <c r="G14" s="26" t="str">
        <f>"Page 2; Line "&amp;A57</f>
        <v>Page 2; Line 11</v>
      </c>
      <c r="H14" s="487">
        <f t="shared" si="1"/>
        <v>4</v>
      </c>
    </row>
    <row r="15" spans="1:10">
      <c r="A15" s="487">
        <f t="shared" si="0"/>
        <v>5</v>
      </c>
      <c r="B15" s="59"/>
      <c r="C15" s="486"/>
      <c r="D15" s="486"/>
      <c r="E15" s="519"/>
      <c r="F15" s="463"/>
      <c r="G15" s="26"/>
      <c r="H15" s="487">
        <f t="shared" si="1"/>
        <v>5</v>
      </c>
    </row>
    <row r="16" spans="1:10">
      <c r="A16" s="487">
        <f t="shared" si="0"/>
        <v>6</v>
      </c>
      <c r="B16" s="59" t="s">
        <v>39</v>
      </c>
      <c r="C16" s="486"/>
      <c r="D16" s="486"/>
      <c r="E16" s="517">
        <f>E62</f>
        <v>1.1805630266024389E-2</v>
      </c>
      <c r="F16" s="463"/>
      <c r="G16" s="26" t="str">
        <f>"Page 2; Line "&amp;A62</f>
        <v>Page 2; Line 16</v>
      </c>
      <c r="H16" s="487">
        <f t="shared" si="1"/>
        <v>6</v>
      </c>
    </row>
    <row r="17" spans="1:14">
      <c r="A17" s="487">
        <f t="shared" si="0"/>
        <v>7</v>
      </c>
      <c r="B17" s="59"/>
      <c r="C17" s="486"/>
      <c r="D17" s="486"/>
      <c r="E17" s="519"/>
      <c r="F17" s="463"/>
      <c r="G17" s="26"/>
      <c r="H17" s="487">
        <f t="shared" si="1"/>
        <v>7</v>
      </c>
    </row>
    <row r="18" spans="1:14">
      <c r="A18" s="487">
        <f t="shared" si="0"/>
        <v>8</v>
      </c>
      <c r="B18" s="32" t="s">
        <v>40</v>
      </c>
      <c r="C18" s="516"/>
      <c r="D18" s="516"/>
      <c r="E18" s="517">
        <f>E67</f>
        <v>3.4450748494305232E-4</v>
      </c>
      <c r="F18" s="462"/>
      <c r="G18" s="26" t="str">
        <f>"Page 2; Line "&amp;A67</f>
        <v>Page 2; Line 21</v>
      </c>
      <c r="H18" s="487">
        <f t="shared" si="1"/>
        <v>8</v>
      </c>
    </row>
    <row r="19" spans="1:14">
      <c r="A19" s="487">
        <f t="shared" si="0"/>
        <v>9</v>
      </c>
      <c r="B19" s="28"/>
      <c r="C19" s="489"/>
      <c r="D19" s="489"/>
      <c r="E19" s="518"/>
      <c r="F19" s="31"/>
      <c r="G19" s="26"/>
      <c r="H19" s="487">
        <f t="shared" si="1"/>
        <v>9</v>
      </c>
    </row>
    <row r="20" spans="1:14">
      <c r="A20" s="487">
        <f t="shared" si="0"/>
        <v>10</v>
      </c>
      <c r="B20" s="32" t="s">
        <v>41</v>
      </c>
      <c r="C20" s="489"/>
      <c r="D20" s="489"/>
      <c r="E20" s="517">
        <f>E80</f>
        <v>1.5633153523676787E-3</v>
      </c>
      <c r="F20" s="31"/>
      <c r="G20" s="26" t="str">
        <f>"Page 2; Line "&amp;A80</f>
        <v>Page 2; Line 34</v>
      </c>
      <c r="H20" s="487">
        <f t="shared" si="1"/>
        <v>10</v>
      </c>
    </row>
    <row r="21" spans="1:14">
      <c r="A21" s="487">
        <f t="shared" si="0"/>
        <v>11</v>
      </c>
      <c r="B21" s="28"/>
      <c r="C21" s="489"/>
      <c r="D21" s="489"/>
      <c r="E21" s="518"/>
      <c r="F21" s="31"/>
      <c r="G21" s="26"/>
      <c r="H21" s="487">
        <f t="shared" si="1"/>
        <v>11</v>
      </c>
    </row>
    <row r="22" spans="1:14">
      <c r="A22" s="487">
        <f t="shared" si="0"/>
        <v>12</v>
      </c>
      <c r="B22" s="32" t="s">
        <v>42</v>
      </c>
      <c r="C22" s="516"/>
      <c r="D22" s="516"/>
      <c r="E22" s="517">
        <f>E97</f>
        <v>5.919961499861166E-3</v>
      </c>
      <c r="F22" s="462"/>
      <c r="G22" s="26" t="str">
        <f>"Page 2; Line "&amp;A97</f>
        <v>Page 2; Line 51</v>
      </c>
      <c r="H22" s="487">
        <f t="shared" si="1"/>
        <v>12</v>
      </c>
    </row>
    <row r="23" spans="1:14">
      <c r="A23" s="487">
        <f t="shared" si="0"/>
        <v>13</v>
      </c>
      <c r="B23" s="611"/>
      <c r="C23" s="491"/>
      <c r="D23" s="491"/>
      <c r="E23" s="1112"/>
      <c r="F23" s="43"/>
      <c r="G23" s="26"/>
      <c r="H23" s="487">
        <f t="shared" si="1"/>
        <v>13</v>
      </c>
    </row>
    <row r="24" spans="1:14">
      <c r="A24" s="487">
        <f t="shared" si="0"/>
        <v>14</v>
      </c>
      <c r="B24" s="32" t="s">
        <v>43</v>
      </c>
      <c r="C24" s="516"/>
      <c r="D24" s="516"/>
      <c r="E24" s="520">
        <f>SUM(E12:E22)</f>
        <v>3.7705754620465243E-2</v>
      </c>
      <c r="F24" s="462"/>
      <c r="G24" s="26" t="str">
        <f>"Sum Lines "&amp;A12&amp;" thru "&amp;A22&amp;""</f>
        <v>Sum Lines 2 thru 12</v>
      </c>
      <c r="H24" s="487">
        <f t="shared" si="1"/>
        <v>14</v>
      </c>
    </row>
    <row r="25" spans="1:14">
      <c r="A25" s="487">
        <f t="shared" si="0"/>
        <v>15</v>
      </c>
      <c r="B25" s="28"/>
      <c r="C25" s="489"/>
      <c r="D25" s="489"/>
      <c r="E25" s="521"/>
      <c r="F25" s="33"/>
      <c r="G25" s="26"/>
      <c r="H25" s="487">
        <f t="shared" si="1"/>
        <v>15</v>
      </c>
    </row>
    <row r="26" spans="1:14">
      <c r="A26" s="487">
        <f t="shared" si="0"/>
        <v>16</v>
      </c>
      <c r="B26" s="59" t="s">
        <v>33</v>
      </c>
      <c r="C26" s="522">
        <v>1.0207000000000001E-2</v>
      </c>
      <c r="D26" s="489"/>
      <c r="E26" s="823">
        <f>E24*C26</f>
        <v>3.8486263741108878E-4</v>
      </c>
      <c r="F26" s="444"/>
      <c r="G26" s="26" t="str">
        <f>"Line "&amp;A24&amp;" x Franchise Fee Rate"</f>
        <v>Line 14 x Franchise Fee Rate</v>
      </c>
      <c r="H26" s="487">
        <f t="shared" si="1"/>
        <v>16</v>
      </c>
      <c r="J26"/>
      <c r="K26"/>
      <c r="L26"/>
      <c r="M26"/>
      <c r="N26"/>
    </row>
    <row r="27" spans="1:14">
      <c r="A27" s="487">
        <f t="shared" si="0"/>
        <v>17</v>
      </c>
      <c r="B27" s="28"/>
      <c r="C27" s="489"/>
      <c r="D27" s="489"/>
      <c r="E27" s="1113"/>
      <c r="F27" s="42"/>
      <c r="G27" s="26"/>
      <c r="H27" s="487">
        <f t="shared" si="1"/>
        <v>17</v>
      </c>
    </row>
    <row r="28" spans="1:14" ht="16.5" thickBot="1">
      <c r="A28" s="487">
        <f t="shared" si="0"/>
        <v>18</v>
      </c>
      <c r="B28" s="28" t="s">
        <v>44</v>
      </c>
      <c r="C28" s="489"/>
      <c r="D28" s="489"/>
      <c r="E28" s="523">
        <f>E24+E26</f>
        <v>3.8090617257876332E-2</v>
      </c>
      <c r="F28" s="467"/>
      <c r="G28" s="26" t="str">
        <f>"Line "&amp;A24&amp;" + Line "&amp;A26</f>
        <v>Line 14 + Line 16</v>
      </c>
      <c r="H28" s="487">
        <f t="shared" si="1"/>
        <v>18</v>
      </c>
    </row>
    <row r="29" spans="1:14" ht="16.5" thickTop="1">
      <c r="A29" s="487">
        <f t="shared" si="0"/>
        <v>19</v>
      </c>
      <c r="B29" s="59"/>
      <c r="C29" s="486"/>
      <c r="D29" s="486"/>
      <c r="E29" s="489"/>
      <c r="F29" s="28"/>
      <c r="G29" s="28"/>
      <c r="H29" s="487">
        <f t="shared" si="1"/>
        <v>19</v>
      </c>
    </row>
    <row r="30" spans="1:14">
      <c r="A30" s="487">
        <f t="shared" si="0"/>
        <v>20</v>
      </c>
      <c r="B30" s="30" t="s">
        <v>45</v>
      </c>
      <c r="C30" s="524"/>
      <c r="D30" s="524"/>
      <c r="E30" s="486"/>
      <c r="F30" s="59"/>
      <c r="G30" s="28"/>
      <c r="H30" s="487">
        <f t="shared" si="1"/>
        <v>20</v>
      </c>
    </row>
    <row r="31" spans="1:14">
      <c r="A31" s="487">
        <f t="shared" si="0"/>
        <v>21</v>
      </c>
      <c r="B31" s="32" t="s">
        <v>46</v>
      </c>
      <c r="C31" s="516"/>
      <c r="D31" s="516"/>
      <c r="E31" s="287">
        <v>85194</v>
      </c>
      <c r="F31" s="31"/>
      <c r="G31" s="26" t="s">
        <v>47</v>
      </c>
      <c r="H31" s="487">
        <f t="shared" si="1"/>
        <v>21</v>
      </c>
      <c r="J31" s="700"/>
    </row>
    <row r="32" spans="1:14">
      <c r="A32" s="487">
        <f t="shared" si="0"/>
        <v>22</v>
      </c>
      <c r="B32" s="32"/>
      <c r="C32" s="516"/>
      <c r="D32" s="516"/>
      <c r="E32" s="516"/>
      <c r="F32" s="32"/>
      <c r="G32" s="26"/>
      <c r="H32" s="487">
        <f t="shared" si="1"/>
        <v>22</v>
      </c>
    </row>
    <row r="33" spans="1:8">
      <c r="A33" s="487">
        <f t="shared" si="0"/>
        <v>23</v>
      </c>
      <c r="B33" s="32" t="s">
        <v>48</v>
      </c>
      <c r="C33" s="516"/>
      <c r="D33" s="516"/>
      <c r="E33" s="520">
        <f>+E28</f>
        <v>3.8090617257876332E-2</v>
      </c>
      <c r="F33" s="462"/>
      <c r="G33" s="26" t="str">
        <f>"Line "&amp;A28&amp;" Above"</f>
        <v>Line 18 Above</v>
      </c>
      <c r="H33" s="487">
        <f t="shared" si="1"/>
        <v>23</v>
      </c>
    </row>
    <row r="34" spans="1:8">
      <c r="A34" s="487">
        <f t="shared" si="0"/>
        <v>24</v>
      </c>
      <c r="B34" s="28"/>
      <c r="C34" s="489"/>
      <c r="D34" s="489"/>
      <c r="E34" s="1114"/>
      <c r="F34" s="468"/>
      <c r="G34" s="26"/>
      <c r="H34" s="487">
        <f t="shared" si="1"/>
        <v>24</v>
      </c>
    </row>
    <row r="35" spans="1:8" ht="16.5" thickBot="1">
      <c r="A35" s="487">
        <f t="shared" si="0"/>
        <v>25</v>
      </c>
      <c r="B35" s="28" t="s">
        <v>49</v>
      </c>
      <c r="C35" s="516"/>
      <c r="D35" s="516"/>
      <c r="E35" s="525">
        <f>E31*E33</f>
        <v>3245.0920466675161</v>
      </c>
      <c r="F35" s="469"/>
      <c r="G35" s="26" t="str">
        <f>"Line "&amp;A31&amp;" x Line "&amp;A33</f>
        <v>Line 21 x Line 23</v>
      </c>
      <c r="H35" s="487">
        <f t="shared" si="1"/>
        <v>25</v>
      </c>
    </row>
    <row r="36" spans="1:8" ht="16.5" thickTop="1">
      <c r="A36" s="487"/>
      <c r="B36" s="28"/>
      <c r="C36" s="32"/>
      <c r="D36" s="32"/>
      <c r="E36" s="505"/>
      <c r="F36" s="469"/>
      <c r="G36" s="26"/>
      <c r="H36" s="487"/>
    </row>
    <row r="37" spans="1:8">
      <c r="A37" s="486"/>
      <c r="B37" s="28"/>
      <c r="C37" s="28"/>
      <c r="D37" s="28"/>
      <c r="E37" s="611"/>
      <c r="F37" s="611"/>
      <c r="G37" s="59"/>
      <c r="H37" s="479"/>
    </row>
    <row r="38" spans="1:8">
      <c r="A38" s="486"/>
      <c r="B38" s="1299" t="str">
        <f>B2</f>
        <v>SAN DIEGO GAS &amp; ELECTRIC COMPANY</v>
      </c>
      <c r="C38" s="1299"/>
      <c r="D38" s="1299"/>
      <c r="E38" s="1299"/>
      <c r="F38" s="1299"/>
      <c r="G38" s="1299"/>
      <c r="H38" s="479"/>
    </row>
    <row r="39" spans="1:8">
      <c r="B39" s="1299" t="str">
        <f>B3</f>
        <v>CITIZENS' SHARE OF THE BORDER EAST LINE</v>
      </c>
      <c r="C39" s="1299"/>
      <c r="D39" s="1299"/>
      <c r="E39" s="1299"/>
      <c r="F39" s="1299"/>
      <c r="G39" s="1299"/>
      <c r="H39" s="491"/>
    </row>
    <row r="40" spans="1:8">
      <c r="B40" s="1296" t="str">
        <f>B4</f>
        <v xml:space="preserve">Section 2 - Non-Direct Expense Cost Component </v>
      </c>
      <c r="C40" s="1296"/>
      <c r="D40" s="1296"/>
      <c r="E40" s="1296"/>
      <c r="F40" s="1296"/>
      <c r="G40" s="1296"/>
      <c r="H40" s="489"/>
    </row>
    <row r="41" spans="1:8">
      <c r="B41" s="1297" t="str">
        <f>B5</f>
        <v>Base Period &amp; True-Up Period 12 - Months Ending December 31, 2024</v>
      </c>
      <c r="C41" s="1297"/>
      <c r="D41" s="1297"/>
      <c r="E41" s="1297"/>
      <c r="F41" s="1297"/>
      <c r="G41" s="1297"/>
      <c r="H41" s="489"/>
    </row>
    <row r="42" spans="1:8">
      <c r="B42" s="1298" t="str">
        <f>B6</f>
        <v>($1,000)</v>
      </c>
      <c r="C42" s="1290"/>
      <c r="D42" s="1290"/>
      <c r="E42" s="1290"/>
      <c r="F42" s="1290"/>
      <c r="G42" s="1290"/>
      <c r="H42" s="96"/>
    </row>
    <row r="43" spans="1:8">
      <c r="A43" s="488"/>
      <c r="B43" s="28"/>
      <c r="C43" s="28"/>
      <c r="D43" s="28"/>
      <c r="E43" s="28"/>
      <c r="F43" s="28"/>
      <c r="G43" s="28"/>
      <c r="H43" s="479"/>
    </row>
    <row r="44" spans="1:8">
      <c r="A44" s="487" t="s">
        <v>4</v>
      </c>
      <c r="B44" s="28"/>
      <c r="C44" s="28"/>
      <c r="D44" s="28"/>
      <c r="E44" s="27"/>
      <c r="F44" s="27"/>
      <c r="G44" s="28"/>
      <c r="H44" s="487" t="s">
        <v>4</v>
      </c>
    </row>
    <row r="45" spans="1:8">
      <c r="A45" s="487" t="s">
        <v>5</v>
      </c>
      <c r="B45" s="28"/>
      <c r="C45" s="28"/>
      <c r="D45" s="28"/>
      <c r="E45" s="1029" t="s">
        <v>7</v>
      </c>
      <c r="F45" s="26"/>
      <c r="G45" s="1029" t="s">
        <v>8</v>
      </c>
      <c r="H45" s="487" t="s">
        <v>5</v>
      </c>
    </row>
    <row r="46" spans="1:8">
      <c r="A46" s="487"/>
      <c r="B46" s="28"/>
      <c r="C46" s="28"/>
      <c r="D46" s="28"/>
      <c r="E46" s="27"/>
      <c r="F46" s="27"/>
      <c r="G46" s="28"/>
      <c r="H46" s="487"/>
    </row>
    <row r="47" spans="1:8">
      <c r="A47" s="487">
        <v>1</v>
      </c>
      <c r="B47" s="34" t="s">
        <v>50</v>
      </c>
      <c r="C47" s="34"/>
      <c r="D47" s="34"/>
      <c r="E47" s="612">
        <f>'AV-4'!C16</f>
        <v>6437992.6754053179</v>
      </c>
      <c r="F47" s="27"/>
      <c r="G47" s="26" t="str">
        <f>"AV-4; Line "&amp;'AV-4'!A16&amp;""</f>
        <v>AV-4; Line 6</v>
      </c>
      <c r="H47" s="487">
        <f>A47</f>
        <v>1</v>
      </c>
    </row>
    <row r="48" spans="1:8">
      <c r="A48" s="487">
        <f>A47+1</f>
        <v>2</v>
      </c>
      <c r="B48" s="28"/>
      <c r="C48" s="28"/>
      <c r="D48" s="28"/>
      <c r="E48" s="485"/>
      <c r="F48" s="27"/>
      <c r="G48" s="28"/>
      <c r="H48" s="487">
        <f>H47+1</f>
        <v>2</v>
      </c>
    </row>
    <row r="49" spans="1:10">
      <c r="A49" s="487">
        <f t="shared" ref="A49:A97" si="2">A48+1</f>
        <v>3</v>
      </c>
      <c r="B49" s="30" t="s">
        <v>51</v>
      </c>
      <c r="C49" s="30"/>
      <c r="D49" s="30"/>
      <c r="E49" s="526"/>
      <c r="F49" s="35"/>
      <c r="G49" s="28"/>
      <c r="H49" s="487">
        <f t="shared" ref="H49:H97" si="3">H48+1</f>
        <v>3</v>
      </c>
    </row>
    <row r="50" spans="1:10">
      <c r="A50" s="487">
        <f t="shared" si="2"/>
        <v>4</v>
      </c>
      <c r="B50" s="32" t="s">
        <v>52</v>
      </c>
      <c r="C50" s="32"/>
      <c r="D50" s="32"/>
      <c r="E50" s="824">
        <f>'Stmt AH'!E27</f>
        <v>60635.292659999948</v>
      </c>
      <c r="F50" s="27"/>
      <c r="G50" s="26" t="str">
        <f>"Statement AH; Line "&amp;'Stmt AH'!A27</f>
        <v>Statement AH; Line 17</v>
      </c>
      <c r="H50" s="487">
        <f t="shared" si="3"/>
        <v>4</v>
      </c>
      <c r="J50" s="613"/>
    </row>
    <row r="51" spans="1:10">
      <c r="A51" s="487">
        <f t="shared" si="2"/>
        <v>5</v>
      </c>
      <c r="B51" s="32"/>
      <c r="C51" s="32"/>
      <c r="D51" s="32"/>
      <c r="E51" s="298"/>
      <c r="F51" s="36"/>
      <c r="G51" s="26"/>
      <c r="H51" s="487">
        <f t="shared" si="3"/>
        <v>5</v>
      </c>
      <c r="J51" s="613"/>
    </row>
    <row r="52" spans="1:10">
      <c r="A52" s="487">
        <f t="shared" si="2"/>
        <v>6</v>
      </c>
      <c r="B52" s="32" t="s">
        <v>53</v>
      </c>
      <c r="C52" s="28"/>
      <c r="D52" s="28"/>
      <c r="E52" s="527">
        <f>E50/E47</f>
        <v>9.4183537815507867E-3</v>
      </c>
      <c r="F52" s="58"/>
      <c r="G52" s="26" t="str">
        <f>"Line "&amp;A50&amp;" / Line "&amp;A47</f>
        <v>Line 4 / Line 1</v>
      </c>
      <c r="H52" s="487">
        <f t="shared" si="3"/>
        <v>6</v>
      </c>
      <c r="J52" s="613"/>
    </row>
    <row r="53" spans="1:10">
      <c r="A53" s="487">
        <f t="shared" si="2"/>
        <v>7</v>
      </c>
      <c r="B53" s="32"/>
      <c r="C53" s="32"/>
      <c r="D53" s="32"/>
      <c r="E53" s="614"/>
      <c r="F53" s="615"/>
      <c r="G53" s="26"/>
      <c r="H53" s="487">
        <f t="shared" si="3"/>
        <v>7</v>
      </c>
    </row>
    <row r="54" spans="1:10">
      <c r="A54" s="487">
        <f t="shared" si="2"/>
        <v>8</v>
      </c>
      <c r="B54" s="30" t="s">
        <v>54</v>
      </c>
      <c r="C54" s="30"/>
      <c r="D54" s="30"/>
      <c r="E54" s="616"/>
      <c r="F54" s="617"/>
      <c r="G54" s="29"/>
      <c r="H54" s="487">
        <f t="shared" si="3"/>
        <v>8</v>
      </c>
    </row>
    <row r="55" spans="1:10">
      <c r="A55" s="487">
        <f t="shared" si="2"/>
        <v>9</v>
      </c>
      <c r="B55" s="32" t="s">
        <v>55</v>
      </c>
      <c r="C55" s="32"/>
      <c r="D55" s="32"/>
      <c r="E55" s="825">
        <f>'Stmt AH'!E49</f>
        <v>55714.299998612012</v>
      </c>
      <c r="F55" s="27"/>
      <c r="G55" s="26" t="str">
        <f>"Statement AH; Line "&amp;'Stmt AH'!A49</f>
        <v>Statement AH; Line 39</v>
      </c>
      <c r="H55" s="487">
        <f t="shared" si="3"/>
        <v>9</v>
      </c>
    </row>
    <row r="56" spans="1:10">
      <c r="A56" s="487">
        <f t="shared" si="2"/>
        <v>10</v>
      </c>
      <c r="B56" s="28"/>
      <c r="C56" s="28"/>
      <c r="D56" s="28"/>
      <c r="E56" s="616"/>
      <c r="F56" s="617"/>
      <c r="G56" s="26"/>
      <c r="H56" s="487">
        <f t="shared" si="3"/>
        <v>10</v>
      </c>
    </row>
    <row r="57" spans="1:10">
      <c r="A57" s="487">
        <f t="shared" si="2"/>
        <v>11</v>
      </c>
      <c r="B57" s="503" t="s">
        <v>56</v>
      </c>
      <c r="C57" s="29"/>
      <c r="D57" s="29"/>
      <c r="E57" s="527">
        <f>E55/E47</f>
        <v>8.6539862357181696E-3</v>
      </c>
      <c r="F57" s="58"/>
      <c r="G57" s="26" t="str">
        <f>"Line "&amp;A55&amp;" / Line "&amp;A47</f>
        <v>Line 9 / Line 1</v>
      </c>
      <c r="H57" s="487">
        <f t="shared" si="3"/>
        <v>11</v>
      </c>
    </row>
    <row r="58" spans="1:10">
      <c r="A58" s="487">
        <f t="shared" si="2"/>
        <v>12</v>
      </c>
      <c r="B58" s="29"/>
      <c r="C58" s="29"/>
      <c r="D58" s="29"/>
      <c r="E58" s="528"/>
      <c r="F58" s="38"/>
      <c r="G58" s="26"/>
      <c r="H58" s="487">
        <f t="shared" si="3"/>
        <v>12</v>
      </c>
    </row>
    <row r="59" spans="1:10">
      <c r="A59" s="487">
        <f t="shared" si="2"/>
        <v>13</v>
      </c>
      <c r="B59" s="30" t="s">
        <v>57</v>
      </c>
      <c r="C59" s="29"/>
      <c r="D59" s="29"/>
      <c r="E59" s="528"/>
      <c r="F59" s="38"/>
      <c r="G59" s="26"/>
      <c r="H59" s="487">
        <f t="shared" si="3"/>
        <v>13</v>
      </c>
    </row>
    <row r="60" spans="1:10">
      <c r="A60" s="487">
        <f t="shared" si="2"/>
        <v>14</v>
      </c>
      <c r="B60" s="503" t="s">
        <v>39</v>
      </c>
      <c r="C60" s="29"/>
      <c r="D60" s="29"/>
      <c r="E60" s="825">
        <f>'Stmt AK'!E27</f>
        <v>76004.561181208352</v>
      </c>
      <c r="F60" s="38"/>
      <c r="G60" s="26" t="str">
        <f>"Statement AK; Line "&amp;'Stmt AK'!A27</f>
        <v>Statement AK; Line 17</v>
      </c>
      <c r="H60" s="487">
        <f t="shared" si="3"/>
        <v>14</v>
      </c>
    </row>
    <row r="61" spans="1:10">
      <c r="A61" s="487">
        <f t="shared" si="2"/>
        <v>15</v>
      </c>
      <c r="B61" s="29"/>
      <c r="C61" s="29"/>
      <c r="D61" s="29"/>
      <c r="E61" s="616"/>
      <c r="F61" s="38"/>
      <c r="G61" s="26"/>
      <c r="H61" s="487">
        <f t="shared" si="3"/>
        <v>15</v>
      </c>
    </row>
    <row r="62" spans="1:10">
      <c r="A62" s="487">
        <f t="shared" si="2"/>
        <v>16</v>
      </c>
      <c r="B62" s="503" t="s">
        <v>58</v>
      </c>
      <c r="C62" s="29"/>
      <c r="D62" s="29"/>
      <c r="E62" s="527">
        <f>E60/E47</f>
        <v>1.1805630266024389E-2</v>
      </c>
      <c r="F62" s="38"/>
      <c r="G62" s="26" t="str">
        <f>"Line "&amp;A60&amp;" / Line "&amp;A47</f>
        <v>Line 14 / Line 1</v>
      </c>
      <c r="H62" s="487">
        <f t="shared" si="3"/>
        <v>16</v>
      </c>
    </row>
    <row r="63" spans="1:10">
      <c r="A63" s="487">
        <f t="shared" si="2"/>
        <v>17</v>
      </c>
      <c r="B63" s="29"/>
      <c r="C63" s="29"/>
      <c r="D63" s="29"/>
      <c r="E63" s="528"/>
      <c r="F63" s="38"/>
      <c r="G63" s="26"/>
      <c r="H63" s="487">
        <f t="shared" si="3"/>
        <v>17</v>
      </c>
    </row>
    <row r="64" spans="1:10">
      <c r="A64" s="487">
        <f t="shared" si="2"/>
        <v>18</v>
      </c>
      <c r="B64" s="30" t="s">
        <v>59</v>
      </c>
      <c r="C64" s="30"/>
      <c r="D64" s="30"/>
      <c r="E64" s="528"/>
      <c r="F64" s="38"/>
      <c r="G64" s="26"/>
      <c r="H64" s="487">
        <f t="shared" si="3"/>
        <v>18</v>
      </c>
    </row>
    <row r="65" spans="1:8">
      <c r="A65" s="487">
        <f t="shared" si="2"/>
        <v>19</v>
      </c>
      <c r="B65" s="32" t="s">
        <v>40</v>
      </c>
      <c r="C65" s="32"/>
      <c r="D65" s="32"/>
      <c r="E65" s="825">
        <f>'Stmt AK'!E38</f>
        <v>2217.9366646856788</v>
      </c>
      <c r="F65" s="27"/>
      <c r="G65" s="26" t="str">
        <f>"Statement AK; Line "&amp;'Stmt AK'!A38</f>
        <v>Statement AK; Line 28</v>
      </c>
      <c r="H65" s="487">
        <f t="shared" si="3"/>
        <v>19</v>
      </c>
    </row>
    <row r="66" spans="1:8">
      <c r="A66" s="487">
        <f t="shared" si="2"/>
        <v>20</v>
      </c>
      <c r="B66" s="29"/>
      <c r="C66" s="29"/>
      <c r="D66" s="29"/>
      <c r="E66" s="528"/>
      <c r="F66" s="38"/>
      <c r="G66" s="26"/>
      <c r="H66" s="487">
        <f t="shared" si="3"/>
        <v>20</v>
      </c>
    </row>
    <row r="67" spans="1:8">
      <c r="A67" s="487">
        <f t="shared" si="2"/>
        <v>21</v>
      </c>
      <c r="B67" s="503" t="s">
        <v>60</v>
      </c>
      <c r="C67" s="29"/>
      <c r="D67" s="29"/>
      <c r="E67" s="527">
        <f>E65/E47</f>
        <v>3.4450748494305232E-4</v>
      </c>
      <c r="F67" s="58"/>
      <c r="G67" s="26" t="str">
        <f>"Line "&amp;A65&amp;" / Line "&amp;A47</f>
        <v>Line 19 / Line 1</v>
      </c>
      <c r="H67" s="487">
        <f t="shared" si="3"/>
        <v>21</v>
      </c>
    </row>
    <row r="68" spans="1:8">
      <c r="A68" s="487">
        <f t="shared" si="2"/>
        <v>22</v>
      </c>
      <c r="B68" s="29"/>
      <c r="C68" s="29"/>
      <c r="D68" s="29"/>
      <c r="E68" s="528"/>
      <c r="F68" s="38"/>
      <c r="G68" s="26"/>
      <c r="H68" s="487">
        <f t="shared" si="3"/>
        <v>22</v>
      </c>
    </row>
    <row r="69" spans="1:8">
      <c r="A69" s="487">
        <f t="shared" si="2"/>
        <v>23</v>
      </c>
      <c r="B69" s="30" t="s">
        <v>61</v>
      </c>
      <c r="C69" s="30"/>
      <c r="D69" s="30"/>
      <c r="E69" s="529"/>
      <c r="F69" s="39"/>
      <c r="G69" s="26"/>
      <c r="H69" s="487">
        <f t="shared" si="3"/>
        <v>23</v>
      </c>
    </row>
    <row r="70" spans="1:8">
      <c r="A70" s="487">
        <f t="shared" si="2"/>
        <v>24</v>
      </c>
      <c r="B70" s="504" t="s">
        <v>62</v>
      </c>
      <c r="C70" s="28"/>
      <c r="D70" s="28"/>
      <c r="E70" s="529"/>
      <c r="F70" s="39"/>
      <c r="G70" s="26"/>
      <c r="H70" s="487">
        <f t="shared" si="3"/>
        <v>24</v>
      </c>
    </row>
    <row r="71" spans="1:8">
      <c r="A71" s="487">
        <f t="shared" si="2"/>
        <v>25</v>
      </c>
      <c r="B71" s="32" t="s">
        <v>63</v>
      </c>
      <c r="C71" s="32"/>
      <c r="D71" s="32"/>
      <c r="E71" s="530">
        <f>'Stmt AL'!G15</f>
        <v>57049.318921595936</v>
      </c>
      <c r="F71" s="27"/>
      <c r="G71" s="26" t="str">
        <f>"Statement AL; Line "&amp;'Stmt AL'!A15</f>
        <v>Statement AL; Line 5</v>
      </c>
      <c r="H71" s="487">
        <f t="shared" si="3"/>
        <v>25</v>
      </c>
    </row>
    <row r="72" spans="1:8">
      <c r="A72" s="487">
        <f t="shared" si="2"/>
        <v>26</v>
      </c>
      <c r="B72" s="32" t="s">
        <v>64</v>
      </c>
      <c r="C72" s="32"/>
      <c r="D72" s="32"/>
      <c r="E72" s="531">
        <f>'Stmt AL'!G19</f>
        <v>34384.609098785462</v>
      </c>
      <c r="F72" s="27"/>
      <c r="G72" s="26" t="str">
        <f>"Statement AL; Line "&amp;'Stmt AL'!A19</f>
        <v>Statement AL; Line 9</v>
      </c>
      <c r="H72" s="487">
        <f t="shared" si="3"/>
        <v>26</v>
      </c>
    </row>
    <row r="73" spans="1:8">
      <c r="A73" s="487">
        <f t="shared" si="2"/>
        <v>27</v>
      </c>
      <c r="B73" s="32" t="s">
        <v>65</v>
      </c>
      <c r="C73" s="32"/>
      <c r="D73" s="32"/>
      <c r="E73" s="531">
        <f>'Stmt AL'!E29</f>
        <v>14543.699082326495</v>
      </c>
      <c r="F73" s="27"/>
      <c r="G73" s="26" t="str">
        <f>"Statement AL; Line "&amp;'Stmt AL'!A29</f>
        <v>Statement AL; Line 19</v>
      </c>
      <c r="H73" s="487">
        <f t="shared" si="3"/>
        <v>27</v>
      </c>
    </row>
    <row r="74" spans="1:8">
      <c r="A74" s="487">
        <f t="shared" si="2"/>
        <v>28</v>
      </c>
      <c r="B74" s="32" t="s">
        <v>66</v>
      </c>
      <c r="C74" s="28"/>
      <c r="D74" s="28"/>
      <c r="E74" s="532">
        <f>SUM(E71:E73)</f>
        <v>105977.62710270789</v>
      </c>
      <c r="F74" s="37"/>
      <c r="G74" s="26" t="str">
        <f>"Sum Lines "&amp;A71&amp;" thru "&amp;A73</f>
        <v>Sum Lines 25 thru 27</v>
      </c>
      <c r="H74" s="487">
        <f t="shared" si="3"/>
        <v>28</v>
      </c>
    </row>
    <row r="75" spans="1:8">
      <c r="A75" s="487">
        <f t="shared" si="2"/>
        <v>29</v>
      </c>
      <c r="B75" s="28"/>
      <c r="C75" s="28"/>
      <c r="D75" s="28"/>
      <c r="E75" s="533"/>
      <c r="F75" s="40"/>
      <c r="G75" s="26"/>
      <c r="H75" s="487">
        <f t="shared" si="3"/>
        <v>29</v>
      </c>
    </row>
    <row r="76" spans="1:8">
      <c r="A76" s="487">
        <f t="shared" si="2"/>
        <v>30</v>
      </c>
      <c r="B76" s="32" t="s">
        <v>30</v>
      </c>
      <c r="C76" s="32"/>
      <c r="D76" s="32"/>
      <c r="E76" s="534">
        <f>'Stmt AV'!G110</f>
        <v>9.4969221929622108E-2</v>
      </c>
      <c r="F76" s="27"/>
      <c r="G76" s="26" t="str">
        <f>"Statement AV2; Line "&amp;'Stmt AV'!A110</f>
        <v>Statement AV2; Line 31</v>
      </c>
      <c r="H76" s="487">
        <f t="shared" si="3"/>
        <v>30</v>
      </c>
    </row>
    <row r="77" spans="1:8">
      <c r="A77" s="487">
        <f t="shared" si="2"/>
        <v>31</v>
      </c>
      <c r="B77" s="28"/>
      <c r="C77" s="28"/>
      <c r="D77" s="28"/>
      <c r="E77" s="533"/>
      <c r="F77" s="40"/>
      <c r="G77" s="26"/>
      <c r="H77" s="487">
        <f t="shared" si="3"/>
        <v>31</v>
      </c>
    </row>
    <row r="78" spans="1:8">
      <c r="A78" s="487">
        <f t="shared" si="2"/>
        <v>32</v>
      </c>
      <c r="B78" s="32" t="s">
        <v>67</v>
      </c>
      <c r="C78" s="28"/>
      <c r="D78" s="28"/>
      <c r="E78" s="535">
        <f>E74*E76</f>
        <v>10064.6127878918</v>
      </c>
      <c r="F78" s="37"/>
      <c r="G78" s="26" t="str">
        <f>"Line "&amp;A74&amp;" x Line "&amp;A76</f>
        <v>Line 28 x Line 30</v>
      </c>
      <c r="H78" s="487">
        <f t="shared" si="3"/>
        <v>32</v>
      </c>
    </row>
    <row r="79" spans="1:8">
      <c r="A79" s="487">
        <f t="shared" si="2"/>
        <v>33</v>
      </c>
      <c r="B79" s="28"/>
      <c r="C79" s="28"/>
      <c r="D79" s="28"/>
      <c r="E79" s="533"/>
      <c r="F79" s="40"/>
      <c r="G79" s="26"/>
      <c r="H79" s="487">
        <f t="shared" si="3"/>
        <v>33</v>
      </c>
    </row>
    <row r="80" spans="1:8">
      <c r="A80" s="487">
        <f t="shared" si="2"/>
        <v>34</v>
      </c>
      <c r="B80" s="32" t="s">
        <v>68</v>
      </c>
      <c r="C80" s="28"/>
      <c r="D80" s="28"/>
      <c r="E80" s="527">
        <f>E78/E47</f>
        <v>1.5633153523676787E-3</v>
      </c>
      <c r="F80" s="58"/>
      <c r="G80" s="26" t="str">
        <f>"Line "&amp;A78&amp;" / Line "&amp;A47</f>
        <v>Line 32 / Line 1</v>
      </c>
      <c r="H80" s="487">
        <f t="shared" si="3"/>
        <v>34</v>
      </c>
    </row>
    <row r="81" spans="1:9">
      <c r="A81" s="487">
        <f t="shared" si="2"/>
        <v>35</v>
      </c>
      <c r="B81" s="32"/>
      <c r="C81" s="28"/>
      <c r="D81" s="28"/>
      <c r="E81" s="502"/>
      <c r="F81" s="58"/>
      <c r="G81" s="26"/>
      <c r="H81" s="487">
        <f t="shared" si="3"/>
        <v>35</v>
      </c>
    </row>
    <row r="82" spans="1:9">
      <c r="A82" s="487">
        <f t="shared" si="2"/>
        <v>36</v>
      </c>
      <c r="B82" s="30" t="s">
        <v>69</v>
      </c>
      <c r="C82" s="696"/>
      <c r="D82" s="696"/>
      <c r="E82" s="694"/>
      <c r="F82" s="694"/>
      <c r="G82" s="694"/>
      <c r="H82" s="487">
        <f t="shared" si="3"/>
        <v>36</v>
      </c>
    </row>
    <row r="83" spans="1:9">
      <c r="A83" s="487">
        <f t="shared" si="2"/>
        <v>37</v>
      </c>
      <c r="B83" s="32" t="s">
        <v>70</v>
      </c>
      <c r="C83" s="696"/>
      <c r="D83" s="696"/>
      <c r="E83" s="397">
        <f>'AV-4'!C14</f>
        <v>39126.84913346071</v>
      </c>
      <c r="F83" s="694"/>
      <c r="G83" s="26" t="str">
        <f>"AV-4; Line "&amp;'AV-4'!F14</f>
        <v>AV-4; Line 4</v>
      </c>
      <c r="H83" s="487">
        <f t="shared" si="3"/>
        <v>37</v>
      </c>
    </row>
    <row r="84" spans="1:9">
      <c r="A84" s="487">
        <f t="shared" si="2"/>
        <v>38</v>
      </c>
      <c r="B84" s="30"/>
      <c r="C84" s="696"/>
      <c r="D84" s="696"/>
      <c r="E84" s="781"/>
      <c r="F84" s="694"/>
      <c r="G84" s="694"/>
      <c r="H84" s="487">
        <f t="shared" si="3"/>
        <v>38</v>
      </c>
    </row>
    <row r="85" spans="1:9">
      <c r="A85" s="487">
        <f t="shared" si="2"/>
        <v>39</v>
      </c>
      <c r="B85" s="32" t="s">
        <v>71</v>
      </c>
      <c r="C85" s="696"/>
      <c r="D85" s="696"/>
      <c r="E85" s="782">
        <f>'AV-4'!C15</f>
        <v>119045.48118356634</v>
      </c>
      <c r="F85" s="694"/>
      <c r="G85" s="26" t="str">
        <f>"AV-4; Line "&amp;'AV-4'!F15</f>
        <v>AV-4; Line 5</v>
      </c>
      <c r="H85" s="487">
        <f t="shared" si="3"/>
        <v>39</v>
      </c>
    </row>
    <row r="86" spans="1:9" ht="20.25">
      <c r="A86" s="487">
        <f t="shared" si="2"/>
        <v>40</v>
      </c>
      <c r="B86" s="696"/>
      <c r="C86" s="700"/>
      <c r="D86" s="700"/>
      <c r="E86" s="783"/>
      <c r="F86" s="704"/>
      <c r="G86" s="696"/>
      <c r="H86" s="487">
        <f t="shared" si="3"/>
        <v>40</v>
      </c>
    </row>
    <row r="87" spans="1:9">
      <c r="A87" s="487">
        <f t="shared" si="2"/>
        <v>41</v>
      </c>
      <c r="B87" s="32" t="s">
        <v>72</v>
      </c>
      <c r="C87" s="700"/>
      <c r="D87" s="700"/>
      <c r="E87" s="784">
        <f>E83+E85</f>
        <v>158172.33031702705</v>
      </c>
      <c r="F87" s="703"/>
      <c r="G87" s="26" t="str">
        <f>"Line "&amp;A83&amp;" + Line "&amp;A85</f>
        <v>Line 37 + Line 39</v>
      </c>
      <c r="H87" s="487">
        <f t="shared" si="3"/>
        <v>41</v>
      </c>
    </row>
    <row r="88" spans="1:9">
      <c r="A88" s="487">
        <f t="shared" si="2"/>
        <v>42</v>
      </c>
      <c r="B88" s="695"/>
      <c r="C88" s="700"/>
      <c r="D88" s="700"/>
      <c r="E88" s="785"/>
      <c r="F88" s="703"/>
      <c r="G88" s="693"/>
      <c r="H88" s="487">
        <f t="shared" si="3"/>
        <v>42</v>
      </c>
    </row>
    <row r="89" spans="1:9">
      <c r="A89" s="487">
        <f t="shared" si="2"/>
        <v>43</v>
      </c>
      <c r="B89" s="32" t="s">
        <v>30</v>
      </c>
      <c r="C89" s="700"/>
      <c r="D89" s="700"/>
      <c r="E89" s="826">
        <f>E76</f>
        <v>9.4969221929622108E-2</v>
      </c>
      <c r="F89" s="703"/>
      <c r="G89" s="26" t="str">
        <f>"Line "&amp;A76</f>
        <v>Line 30</v>
      </c>
      <c r="H89" s="487">
        <f t="shared" si="3"/>
        <v>43</v>
      </c>
    </row>
    <row r="90" spans="1:9">
      <c r="A90" s="487">
        <f t="shared" si="2"/>
        <v>44</v>
      </c>
      <c r="B90" s="696"/>
      <c r="C90" s="700"/>
      <c r="D90" s="700"/>
      <c r="E90" s="705"/>
      <c r="F90" s="706"/>
      <c r="G90" s="696"/>
      <c r="H90" s="487">
        <f t="shared" si="3"/>
        <v>44</v>
      </c>
    </row>
    <row r="91" spans="1:9">
      <c r="A91" s="487">
        <f t="shared" si="2"/>
        <v>45</v>
      </c>
      <c r="B91" s="32" t="s">
        <v>73</v>
      </c>
      <c r="C91" s="700"/>
      <c r="D91" s="700"/>
      <c r="E91" s="736">
        <f>E87*E89</f>
        <v>15021.503141003237</v>
      </c>
      <c r="F91" s="708"/>
      <c r="G91" s="26" t="str">
        <f>"Line "&amp;A87&amp;" * Line "&amp;A89</f>
        <v>Line 41 * Line 43</v>
      </c>
      <c r="H91" s="487">
        <f t="shared" si="3"/>
        <v>45</v>
      </c>
    </row>
    <row r="92" spans="1:9">
      <c r="A92" s="487">
        <f t="shared" si="2"/>
        <v>46</v>
      </c>
      <c r="B92" s="695"/>
      <c r="C92" s="700"/>
      <c r="D92" s="700"/>
      <c r="E92" s="707"/>
      <c r="F92" s="708"/>
      <c r="G92" s="693"/>
      <c r="H92" s="487">
        <f t="shared" si="3"/>
        <v>46</v>
      </c>
    </row>
    <row r="93" spans="1:9">
      <c r="A93" s="487">
        <f t="shared" si="2"/>
        <v>47</v>
      </c>
      <c r="B93" s="32" t="s">
        <v>74</v>
      </c>
      <c r="C93" s="700"/>
      <c r="D93" s="700"/>
      <c r="E93" s="827">
        <f>'Stmt AJ'!E27</f>
        <v>23091.165633784429</v>
      </c>
      <c r="F93" s="708"/>
      <c r="G93" s="26" t="str">
        <f>"Statement AJ; Line "&amp;'Stmt AJ'!A27</f>
        <v>Statement AJ; Line 17</v>
      </c>
      <c r="H93" s="487">
        <f t="shared" si="3"/>
        <v>47</v>
      </c>
      <c r="I93" s="700"/>
    </row>
    <row r="94" spans="1:9">
      <c r="A94" s="487">
        <f t="shared" si="2"/>
        <v>48</v>
      </c>
      <c r="B94" s="32"/>
      <c r="C94" s="700"/>
      <c r="D94" s="700"/>
      <c r="E94" s="578"/>
      <c r="F94" s="708"/>
      <c r="G94" s="26"/>
      <c r="H94" s="487">
        <f t="shared" si="3"/>
        <v>48</v>
      </c>
    </row>
    <row r="95" spans="1:9">
      <c r="A95" s="487">
        <f t="shared" si="2"/>
        <v>49</v>
      </c>
      <c r="B95" s="32" t="s">
        <v>75</v>
      </c>
      <c r="C95" s="700"/>
      <c r="D95" s="700"/>
      <c r="E95" s="578">
        <f>E91+E93</f>
        <v>38112.668774787664</v>
      </c>
      <c r="F95" s="708"/>
      <c r="G95" s="26" t="str">
        <f>"Line "&amp;A91&amp;" + Line "&amp;A93</f>
        <v>Line 45 + Line 47</v>
      </c>
      <c r="H95" s="487">
        <f t="shared" si="3"/>
        <v>49</v>
      </c>
    </row>
    <row r="96" spans="1:9">
      <c r="A96" s="487">
        <f t="shared" si="2"/>
        <v>50</v>
      </c>
      <c r="B96" s="696"/>
      <c r="C96" s="700"/>
      <c r="D96" s="700"/>
      <c r="E96" s="720"/>
      <c r="F96" s="696"/>
      <c r="G96" s="696"/>
      <c r="H96" s="487">
        <f t="shared" si="3"/>
        <v>50</v>
      </c>
    </row>
    <row r="97" spans="1:8" ht="16.5" thickBot="1">
      <c r="A97" s="487">
        <f t="shared" si="2"/>
        <v>51</v>
      </c>
      <c r="B97" s="32" t="s">
        <v>76</v>
      </c>
      <c r="C97" s="700"/>
      <c r="D97" s="700"/>
      <c r="E97" s="737">
        <f>E95/E47</f>
        <v>5.919961499861166E-3</v>
      </c>
      <c r="F97" s="709"/>
      <c r="G97" s="26" t="str">
        <f>"Line "&amp;A95&amp;" / Line "&amp;A47&amp;""</f>
        <v>Line 49 / Line 1</v>
      </c>
      <c r="H97" s="487">
        <f t="shared" si="3"/>
        <v>51</v>
      </c>
    </row>
    <row r="98" spans="1:8" ht="16.5" thickTop="1">
      <c r="A98" s="489"/>
    </row>
    <row r="99" spans="1:8">
      <c r="A99" s="489"/>
    </row>
    <row r="100" spans="1:8">
      <c r="A100" s="489"/>
    </row>
    <row r="101" spans="1:8">
      <c r="A101" s="489"/>
    </row>
    <row r="102" spans="1:8">
      <c r="A102" s="489"/>
    </row>
    <row r="103" spans="1:8">
      <c r="A103" s="489"/>
    </row>
    <row r="104" spans="1:8">
      <c r="A104" s="489"/>
    </row>
    <row r="105" spans="1:8">
      <c r="A105" s="489"/>
    </row>
    <row r="106" spans="1:8">
      <c r="A106" s="489"/>
    </row>
    <row r="107" spans="1:8">
      <c r="A107" s="489"/>
    </row>
    <row r="108" spans="1:8">
      <c r="A108" s="489"/>
    </row>
    <row r="109" spans="1:8">
      <c r="A109" s="489"/>
    </row>
    <row r="110" spans="1:8">
      <c r="A110" s="489"/>
    </row>
    <row r="111" spans="1:8">
      <c r="A111" s="489"/>
    </row>
    <row r="112" spans="1:8">
      <c r="A112" s="489"/>
    </row>
    <row r="113" spans="1:1">
      <c r="A113" s="489"/>
    </row>
    <row r="114" spans="1:1">
      <c r="A114" s="489"/>
    </row>
    <row r="115" spans="1:1">
      <c r="A115" s="489"/>
    </row>
    <row r="116" spans="1:1">
      <c r="A116" s="489"/>
    </row>
    <row r="117" spans="1:1">
      <c r="A117" s="489"/>
    </row>
    <row r="118" spans="1:1">
      <c r="A118" s="489"/>
    </row>
    <row r="119" spans="1:1">
      <c r="A119" s="489"/>
    </row>
    <row r="120" spans="1:1">
      <c r="A120" s="489"/>
    </row>
    <row r="121" spans="1:1">
      <c r="A121" s="489"/>
    </row>
    <row r="122" spans="1:1">
      <c r="A122" s="489"/>
    </row>
    <row r="123" spans="1:1">
      <c r="A123" s="489"/>
    </row>
    <row r="124" spans="1:1">
      <c r="A124" s="489"/>
    </row>
    <row r="125" spans="1:1">
      <c r="A125" s="489"/>
    </row>
    <row r="126" spans="1:1">
      <c r="A126" s="489"/>
    </row>
    <row r="127" spans="1:1">
      <c r="A127" s="489"/>
    </row>
    <row r="128" spans="1:1">
      <c r="A128" s="489"/>
    </row>
    <row r="129" spans="1:1">
      <c r="A129" s="489"/>
    </row>
    <row r="130" spans="1:1">
      <c r="A130" s="489"/>
    </row>
    <row r="131" spans="1:1">
      <c r="A131" s="489"/>
    </row>
    <row r="132" spans="1:1">
      <c r="A132" s="489"/>
    </row>
    <row r="133" spans="1:1">
      <c r="A133" s="489"/>
    </row>
    <row r="134" spans="1:1">
      <c r="A134" s="489"/>
    </row>
    <row r="135" spans="1:1">
      <c r="A135" s="489"/>
    </row>
    <row r="136" spans="1:1">
      <c r="A136" s="489"/>
    </row>
    <row r="137" spans="1:1">
      <c r="A137" s="489"/>
    </row>
    <row r="138" spans="1:1">
      <c r="A138" s="489"/>
    </row>
    <row r="139" spans="1:1">
      <c r="A139" s="489"/>
    </row>
    <row r="140" spans="1:1">
      <c r="A140" s="489"/>
    </row>
    <row r="141" spans="1:1">
      <c r="A141" s="489"/>
    </row>
    <row r="142" spans="1:1">
      <c r="A142" s="489"/>
    </row>
    <row r="143" spans="1:1">
      <c r="A143" s="489"/>
    </row>
    <row r="144" spans="1:1">
      <c r="A144" s="489"/>
    </row>
    <row r="145" spans="1:6">
      <c r="A145" s="489"/>
    </row>
    <row r="146" spans="1:6">
      <c r="A146" s="489"/>
    </row>
    <row r="147" spans="1:6">
      <c r="A147" s="489"/>
    </row>
    <row r="148" spans="1:6">
      <c r="A148" s="489"/>
    </row>
    <row r="149" spans="1:6">
      <c r="A149" s="489"/>
    </row>
    <row r="150" spans="1:6">
      <c r="A150" s="489"/>
    </row>
    <row r="151" spans="1:6">
      <c r="A151" s="489"/>
    </row>
    <row r="152" spans="1:6">
      <c r="A152" s="489"/>
      <c r="B152" s="59"/>
      <c r="C152" s="59"/>
      <c r="D152" s="59"/>
      <c r="E152" s="59"/>
      <c r="F152" s="59"/>
    </row>
    <row r="153" spans="1:6">
      <c r="A153" s="489"/>
      <c r="B153" s="59"/>
      <c r="C153" s="59"/>
      <c r="D153" s="59"/>
      <c r="E153" s="59"/>
      <c r="F153" s="59"/>
    </row>
    <row r="158" spans="1:6">
      <c r="A158" s="486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4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I42"/>
  <sheetViews>
    <sheetView zoomScale="80" zoomScaleNormal="80" workbookViewId="0">
      <selection activeCell="H40" sqref="H40"/>
    </sheetView>
  </sheetViews>
  <sheetFormatPr defaultColWidth="9.140625" defaultRowHeight="15.75"/>
  <cols>
    <col min="1" max="1" width="5.42578125" style="95" customWidth="1"/>
    <col min="2" max="2" width="45.140625" style="96" customWidth="1"/>
    <col min="3" max="3" width="19.85546875" style="96" customWidth="1"/>
    <col min="4" max="4" width="59.42578125" style="96" customWidth="1"/>
    <col min="5" max="5" width="5.425781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307</v>
      </c>
      <c r="C3" s="1308"/>
      <c r="D3" s="1308"/>
    </row>
    <row r="4" spans="1:9">
      <c r="B4" s="1308" t="s">
        <v>308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B8" s="1308" t="s">
        <v>285</v>
      </c>
      <c r="C8" s="1308"/>
      <c r="D8" s="1308"/>
    </row>
    <row r="9" spans="1:9">
      <c r="A9" s="105"/>
    </row>
    <row r="10" spans="1:9">
      <c r="A10" s="105"/>
      <c r="B10" s="451"/>
      <c r="C10" s="950" t="s">
        <v>286</v>
      </c>
      <c r="D10" s="955"/>
      <c r="E10" s="105"/>
    </row>
    <row r="11" spans="1:9">
      <c r="A11" s="105" t="s">
        <v>4</v>
      </c>
      <c r="B11" s="949"/>
      <c r="C11" s="102" t="s">
        <v>322</v>
      </c>
      <c r="D11" s="104"/>
      <c r="E11" s="105" t="s">
        <v>4</v>
      </c>
    </row>
    <row r="12" spans="1:9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9">
      <c r="A13" s="105"/>
      <c r="B13" s="951"/>
      <c r="C13" s="172"/>
      <c r="D13" s="178"/>
      <c r="E13" s="105"/>
    </row>
    <row r="14" spans="1:9">
      <c r="A14" s="105">
        <v>1</v>
      </c>
      <c r="B14" s="952" t="str">
        <f>"Dec-"&amp;RIGHT(Automation!$B$3-1,2)</f>
        <v>Dec-23</v>
      </c>
      <c r="C14" s="801">
        <v>76610.14694999998</v>
      </c>
      <c r="D14" s="143" t="str">
        <f>Automation!B3-1&amp;" Form 1; Page 200-201; Footnote Data (b)"</f>
        <v>2023 Form 1; Page 200-201; Footnote Data (b)</v>
      </c>
      <c r="E14" s="105">
        <f>A14</f>
        <v>1</v>
      </c>
      <c r="F14" s="112"/>
    </row>
    <row r="15" spans="1:9">
      <c r="A15" s="105">
        <f>A14+1</f>
        <v>2</v>
      </c>
      <c r="B15" s="953"/>
      <c r="C15" s="795"/>
      <c r="D15" s="116"/>
      <c r="E15" s="105">
        <f>E14+1</f>
        <v>2</v>
      </c>
    </row>
    <row r="16" spans="1:9">
      <c r="A16" s="105">
        <f t="shared" ref="A16:A20" si="0">A15+1</f>
        <v>3</v>
      </c>
      <c r="B16" s="952" t="str">
        <f>"Dec-"&amp;RIGHT(Automation!$B$3,2)</f>
        <v>Dec-24</v>
      </c>
      <c r="C16" s="800">
        <v>96781.857920000039</v>
      </c>
      <c r="D16" s="143" t="str">
        <f>Automation!B3&amp;" Form 1; Page 200-201; Footnote Data (b)"</f>
        <v>2024 Form 1; Page 200-201; Footnote Data (b)</v>
      </c>
      <c r="E16" s="105">
        <f t="shared" ref="E16:E20" si="1">E15+1</f>
        <v>3</v>
      </c>
      <c r="F16" s="112"/>
      <c r="H16" s="347"/>
      <c r="I16" s="141"/>
    </row>
    <row r="17" spans="1:6">
      <c r="A17" s="105">
        <f t="shared" si="0"/>
        <v>4</v>
      </c>
      <c r="B17" s="958"/>
      <c r="C17" s="1045"/>
      <c r="D17" s="1045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5">
        <f>(C14+C16)/2</f>
        <v>86696.002435000002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06"/>
      <c r="D20" s="988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>
      <c r="A23"/>
      <c r="B23"/>
      <c r="C23" s="122"/>
      <c r="D23" s="122"/>
      <c r="F23" s="112"/>
    </row>
    <row r="24" spans="1:6">
      <c r="A24"/>
      <c r="B24"/>
      <c r="C24" s="122"/>
      <c r="D24" s="122"/>
    </row>
    <row r="25" spans="1:6">
      <c r="A25"/>
      <c r="B25"/>
      <c r="C25" s="122"/>
      <c r="D25" s="122"/>
    </row>
    <row r="26" spans="1:6"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I41"/>
  <sheetViews>
    <sheetView zoomScale="80" zoomScaleNormal="80" workbookViewId="0">
      <selection activeCell="D37" sqref="D37"/>
    </sheetView>
  </sheetViews>
  <sheetFormatPr defaultColWidth="9.140625" defaultRowHeight="15.75"/>
  <cols>
    <col min="1" max="1" width="5.140625" style="95" customWidth="1"/>
    <col min="2" max="2" width="39" style="96" customWidth="1"/>
    <col min="3" max="3" width="22.42578125" style="96" customWidth="1"/>
    <col min="4" max="4" width="59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307</v>
      </c>
      <c r="C3" s="1308"/>
      <c r="D3" s="1308"/>
    </row>
    <row r="4" spans="1:9">
      <c r="B4" s="1308" t="s">
        <v>308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A8" s="105"/>
      <c r="B8" s="1308" t="s">
        <v>288</v>
      </c>
      <c r="C8" s="1308"/>
      <c r="D8" s="1308"/>
    </row>
    <row r="9" spans="1:9">
      <c r="A9" s="105"/>
      <c r="E9" s="105"/>
    </row>
    <row r="10" spans="1:9">
      <c r="A10" s="105"/>
      <c r="B10" s="451"/>
      <c r="C10" s="959" t="s">
        <v>286</v>
      </c>
      <c r="D10" s="955"/>
      <c r="E10" s="105"/>
    </row>
    <row r="11" spans="1:9">
      <c r="A11" s="105" t="s">
        <v>4</v>
      </c>
      <c r="B11" s="949"/>
      <c r="C11" s="102" t="s">
        <v>323</v>
      </c>
      <c r="D11" s="104"/>
      <c r="E11" s="105" t="s">
        <v>4</v>
      </c>
    </row>
    <row r="12" spans="1:9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9">
      <c r="A13" s="105"/>
      <c r="B13" s="951"/>
      <c r="C13" s="172"/>
      <c r="D13" s="178"/>
      <c r="E13" s="105"/>
    </row>
    <row r="14" spans="1:9">
      <c r="A14" s="105">
        <v>1</v>
      </c>
      <c r="B14" s="952" t="str">
        <f>"Dec-"&amp;RIGHT(Automation!$B$3-1,2)</f>
        <v>Dec-23</v>
      </c>
      <c r="C14" s="801">
        <v>268071.91264152038</v>
      </c>
      <c r="D14" s="143" t="str">
        <f>Automation!B3-1&amp;" Form 1; Page 200-201; Footnote Data (b)"</f>
        <v>2023 Form 1; Page 200-201; Footnote Data (b)</v>
      </c>
      <c r="E14" s="105">
        <f>A14</f>
        <v>1</v>
      </c>
      <c r="F14" s="112"/>
      <c r="H14" s="347"/>
      <c r="I14" s="1148"/>
    </row>
    <row r="15" spans="1:9">
      <c r="A15" s="105">
        <f>A14+1</f>
        <v>2</v>
      </c>
      <c r="B15" s="953"/>
      <c r="C15" s="795"/>
      <c r="D15" s="795"/>
      <c r="E15" s="105">
        <f>E14+1</f>
        <v>2</v>
      </c>
    </row>
    <row r="16" spans="1:9">
      <c r="A16" s="105">
        <f t="shared" ref="A16:A20" si="0">A15+1</f>
        <v>3</v>
      </c>
      <c r="B16" s="952" t="str">
        <f>"Dec-"&amp;RIGHT(Automation!$B$3,2)</f>
        <v>Dec-24</v>
      </c>
      <c r="C16" s="800">
        <v>295030.92501313915</v>
      </c>
      <c r="D16" s="143" t="str">
        <f>Automation!B3&amp;" Form 1; Page 200-201; Footnote Data (b)"</f>
        <v>2024 Form 1; Page 200-201; Footnote Data (b)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1053"/>
      <c r="C17" s="1059"/>
      <c r="D17" s="1043"/>
      <c r="E17" s="105">
        <f t="shared" si="1"/>
        <v>4</v>
      </c>
    </row>
    <row r="18" spans="1:6">
      <c r="A18" s="105">
        <f t="shared" si="0"/>
        <v>5</v>
      </c>
      <c r="B18" s="954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5">
        <f>(C14+C16)/2</f>
        <v>281551.41882732976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06"/>
      <c r="D20" s="988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 ht="18.75">
      <c r="A23" s="121"/>
      <c r="B23" s="122"/>
      <c r="C23" s="122"/>
      <c r="D23" s="122"/>
      <c r="F23" s="112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  <c r="F26" s="170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>
      <selection activeCell="G34" sqref="G34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307</v>
      </c>
      <c r="C3" s="1308"/>
      <c r="D3" s="1308"/>
      <c r="E3" s="1308"/>
    </row>
    <row r="4" spans="1:7">
      <c r="B4" s="1308" t="s">
        <v>308</v>
      </c>
      <c r="C4" s="1308"/>
      <c r="D4" s="1308"/>
      <c r="E4" s="1308"/>
    </row>
    <row r="5" spans="1:7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G5"/>
    </row>
    <row r="6" spans="1:7">
      <c r="B6" s="1312" t="s">
        <v>3</v>
      </c>
      <c r="C6" s="1312"/>
      <c r="D6" s="1312"/>
      <c r="E6" s="1312"/>
    </row>
    <row r="7" spans="1:7">
      <c r="B7" s="97"/>
      <c r="C7" s="97"/>
      <c r="D7" s="97"/>
      <c r="E7" s="97"/>
    </row>
    <row r="8" spans="1:7">
      <c r="B8" s="1308" t="s">
        <v>290</v>
      </c>
      <c r="C8" s="1308"/>
      <c r="D8" s="1308"/>
      <c r="E8" s="1308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956"/>
      <c r="E12" s="957"/>
      <c r="F12" s="105"/>
    </row>
    <row r="13" spans="1:7">
      <c r="A13" s="105">
        <v>1</v>
      </c>
      <c r="B13" s="952" t="str">
        <f>"Dec-"&amp;RIGHT(Automation!$B$3-1,2)</f>
        <v>Dec-23</v>
      </c>
      <c r="C13" s="952" t="s">
        <v>291</v>
      </c>
      <c r="D13" s="960">
        <v>1023506.296</v>
      </c>
      <c r="E13" s="793" t="str">
        <f>Automation!B3-1&amp;" Form 1; Page 356; Accts 303 to 398"</f>
        <v>2023 Form 1; Page 356; Accts 303 to 398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0.73899999999999999</v>
      </c>
      <c r="E14" s="459" t="str">
        <f>Automation!B3-1&amp;" Form 1; Page 356; Electric"</f>
        <v>2023 Form 1; Page 356; Electric</v>
      </c>
      <c r="F14" s="105">
        <f>F13+1</f>
        <v>2</v>
      </c>
    </row>
    <row r="15" spans="1:7">
      <c r="A15" s="105">
        <f t="shared" ref="A15:A23" si="0">A14+1</f>
        <v>3</v>
      </c>
      <c r="B15" s="952"/>
      <c r="C15" s="952" t="s">
        <v>324</v>
      </c>
      <c r="D15" s="452">
        <f>D13*D14</f>
        <v>756371.15274399996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2"/>
      <c r="C16" s="952"/>
      <c r="D16" s="452"/>
      <c r="E16" s="143"/>
      <c r="F16" s="105">
        <f t="shared" si="1"/>
        <v>4</v>
      </c>
    </row>
    <row r="17" spans="1:7">
      <c r="A17" s="105">
        <f t="shared" si="0"/>
        <v>5</v>
      </c>
      <c r="B17" s="952" t="str">
        <f>"Dec-"&amp;RIGHT(Automation!$B$3,2)</f>
        <v>Dec-24</v>
      </c>
      <c r="C17" s="952" t="s">
        <v>291</v>
      </c>
      <c r="D17" s="960">
        <v>1184707.0149999999</v>
      </c>
      <c r="E17" s="793" t="s">
        <v>1013</v>
      </c>
      <c r="F17" s="105">
        <f t="shared" si="1"/>
        <v>5</v>
      </c>
    </row>
    <row r="18" spans="1:7">
      <c r="A18" s="105">
        <f t="shared" si="0"/>
        <v>6</v>
      </c>
      <c r="B18" s="952"/>
      <c r="C18" s="952" t="s">
        <v>292</v>
      </c>
      <c r="D18" s="990">
        <v>0.73870000000000002</v>
      </c>
      <c r="E18" s="459" t="s">
        <v>1014</v>
      </c>
      <c r="F18" s="105">
        <f t="shared" si="1"/>
        <v>6</v>
      </c>
      <c r="G18" s="342"/>
    </row>
    <row r="19" spans="1:7">
      <c r="A19" s="105">
        <f t="shared" si="0"/>
        <v>7</v>
      </c>
      <c r="B19" s="952"/>
      <c r="C19" s="952" t="s">
        <v>324</v>
      </c>
      <c r="D19" s="452">
        <f>D17*D18</f>
        <v>875143.0719804999</v>
      </c>
      <c r="E19" s="143" t="str">
        <f>"Line "&amp;A17&amp;" x Line "&amp;A18</f>
        <v>Line 5 x Line 6</v>
      </c>
      <c r="F19" s="105">
        <f t="shared" si="1"/>
        <v>7</v>
      </c>
    </row>
    <row r="20" spans="1:7">
      <c r="A20" s="105">
        <f t="shared" si="0"/>
        <v>8</v>
      </c>
      <c r="B20" s="991"/>
      <c r="C20" s="989"/>
      <c r="D20" s="1060"/>
      <c r="E20" s="992"/>
      <c r="F20" s="105">
        <f t="shared" si="1"/>
        <v>8</v>
      </c>
    </row>
    <row r="21" spans="1:7">
      <c r="A21" s="105">
        <f t="shared" si="0"/>
        <v>9</v>
      </c>
      <c r="B21" s="451"/>
      <c r="D21" s="954"/>
      <c r="E21" s="116"/>
      <c r="F21" s="105">
        <f t="shared" si="1"/>
        <v>9</v>
      </c>
    </row>
    <row r="22" spans="1:7">
      <c r="A22" s="105">
        <f t="shared" si="0"/>
        <v>10</v>
      </c>
      <c r="B22" s="954" t="s">
        <v>236</v>
      </c>
      <c r="D22" s="179">
        <f>(D15+D19)/2</f>
        <v>815757.11236224999</v>
      </c>
      <c r="E22" s="144" t="str">
        <f>"Average of Line "&amp;A15&amp;" and Line "&amp;A19</f>
        <v>Average of Line 3 and Line 7</v>
      </c>
      <c r="F22" s="105">
        <f t="shared" si="1"/>
        <v>10</v>
      </c>
    </row>
    <row r="23" spans="1:7">
      <c r="A23" s="105">
        <f t="shared" si="0"/>
        <v>11</v>
      </c>
      <c r="B23" s="1053"/>
      <c r="C23" s="857"/>
      <c r="D23" s="1053"/>
      <c r="E23" s="1043"/>
      <c r="F23" s="105">
        <f t="shared" si="1"/>
        <v>11</v>
      </c>
    </row>
    <row r="24" spans="1:7">
      <c r="A24" s="105"/>
      <c r="B24" s="147"/>
      <c r="C24" s="147"/>
      <c r="D24" s="122"/>
      <c r="E24" s="122"/>
    </row>
    <row r="25" spans="1:7">
      <c r="B25" s="122"/>
      <c r="C25" s="122"/>
      <c r="D25" s="122"/>
      <c r="E25" s="122"/>
    </row>
    <row r="26" spans="1:7">
      <c r="B26" s="122"/>
      <c r="C26" s="122"/>
      <c r="D26" s="122"/>
      <c r="E26" s="122"/>
    </row>
    <row r="27" spans="1:7">
      <c r="B27" s="122"/>
      <c r="C27" s="122"/>
      <c r="D27" s="122"/>
      <c r="E27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zoomScale="80" zoomScaleNormal="80" zoomScalePageLayoutView="80" workbookViewId="0">
      <selection activeCell="E18" sqref="E18"/>
    </sheetView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17.5703125" style="191" bestFit="1" customWidth="1"/>
    <col min="10" max="10" width="1.5703125" style="191" customWidth="1"/>
    <col min="11" max="11" width="38.5703125" style="191" bestFit="1" customWidth="1"/>
    <col min="12" max="12" width="5.140625" style="191" customWidth="1"/>
    <col min="13" max="13" width="9.140625" style="191"/>
    <col min="14" max="14" width="20.42578125" style="191" bestFit="1" customWidth="1"/>
    <col min="15" max="16384" width="9.140625" style="191"/>
  </cols>
  <sheetData>
    <row r="1" spans="1:14">
      <c r="H1" s="211"/>
      <c r="I1" s="211"/>
      <c r="J1" s="211"/>
      <c r="K1" s="211"/>
      <c r="L1" s="211"/>
    </row>
    <row r="2" spans="1:14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  <c r="K2" s="1303"/>
      <c r="L2" s="211"/>
    </row>
    <row r="3" spans="1:14" ht="18.75">
      <c r="B3" s="1303" t="s">
        <v>862</v>
      </c>
      <c r="C3" s="1303"/>
      <c r="D3" s="1303"/>
      <c r="E3" s="1303"/>
      <c r="F3" s="1303"/>
      <c r="G3" s="1303"/>
      <c r="H3" s="1303"/>
      <c r="I3" s="1303"/>
      <c r="J3" s="1303"/>
      <c r="K3" s="1303"/>
      <c r="L3" s="211"/>
    </row>
    <row r="4" spans="1:14">
      <c r="B4" s="1303" t="s">
        <v>325</v>
      </c>
      <c r="C4" s="1303"/>
      <c r="D4" s="1303"/>
      <c r="E4" s="1303"/>
      <c r="F4" s="1303"/>
      <c r="G4" s="1303"/>
      <c r="H4" s="1303"/>
      <c r="I4" s="1303"/>
      <c r="J4" s="1303"/>
      <c r="K4" s="1303"/>
      <c r="L4" s="211"/>
    </row>
    <row r="5" spans="1:14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1305"/>
      <c r="I5" s="1305"/>
      <c r="J5" s="1305"/>
      <c r="K5" s="1305"/>
      <c r="L5" s="211"/>
      <c r="N5" s="342"/>
    </row>
    <row r="6" spans="1:14">
      <c r="B6" s="1301" t="s">
        <v>3</v>
      </c>
      <c r="C6" s="1314"/>
      <c r="D6" s="1314"/>
      <c r="E6" s="1314"/>
      <c r="F6" s="1314"/>
      <c r="G6" s="1314"/>
      <c r="H6" s="1314"/>
      <c r="I6" s="1314"/>
      <c r="J6" s="1314"/>
      <c r="K6" s="1314"/>
      <c r="L6" s="211"/>
    </row>
    <row r="7" spans="1:14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4">
      <c r="A8" s="211" t="s">
        <v>4</v>
      </c>
      <c r="B8" s="471"/>
      <c r="C8" s="211" t="s">
        <v>186</v>
      </c>
      <c r="D8" s="471"/>
      <c r="E8" s="341" t="s">
        <v>77</v>
      </c>
      <c r="F8" s="211"/>
      <c r="G8" s="341" t="s">
        <v>78</v>
      </c>
      <c r="H8" s="211"/>
      <c r="I8" s="341" t="s">
        <v>187</v>
      </c>
      <c r="J8" s="211"/>
      <c r="K8" s="211"/>
      <c r="L8" s="211" t="s">
        <v>4</v>
      </c>
    </row>
    <row r="9" spans="1:14">
      <c r="A9" s="211" t="s">
        <v>5</v>
      </c>
      <c r="C9" s="845" t="s">
        <v>188</v>
      </c>
      <c r="E9" s="858" t="str">
        <f>'Stmt AD'!E9</f>
        <v>31-Dec-23</v>
      </c>
      <c r="F9" s="95"/>
      <c r="G9" s="858" t="str">
        <f>'Stmt AD'!G9</f>
        <v>31-Dec-24</v>
      </c>
      <c r="H9" s="471"/>
      <c r="I9" s="862" t="s">
        <v>189</v>
      </c>
      <c r="J9" s="471"/>
      <c r="K9" s="845" t="s">
        <v>8</v>
      </c>
      <c r="L9" s="211" t="s">
        <v>5</v>
      </c>
    </row>
    <row r="10" spans="1:14">
      <c r="H10" s="211"/>
      <c r="I10" s="211"/>
      <c r="J10" s="211"/>
      <c r="K10" s="211"/>
      <c r="L10" s="211"/>
    </row>
    <row r="11" spans="1:14">
      <c r="A11" s="211">
        <v>1</v>
      </c>
      <c r="B11" s="191" t="s">
        <v>326</v>
      </c>
      <c r="E11" s="278">
        <f>'AF-1'!I16+'AF-1'!I32</f>
        <v>108813.76467133815</v>
      </c>
      <c r="F11" s="1211"/>
      <c r="G11" s="278">
        <f>'AF-2'!I16+'AF-2'!I32</f>
        <v>107179.00361143715</v>
      </c>
      <c r="H11" s="211"/>
      <c r="I11" s="310">
        <f>(E11+G11)/2</f>
        <v>107996.38414138765</v>
      </c>
      <c r="J11" s="211"/>
      <c r="K11" s="211" t="str">
        <f>"AF-1 and AF-2; Line "&amp;'AF-1'!A16&amp;" + Line "&amp;'AF-1'!A32&amp;"; Col. d"</f>
        <v>AF-1 and AF-2; Line 5 + Line 21; Col. d</v>
      </c>
      <c r="L11" s="211">
        <f>A11</f>
        <v>1</v>
      </c>
      <c r="N11" s="342"/>
    </row>
    <row r="12" spans="1:14">
      <c r="A12" s="211">
        <f>A11+1</f>
        <v>2</v>
      </c>
      <c r="H12" s="211"/>
      <c r="I12" s="211"/>
      <c r="J12" s="211"/>
      <c r="K12" s="211"/>
      <c r="L12" s="211">
        <f>L11+1</f>
        <v>2</v>
      </c>
    </row>
    <row r="13" spans="1:14" s="342" customFormat="1">
      <c r="A13" s="211">
        <f t="shared" ref="A13:A23" si="0">A12+1</f>
        <v>3</v>
      </c>
      <c r="B13" s="191" t="s">
        <v>327</v>
      </c>
      <c r="C13" s="191"/>
      <c r="D13" s="191"/>
      <c r="E13" s="477">
        <f>'AF-1'!I21+'AF-1'!I37</f>
        <v>-1242830.6906660157</v>
      </c>
      <c r="F13" s="1211"/>
      <c r="G13" s="477">
        <f>'AF-2'!I21+'AF-2'!I37</f>
        <v>-1260740.1767017967</v>
      </c>
      <c r="H13" s="211"/>
      <c r="I13" s="478">
        <f>(E13+G13)/2</f>
        <v>-1251785.4336839062</v>
      </c>
      <c r="J13" s="211"/>
      <c r="K13" s="211" t="str">
        <f>"AF-1 and AF-2; Line "&amp;'AF-1'!A21&amp;" + Line "&amp;'AF-1'!A37&amp;"; Col. d"</f>
        <v>AF-1 and AF-2; Line 10 + Line 26; Col. d</v>
      </c>
      <c r="L13" s="211">
        <f t="shared" ref="L13:L23" si="1">L12+1</f>
        <v>3</v>
      </c>
      <c r="M13" s="191"/>
    </row>
    <row r="14" spans="1:14" s="342" customFormat="1">
      <c r="A14" s="211">
        <f t="shared" si="0"/>
        <v>4</v>
      </c>
      <c r="B14" s="191"/>
      <c r="C14" s="191"/>
      <c r="D14" s="191"/>
      <c r="E14" s="191"/>
      <c r="F14" s="191"/>
      <c r="G14" s="191"/>
      <c r="H14" s="211"/>
      <c r="I14" s="211"/>
      <c r="J14" s="211"/>
      <c r="K14" s="4"/>
      <c r="L14" s="211">
        <f t="shared" si="1"/>
        <v>4</v>
      </c>
    </row>
    <row r="15" spans="1:14" s="342" customFormat="1">
      <c r="A15" s="211">
        <f t="shared" si="0"/>
        <v>5</v>
      </c>
      <c r="B15" s="191" t="s">
        <v>328</v>
      </c>
      <c r="C15" s="191"/>
      <c r="D15" s="191"/>
      <c r="E15" s="863">
        <f>'AF-1'!I26+'AF-1'!I42</f>
        <v>-9530.1858252439943</v>
      </c>
      <c r="F15" s="191"/>
      <c r="G15" s="863">
        <f>'AF-2'!I26+'AF-2'!I42</f>
        <v>-10383.075545153648</v>
      </c>
      <c r="H15" s="211"/>
      <c r="I15" s="864">
        <f>(E15+G15)/2</f>
        <v>-9956.6306851988211</v>
      </c>
      <c r="J15" s="211"/>
      <c r="K15" s="211" t="str">
        <f>"AF-1 and AF-2; Line "&amp;'AF-1'!A26&amp;" + Line "&amp;'AF-1'!A42&amp;"; Col. d"</f>
        <v>AF-1 and AF-2; Line 15 + Line 31; Col. d</v>
      </c>
      <c r="L15" s="211">
        <f t="shared" si="1"/>
        <v>5</v>
      </c>
      <c r="M15" s="191"/>
      <c r="N15" s="191"/>
    </row>
    <row r="16" spans="1:14">
      <c r="A16" s="211">
        <f t="shared" si="0"/>
        <v>6</v>
      </c>
      <c r="B16" s="3"/>
      <c r="E16" s="310"/>
      <c r="F16" s="310"/>
      <c r="G16" s="310"/>
      <c r="I16" s="310"/>
      <c r="J16" s="211"/>
      <c r="K16" s="4"/>
      <c r="L16" s="211">
        <f t="shared" si="1"/>
        <v>6</v>
      </c>
    </row>
    <row r="17" spans="1:12" ht="19.5" thickBot="1">
      <c r="A17" s="211">
        <f t="shared" si="0"/>
        <v>7</v>
      </c>
      <c r="B17" s="3" t="s">
        <v>863</v>
      </c>
      <c r="C17" s="211"/>
      <c r="E17" s="343">
        <f>SUM(E11:E15)</f>
        <v>-1143547.1118199215</v>
      </c>
      <c r="F17" s="1211"/>
      <c r="G17" s="343">
        <f>SUM(G11:G15)</f>
        <v>-1163944.2486355132</v>
      </c>
      <c r="H17" s="344"/>
      <c r="I17" s="343">
        <f>SUM(I11:I15)</f>
        <v>-1153745.6802277174</v>
      </c>
      <c r="J17" s="211"/>
      <c r="K17" s="5" t="str">
        <f>"Sum Lines "&amp;A11&amp;" thru "&amp;A15</f>
        <v>Sum Lines 1 thru 5</v>
      </c>
      <c r="L17" s="211">
        <f t="shared" si="1"/>
        <v>7</v>
      </c>
    </row>
    <row r="18" spans="1:12" ht="16.5" thickTop="1">
      <c r="A18" s="211">
        <f t="shared" si="0"/>
        <v>8</v>
      </c>
      <c r="J18" s="211"/>
      <c r="K18" s="4"/>
      <c r="L18" s="211">
        <f t="shared" si="1"/>
        <v>8</v>
      </c>
    </row>
    <row r="19" spans="1:12" ht="16.5" thickBot="1">
      <c r="A19" s="211">
        <f t="shared" si="0"/>
        <v>9</v>
      </c>
      <c r="B19" s="3" t="s">
        <v>329</v>
      </c>
      <c r="E19" s="756">
        <v>0</v>
      </c>
      <c r="G19" s="756">
        <v>0</v>
      </c>
      <c r="I19" s="746">
        <f>(E19+G19)/2</f>
        <v>0</v>
      </c>
      <c r="J19" s="211"/>
      <c r="K19" s="211" t="s">
        <v>303</v>
      </c>
      <c r="L19" s="211">
        <f t="shared" si="1"/>
        <v>9</v>
      </c>
    </row>
    <row r="20" spans="1:12" ht="16.5" thickTop="1">
      <c r="A20" s="211">
        <f t="shared" si="0"/>
        <v>10</v>
      </c>
      <c r="B20" s="3"/>
      <c r="I20" s="210"/>
      <c r="J20" s="211"/>
      <c r="K20" s="4"/>
      <c r="L20" s="211">
        <f t="shared" si="1"/>
        <v>10</v>
      </c>
    </row>
    <row r="21" spans="1:12" ht="16.5" thickBot="1">
      <c r="A21" s="211">
        <f t="shared" si="0"/>
        <v>11</v>
      </c>
      <c r="B21" s="3" t="s">
        <v>330</v>
      </c>
      <c r="E21" s="345">
        <f>'AF-1'!I45</f>
        <v>0</v>
      </c>
      <c r="F21" s="346"/>
      <c r="G21" s="345">
        <f>'AF-2'!I45</f>
        <v>0</v>
      </c>
      <c r="H21" s="347"/>
      <c r="I21" s="746">
        <f>(E21+G21)/2</f>
        <v>0</v>
      </c>
      <c r="K21" s="211" t="str">
        <f>"AF-1 and AF-2; Line "&amp;'AF-1'!A45&amp;"; Col. d"</f>
        <v>AF-1 and AF-2; Line 34; Col. d</v>
      </c>
      <c r="L21" s="211">
        <f t="shared" si="1"/>
        <v>11</v>
      </c>
    </row>
    <row r="22" spans="1:12" ht="16.5" thickTop="1">
      <c r="A22" s="211">
        <f t="shared" si="0"/>
        <v>12</v>
      </c>
      <c r="B22" s="3"/>
      <c r="E22" s="501"/>
      <c r="F22" s="745"/>
      <c r="G22" s="501"/>
      <c r="H22" s="347"/>
      <c r="I22" s="210"/>
      <c r="K22" s="4"/>
      <c r="L22" s="211">
        <f t="shared" si="1"/>
        <v>12</v>
      </c>
    </row>
    <row r="23" spans="1:12" ht="16.5" thickBot="1">
      <c r="A23" s="211">
        <f t="shared" si="0"/>
        <v>13</v>
      </c>
      <c r="B23" s="3" t="s">
        <v>331</v>
      </c>
      <c r="E23" s="756">
        <v>0</v>
      </c>
      <c r="F23" s="346"/>
      <c r="G23" s="756">
        <v>0</v>
      </c>
      <c r="H23" s="347"/>
      <c r="I23" s="746">
        <f>(E23+G23)/2</f>
        <v>0</v>
      </c>
      <c r="K23" s="211" t="s">
        <v>303</v>
      </c>
      <c r="L23" s="211">
        <f t="shared" si="1"/>
        <v>13</v>
      </c>
    </row>
    <row r="24" spans="1:12" ht="16.5" thickTop="1">
      <c r="L24" s="211"/>
    </row>
    <row r="25" spans="1:12">
      <c r="L25" s="211"/>
    </row>
    <row r="26" spans="1:12">
      <c r="A26" s="1211"/>
      <c r="B26" s="1213"/>
    </row>
    <row r="27" spans="1:12" ht="18.75">
      <c r="A27" s="306">
        <v>1</v>
      </c>
      <c r="B27" s="3" t="s">
        <v>332</v>
      </c>
    </row>
    <row r="28" spans="1:12" ht="18.75">
      <c r="A28" s="306">
        <v>2</v>
      </c>
      <c r="B28" s="191" t="s">
        <v>968</v>
      </c>
    </row>
    <row r="29" spans="1:12">
      <c r="A29" s="191"/>
      <c r="B29" s="349" t="s">
        <v>969</v>
      </c>
    </row>
    <row r="30" spans="1:12">
      <c r="B30" s="34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Roman,Regular"&amp;10AF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zoomScale="80" zoomScaleNormal="80" zoomScaleSheetLayoutView="70" workbookViewId="0">
      <selection activeCell="B5" sqref="B5:K5"/>
    </sheetView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2" style="191" bestFit="1" customWidth="1"/>
    <col min="11" max="11" width="62.5703125" style="191" customWidth="1"/>
    <col min="12" max="12" width="5.42578125" style="211" customWidth="1"/>
    <col min="13" max="16384" width="8.5703125" style="191"/>
  </cols>
  <sheetData>
    <row r="2" spans="1:14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  <c r="K2" s="1303"/>
    </row>
    <row r="3" spans="1:14">
      <c r="B3" s="1303" t="s">
        <v>333</v>
      </c>
      <c r="C3" s="1303"/>
      <c r="D3" s="1303"/>
      <c r="E3" s="1303"/>
      <c r="F3" s="1303"/>
      <c r="G3" s="1303"/>
      <c r="H3" s="1303"/>
      <c r="I3" s="1303"/>
      <c r="J3" s="1303"/>
      <c r="K3" s="1303"/>
    </row>
    <row r="4" spans="1:14">
      <c r="B4" s="1303" t="s">
        <v>334</v>
      </c>
      <c r="C4" s="1303"/>
      <c r="D4" s="1303"/>
      <c r="E4" s="1303"/>
      <c r="F4" s="1303"/>
      <c r="G4" s="1303"/>
      <c r="H4" s="1303"/>
      <c r="I4" s="1303"/>
      <c r="J4" s="1303"/>
      <c r="K4" s="1303"/>
    </row>
    <row r="5" spans="1:14">
      <c r="B5" s="1303" t="str">
        <f>"Base Period 12 Months Ending December 31, "&amp;Automation!$B$3-1</f>
        <v>Base Period 12 Months Ending December 31, 2023</v>
      </c>
      <c r="C5" s="1303"/>
      <c r="D5" s="1303"/>
      <c r="E5" s="1303"/>
      <c r="F5" s="1303"/>
      <c r="G5" s="1303"/>
      <c r="H5" s="1303"/>
      <c r="I5" s="1303"/>
      <c r="J5" s="1303"/>
      <c r="K5" s="1303"/>
      <c r="N5" s="342"/>
    </row>
    <row r="6" spans="1:14" ht="15.75" customHeight="1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  <c r="K6" s="1301"/>
    </row>
    <row r="8" spans="1:14">
      <c r="B8" s="210"/>
      <c r="C8" s="596" t="s">
        <v>77</v>
      </c>
      <c r="D8" s="596"/>
      <c r="E8" s="596" t="s">
        <v>78</v>
      </c>
      <c r="F8" s="596"/>
      <c r="G8" s="596" t="s">
        <v>335</v>
      </c>
      <c r="H8" s="596"/>
      <c r="I8" s="596" t="s">
        <v>336</v>
      </c>
      <c r="J8" s="596"/>
      <c r="K8" s="596"/>
    </row>
    <row r="9" spans="1:14">
      <c r="A9" s="211" t="s">
        <v>4</v>
      </c>
      <c r="B9" s="210"/>
      <c r="C9" s="596" t="s">
        <v>337</v>
      </c>
      <c r="D9" s="596"/>
      <c r="E9" s="596" t="s">
        <v>338</v>
      </c>
      <c r="F9" s="596"/>
      <c r="G9" s="596" t="s">
        <v>338</v>
      </c>
      <c r="H9" s="596"/>
      <c r="I9" s="596"/>
      <c r="J9" s="596"/>
      <c r="K9" s="596"/>
      <c r="L9" s="211" t="s">
        <v>4</v>
      </c>
    </row>
    <row r="10" spans="1:14">
      <c r="A10" s="211" t="s">
        <v>5</v>
      </c>
      <c r="B10" s="865" t="s">
        <v>258</v>
      </c>
      <c r="C10" s="866" t="s">
        <v>339</v>
      </c>
      <c r="D10" s="866"/>
      <c r="E10" s="866" t="s">
        <v>340</v>
      </c>
      <c r="F10" s="866"/>
      <c r="G10" s="866" t="s">
        <v>341</v>
      </c>
      <c r="H10" s="866"/>
      <c r="I10" s="865" t="s">
        <v>80</v>
      </c>
      <c r="J10" s="1212"/>
      <c r="K10" s="865" t="s">
        <v>8</v>
      </c>
      <c r="L10" s="211" t="s">
        <v>5</v>
      </c>
    </row>
    <row r="11" spans="1:14">
      <c r="B11" s="210"/>
      <c r="C11" s="723"/>
      <c r="D11" s="723"/>
      <c r="E11" s="723"/>
      <c r="F11" s="723"/>
      <c r="G11" s="723"/>
      <c r="H11" s="723"/>
      <c r="I11" s="409"/>
      <c r="J11" s="409"/>
      <c r="K11" s="409"/>
    </row>
    <row r="12" spans="1:14">
      <c r="A12" s="211">
        <v>1</v>
      </c>
      <c r="B12" s="349" t="s">
        <v>342</v>
      </c>
      <c r="C12" s="724"/>
      <c r="D12" s="724"/>
      <c r="E12" s="724"/>
      <c r="F12" s="724"/>
      <c r="G12" s="724"/>
      <c r="H12" s="724"/>
      <c r="I12" s="409"/>
      <c r="J12" s="409"/>
      <c r="K12" s="409"/>
      <c r="L12" s="211">
        <f>A12</f>
        <v>1</v>
      </c>
      <c r="N12" s="342"/>
    </row>
    <row r="13" spans="1:14">
      <c r="A13" s="211">
        <f>A12+1</f>
        <v>2</v>
      </c>
      <c r="B13" s="349" t="s">
        <v>343</v>
      </c>
      <c r="C13" s="401">
        <v>1005.4392196015013</v>
      </c>
      <c r="D13" s="1211"/>
      <c r="E13" s="401">
        <v>0</v>
      </c>
      <c r="F13" s="401"/>
      <c r="G13" s="401">
        <v>0</v>
      </c>
      <c r="H13" s="725"/>
      <c r="I13" s="310">
        <f>SUM(C13:G13)</f>
        <v>1005.4392196015013</v>
      </c>
      <c r="J13" s="1211"/>
      <c r="K13" s="331" t="s">
        <v>1020</v>
      </c>
      <c r="L13" s="211">
        <f>L12+1</f>
        <v>2</v>
      </c>
    </row>
    <row r="14" spans="1:14">
      <c r="A14" s="211">
        <f t="shared" ref="A14:A45" si="0">A13+1</f>
        <v>3</v>
      </c>
      <c r="B14" s="349" t="s">
        <v>344</v>
      </c>
      <c r="C14" s="417">
        <v>149.64704988309055</v>
      </c>
      <c r="D14" s="417"/>
      <c r="E14" s="417">
        <v>0</v>
      </c>
      <c r="F14" s="417"/>
      <c r="G14" s="417">
        <v>0</v>
      </c>
      <c r="H14" s="417"/>
      <c r="I14" s="150">
        <f>SUM(C14:G14)</f>
        <v>149.64704988309055</v>
      </c>
      <c r="J14" s="150"/>
      <c r="K14" s="331" t="s">
        <v>1020</v>
      </c>
      <c r="L14" s="211">
        <f t="shared" ref="L14:L45" si="1">L13+1</f>
        <v>3</v>
      </c>
    </row>
    <row r="15" spans="1:14">
      <c r="A15" s="211">
        <f t="shared" si="0"/>
        <v>4</v>
      </c>
      <c r="B15" s="349" t="s">
        <v>345</v>
      </c>
      <c r="C15" s="417">
        <v>0</v>
      </c>
      <c r="D15" s="417"/>
      <c r="E15" s="417">
        <v>102382.34081987418</v>
      </c>
      <c r="F15" s="417"/>
      <c r="G15" s="417">
        <v>0</v>
      </c>
      <c r="H15" s="417"/>
      <c r="I15" s="150">
        <f>SUM(C15:G15)</f>
        <v>102382.34081987418</v>
      </c>
      <c r="J15" s="150"/>
      <c r="K15" s="331" t="s">
        <v>1020</v>
      </c>
      <c r="L15" s="211">
        <f t="shared" si="1"/>
        <v>4</v>
      </c>
      <c r="N15" s="342"/>
    </row>
    <row r="16" spans="1:14" ht="16.5" thickBot="1">
      <c r="A16" s="211">
        <f t="shared" si="0"/>
        <v>5</v>
      </c>
      <c r="B16" s="394" t="s">
        <v>346</v>
      </c>
      <c r="C16" s="1061">
        <f>SUM(C13:C15)</f>
        <v>1155.0862694845919</v>
      </c>
      <c r="D16" s="1211"/>
      <c r="E16" s="1061">
        <f>SUM(E13:E15)</f>
        <v>102382.34081987418</v>
      </c>
      <c r="F16" s="258"/>
      <c r="G16" s="1061">
        <f>SUM(G13:G15)</f>
        <v>0</v>
      </c>
      <c r="H16" s="150"/>
      <c r="I16" s="1061">
        <f>SUM(I13:I15)</f>
        <v>103537.42708935877</v>
      </c>
      <c r="J16" s="1211"/>
      <c r="K16" s="726" t="str">
        <f>"Sum Lines "&amp;A13&amp;" thru "&amp;A15</f>
        <v>Sum Lines 2 thru 4</v>
      </c>
      <c r="L16" s="211">
        <f t="shared" si="1"/>
        <v>5</v>
      </c>
    </row>
    <row r="17" spans="1:14" ht="16.5" thickTop="1">
      <c r="A17" s="211">
        <f t="shared" si="0"/>
        <v>6</v>
      </c>
      <c r="C17" s="727"/>
      <c r="D17" s="727"/>
      <c r="E17" s="727"/>
      <c r="F17" s="727"/>
      <c r="G17" s="727"/>
      <c r="H17" s="727"/>
      <c r="I17" s="727"/>
      <c r="J17" s="727"/>
      <c r="K17" s="727"/>
      <c r="L17" s="211">
        <f t="shared" si="1"/>
        <v>6</v>
      </c>
    </row>
    <row r="18" spans="1:14">
      <c r="A18" s="211">
        <f t="shared" si="0"/>
        <v>7</v>
      </c>
      <c r="B18" s="349" t="s">
        <v>347</v>
      </c>
      <c r="C18" s="724"/>
      <c r="D18" s="724"/>
      <c r="E18" s="724"/>
      <c r="F18" s="724"/>
      <c r="G18" s="724"/>
      <c r="H18" s="724"/>
      <c r="I18" s="409"/>
      <c r="J18" s="409"/>
      <c r="K18" s="409"/>
      <c r="L18" s="211">
        <f t="shared" si="1"/>
        <v>7</v>
      </c>
    </row>
    <row r="19" spans="1:14">
      <c r="A19" s="211">
        <f t="shared" si="0"/>
        <v>8</v>
      </c>
      <c r="B19" s="728" t="s">
        <v>348</v>
      </c>
      <c r="C19" s="310">
        <v>-872111.19599224033</v>
      </c>
      <c r="D19" s="1211"/>
      <c r="E19" s="310">
        <v>-361227.02089163283</v>
      </c>
      <c r="F19" s="310"/>
      <c r="G19" s="310">
        <v>8733.5614222332879</v>
      </c>
      <c r="H19" s="310"/>
      <c r="I19" s="310">
        <f>SUM(C19:G19)</f>
        <v>-1224604.6554616399</v>
      </c>
      <c r="J19" s="1211"/>
      <c r="K19" s="1203" t="s">
        <v>1022</v>
      </c>
      <c r="L19" s="211">
        <f t="shared" si="1"/>
        <v>8</v>
      </c>
      <c r="N19" s="342"/>
    </row>
    <row r="20" spans="1:14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150"/>
      <c r="L20" s="211">
        <f t="shared" si="1"/>
        <v>9</v>
      </c>
    </row>
    <row r="21" spans="1:14" ht="16.5" thickBot="1">
      <c r="A21" s="211">
        <f t="shared" si="0"/>
        <v>10</v>
      </c>
      <c r="B21" s="394" t="s">
        <v>349</v>
      </c>
      <c r="C21" s="1061">
        <f>SUM(C19:C20)</f>
        <v>-872111.19599224033</v>
      </c>
      <c r="D21" s="1211"/>
      <c r="E21" s="1061">
        <f>SUM(E19:E20)</f>
        <v>-361227.02089163283</v>
      </c>
      <c r="F21" s="258"/>
      <c r="G21" s="1061">
        <f>SUM(G19:G20)</f>
        <v>8733.5614222332879</v>
      </c>
      <c r="H21" s="150"/>
      <c r="I21" s="1061">
        <f>SUM(I19:I20)</f>
        <v>-1224604.6554616399</v>
      </c>
      <c r="J21" s="1211"/>
      <c r="K21" s="726" t="str">
        <f>"Sum Lines "&amp;A19&amp;" thru "&amp;A20</f>
        <v>Sum Lines 8 thru 9</v>
      </c>
      <c r="L21" s="211">
        <f t="shared" si="1"/>
        <v>10</v>
      </c>
    </row>
    <row r="22" spans="1:14" ht="16.5" thickTop="1">
      <c r="A22" s="211">
        <f t="shared" si="0"/>
        <v>11</v>
      </c>
      <c r="L22" s="211">
        <f t="shared" si="1"/>
        <v>11</v>
      </c>
    </row>
    <row r="23" spans="1:14">
      <c r="A23" s="211">
        <f t="shared" si="0"/>
        <v>12</v>
      </c>
      <c r="B23" s="349" t="s">
        <v>350</v>
      </c>
      <c r="C23" s="724"/>
      <c r="D23" s="724"/>
      <c r="E23" s="724"/>
      <c r="F23" s="724"/>
      <c r="G23" s="724"/>
      <c r="H23" s="724"/>
      <c r="I23" s="409"/>
      <c r="J23" s="409"/>
      <c r="K23" s="211"/>
      <c r="L23" s="211">
        <f t="shared" si="1"/>
        <v>12</v>
      </c>
    </row>
    <row r="24" spans="1:14">
      <c r="A24" s="211">
        <f t="shared" si="0"/>
        <v>13</v>
      </c>
      <c r="B24" s="349" t="s">
        <v>351</v>
      </c>
      <c r="C24" s="401">
        <v>-9530.1858252439943</v>
      </c>
      <c r="D24" s="401"/>
      <c r="E24" s="401">
        <v>0</v>
      </c>
      <c r="F24" s="401"/>
      <c r="G24" s="401">
        <v>0</v>
      </c>
      <c r="H24" s="725"/>
      <c r="I24" s="310">
        <f>SUM(C24:G24)</f>
        <v>-9530.1858252439943</v>
      </c>
      <c r="J24" s="310"/>
      <c r="K24" s="331" t="s">
        <v>1021</v>
      </c>
      <c r="L24" s="211">
        <f t="shared" si="1"/>
        <v>13</v>
      </c>
    </row>
    <row r="25" spans="1:14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150"/>
      <c r="L25" s="211">
        <f t="shared" si="1"/>
        <v>14</v>
      </c>
    </row>
    <row r="26" spans="1:14" ht="16.5" thickBot="1">
      <c r="A26" s="211">
        <f t="shared" si="0"/>
        <v>15</v>
      </c>
      <c r="B26" s="394" t="s">
        <v>352</v>
      </c>
      <c r="C26" s="1061">
        <f>SUM(C24:C25)</f>
        <v>-9530.1858252439943</v>
      </c>
      <c r="D26" s="150"/>
      <c r="E26" s="1061">
        <f>SUM(E24:E25)</f>
        <v>0</v>
      </c>
      <c r="F26" s="258"/>
      <c r="G26" s="1061">
        <f>SUM(G24:G25)</f>
        <v>0</v>
      </c>
      <c r="H26" s="150"/>
      <c r="I26" s="1061">
        <f>SUM(I24:I25)</f>
        <v>-9530.1858252439943</v>
      </c>
      <c r="J26" s="258"/>
      <c r="K26" s="726" t="str">
        <f>"Sum Lines "&amp;A24&amp;" thru "&amp;A25</f>
        <v>Sum Lines 13 thru 14</v>
      </c>
      <c r="L26" s="211">
        <f t="shared" si="1"/>
        <v>15</v>
      </c>
    </row>
    <row r="27" spans="1:14" ht="17.25" thickTop="1" thickBot="1">
      <c r="A27" s="211">
        <f t="shared" si="0"/>
        <v>16</v>
      </c>
      <c r="B27" s="867"/>
      <c r="C27" s="867"/>
      <c r="D27" s="867"/>
      <c r="E27" s="867"/>
      <c r="F27" s="867"/>
      <c r="G27" s="867"/>
      <c r="H27" s="867"/>
      <c r="I27" s="867"/>
      <c r="J27" s="867"/>
      <c r="K27" s="867"/>
      <c r="L27" s="211">
        <f t="shared" si="1"/>
        <v>16</v>
      </c>
    </row>
    <row r="28" spans="1:14">
      <c r="A28" s="211">
        <f t="shared" si="0"/>
        <v>17</v>
      </c>
      <c r="L28" s="211">
        <f t="shared" si="1"/>
        <v>17</v>
      </c>
    </row>
    <row r="29" spans="1:14">
      <c r="A29" s="211">
        <f t="shared" si="0"/>
        <v>18</v>
      </c>
      <c r="B29" s="349" t="s">
        <v>866</v>
      </c>
      <c r="C29" s="724"/>
      <c r="D29" s="724"/>
      <c r="E29" s="724"/>
      <c r="F29" s="724"/>
      <c r="G29" s="724"/>
      <c r="H29" s="724"/>
      <c r="I29" s="409"/>
      <c r="J29" s="409"/>
      <c r="K29" s="409"/>
      <c r="L29" s="211">
        <f t="shared" si="1"/>
        <v>18</v>
      </c>
    </row>
    <row r="30" spans="1:14">
      <c r="A30" s="211">
        <f t="shared" si="0"/>
        <v>19</v>
      </c>
      <c r="B30" s="349" t="s">
        <v>345</v>
      </c>
      <c r="C30" s="401">
        <v>0</v>
      </c>
      <c r="D30" s="401"/>
      <c r="E30" s="401">
        <v>5276.3375819793873</v>
      </c>
      <c r="F30" s="401"/>
      <c r="G30" s="401">
        <v>0</v>
      </c>
      <c r="H30" s="401"/>
      <c r="I30" s="310">
        <f>SUM(C30:G30)</f>
        <v>5276.3375819793873</v>
      </c>
      <c r="J30" s="310"/>
      <c r="K30" s="331" t="s">
        <v>1020</v>
      </c>
      <c r="L30" s="211">
        <f t="shared" si="1"/>
        <v>19</v>
      </c>
      <c r="N30" s="342"/>
    </row>
    <row r="31" spans="1:14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150"/>
      <c r="L31" s="211">
        <f t="shared" si="1"/>
        <v>20</v>
      </c>
    </row>
    <row r="32" spans="1:14" ht="16.5" thickBot="1">
      <c r="A32" s="211">
        <f t="shared" si="0"/>
        <v>21</v>
      </c>
      <c r="B32" s="394" t="s">
        <v>346</v>
      </c>
      <c r="C32" s="1061">
        <f>SUM(C30:C31)</f>
        <v>0</v>
      </c>
      <c r="D32" s="150"/>
      <c r="E32" s="1061">
        <f>SUM(E30:E31)</f>
        <v>5276.3375819793873</v>
      </c>
      <c r="F32" s="258"/>
      <c r="G32" s="1061">
        <f>SUM(G30:G31)</f>
        <v>0</v>
      </c>
      <c r="H32" s="150"/>
      <c r="I32" s="1061">
        <f>SUM(I30:I31)</f>
        <v>5276.3375819793873</v>
      </c>
      <c r="J32" s="258"/>
      <c r="K32" s="726" t="str">
        <f>"Sum Lines "&amp;A30&amp;" thru "&amp;A31</f>
        <v>Sum Lines 19 thru 20</v>
      </c>
      <c r="L32" s="211">
        <f t="shared" si="1"/>
        <v>21</v>
      </c>
    </row>
    <row r="33" spans="1:14" ht="16.5" thickTop="1">
      <c r="A33" s="211">
        <f t="shared" si="0"/>
        <v>22</v>
      </c>
      <c r="C33" s="727"/>
      <c r="D33" s="727"/>
      <c r="E33" s="727"/>
      <c r="F33" s="727"/>
      <c r="G33" s="727"/>
      <c r="H33" s="727"/>
      <c r="I33" s="727"/>
      <c r="J33" s="727"/>
      <c r="K33" s="727"/>
      <c r="L33" s="211">
        <f t="shared" si="1"/>
        <v>22</v>
      </c>
    </row>
    <row r="34" spans="1:14">
      <c r="A34" s="211">
        <f t="shared" si="0"/>
        <v>23</v>
      </c>
      <c r="B34" s="349" t="s">
        <v>867</v>
      </c>
      <c r="C34" s="724"/>
      <c r="D34" s="724"/>
      <c r="E34" s="724"/>
      <c r="F34" s="724"/>
      <c r="G34" s="724"/>
      <c r="H34" s="724"/>
      <c r="I34" s="409"/>
      <c r="J34" s="409"/>
      <c r="K34" s="409"/>
      <c r="L34" s="211">
        <f t="shared" si="1"/>
        <v>23</v>
      </c>
    </row>
    <row r="35" spans="1:14">
      <c r="A35" s="211">
        <f t="shared" si="0"/>
        <v>24</v>
      </c>
      <c r="B35" s="728" t="s">
        <v>348</v>
      </c>
      <c r="C35" s="401">
        <v>-10450.502286008399</v>
      </c>
      <c r="D35" s="401"/>
      <c r="E35" s="401">
        <v>-7775.5329183673484</v>
      </c>
      <c r="F35" s="401"/>
      <c r="G35" s="401">
        <v>0</v>
      </c>
      <c r="H35" s="310"/>
      <c r="I35" s="310">
        <f>SUM(C35:G35)</f>
        <v>-18226.035204375748</v>
      </c>
      <c r="J35" s="310"/>
      <c r="K35" s="331" t="s">
        <v>1019</v>
      </c>
      <c r="L35" s="211">
        <f t="shared" si="1"/>
        <v>24</v>
      </c>
      <c r="N35" s="342"/>
    </row>
    <row r="36" spans="1:14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150"/>
      <c r="L36" s="211">
        <f t="shared" si="1"/>
        <v>25</v>
      </c>
    </row>
    <row r="37" spans="1:14" ht="16.5" thickBot="1">
      <c r="A37" s="211">
        <f t="shared" si="0"/>
        <v>26</v>
      </c>
      <c r="B37" s="394" t="s">
        <v>349</v>
      </c>
      <c r="C37" s="1061">
        <f>SUM(C35:C36)</f>
        <v>-10450.502286008399</v>
      </c>
      <c r="D37" s="150"/>
      <c r="E37" s="1061">
        <f>SUM(E35:E36)</f>
        <v>-7775.5329183673484</v>
      </c>
      <c r="F37" s="258"/>
      <c r="G37" s="1061">
        <f>SUM(G35:G36)</f>
        <v>0</v>
      </c>
      <c r="H37" s="150"/>
      <c r="I37" s="1061">
        <f>SUM(I35:I36)</f>
        <v>-18226.035204375748</v>
      </c>
      <c r="J37" s="258"/>
      <c r="K37" s="726" t="str">
        <f>"Sum Lines "&amp;A35&amp;" thru "&amp;A36</f>
        <v>Sum Lines 24 thru 25</v>
      </c>
      <c r="L37" s="211">
        <f t="shared" si="1"/>
        <v>26</v>
      </c>
    </row>
    <row r="38" spans="1:14" ht="16.5" thickTop="1">
      <c r="A38" s="211">
        <f t="shared" si="0"/>
        <v>27</v>
      </c>
      <c r="L38" s="211">
        <f t="shared" si="1"/>
        <v>27</v>
      </c>
    </row>
    <row r="39" spans="1:14">
      <c r="A39" s="211">
        <f t="shared" si="0"/>
        <v>28</v>
      </c>
      <c r="B39" s="349" t="s">
        <v>868</v>
      </c>
      <c r="C39" s="724"/>
      <c r="D39" s="724"/>
      <c r="E39" s="724"/>
      <c r="F39" s="724"/>
      <c r="G39" s="724"/>
      <c r="H39" s="724"/>
      <c r="I39" s="409"/>
      <c r="J39" s="409"/>
      <c r="K39" s="211"/>
      <c r="L39" s="211">
        <f t="shared" si="1"/>
        <v>28</v>
      </c>
    </row>
    <row r="40" spans="1:14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310"/>
      <c r="K40" s="64" t="str">
        <f>"Not Applicable to "&amp;Automation!$B$3-1&amp;" Base Period"</f>
        <v>Not Applicable to 2023 Base Period</v>
      </c>
      <c r="L40" s="211">
        <f t="shared" si="1"/>
        <v>29</v>
      </c>
    </row>
    <row r="41" spans="1:14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150"/>
      <c r="L41" s="211">
        <f t="shared" si="1"/>
        <v>30</v>
      </c>
    </row>
    <row r="42" spans="1:14" ht="16.5" thickBot="1">
      <c r="A42" s="211">
        <f t="shared" si="0"/>
        <v>31</v>
      </c>
      <c r="B42" s="394" t="s">
        <v>352</v>
      </c>
      <c r="C42" s="1061">
        <f>SUM(C40:C41)</f>
        <v>0</v>
      </c>
      <c r="D42" s="150"/>
      <c r="E42" s="1061">
        <f>SUM(E40:E41)</f>
        <v>0</v>
      </c>
      <c r="F42" s="258"/>
      <c r="G42" s="1061">
        <f>SUM(G40:G41)</f>
        <v>0</v>
      </c>
      <c r="H42" s="150"/>
      <c r="I42" s="1061">
        <f>SUM(I40:I41)</f>
        <v>0</v>
      </c>
      <c r="J42" s="258"/>
      <c r="K42" s="726" t="str">
        <f>"Sum Lines "&amp;A40&amp;" thru "&amp;A41</f>
        <v>Sum Lines 29 thru 30</v>
      </c>
      <c r="L42" s="211">
        <f t="shared" si="1"/>
        <v>31</v>
      </c>
    </row>
    <row r="43" spans="1:14" ht="17.25" thickTop="1" thickBot="1">
      <c r="A43" s="211">
        <f t="shared" si="0"/>
        <v>32</v>
      </c>
      <c r="B43" s="868"/>
      <c r="C43" s="869"/>
      <c r="D43" s="870"/>
      <c r="E43" s="869"/>
      <c r="F43" s="869"/>
      <c r="G43" s="869"/>
      <c r="H43" s="870"/>
      <c r="I43" s="869"/>
      <c r="J43" s="869"/>
      <c r="K43" s="871"/>
      <c r="L43" s="211">
        <f t="shared" si="1"/>
        <v>32</v>
      </c>
    </row>
    <row r="44" spans="1:14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258"/>
      <c r="K44" s="726"/>
      <c r="L44" s="211">
        <f t="shared" si="1"/>
        <v>33</v>
      </c>
    </row>
    <row r="45" spans="1:14">
      <c r="A45" s="211">
        <f t="shared" si="0"/>
        <v>34</v>
      </c>
      <c r="B45" s="63" t="s">
        <v>330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310"/>
      <c r="K45" s="64" t="str">
        <f>"Not Applicable to "&amp;Automation!$B$3-1&amp;" Base Period"</f>
        <v>Not Applicable to 2023 Base Period</v>
      </c>
      <c r="L45" s="211">
        <f t="shared" si="1"/>
        <v>34</v>
      </c>
    </row>
    <row r="46" spans="1:14">
      <c r="B46" s="394"/>
      <c r="C46" s="258"/>
      <c r="D46" s="150"/>
      <c r="E46" s="258"/>
      <c r="F46" s="258"/>
      <c r="G46" s="258"/>
      <c r="H46" s="150"/>
      <c r="I46" s="258"/>
      <c r="J46" s="258"/>
      <c r="K46" s="726"/>
    </row>
    <row r="48" spans="1:14">
      <c r="A48" s="1211"/>
      <c r="B48" s="1213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zoomScale="80" zoomScaleNormal="80" zoomScaleSheetLayoutView="70" workbookViewId="0">
      <selection activeCell="I52" sqref="I52"/>
    </sheetView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62.5703125" style="191" customWidth="1"/>
    <col min="11" max="11" width="5.42578125" style="211" customWidth="1"/>
    <col min="12" max="12" width="8.5703125" style="191"/>
    <col min="13" max="13" width="12.85546875" style="191" bestFit="1" customWidth="1"/>
    <col min="14" max="16384" width="8.5703125" style="191"/>
  </cols>
  <sheetData>
    <row r="2" spans="1:13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</row>
    <row r="3" spans="1:13">
      <c r="B3" s="1303" t="s">
        <v>333</v>
      </c>
      <c r="C3" s="1303"/>
      <c r="D3" s="1303"/>
      <c r="E3" s="1303"/>
      <c r="F3" s="1303"/>
      <c r="G3" s="1303"/>
      <c r="H3" s="1303"/>
      <c r="I3" s="1303"/>
      <c r="J3" s="1303"/>
    </row>
    <row r="4" spans="1:13">
      <c r="B4" s="1303" t="s">
        <v>334</v>
      </c>
      <c r="C4" s="1303"/>
      <c r="D4" s="1303"/>
      <c r="E4" s="1303"/>
      <c r="F4" s="1303"/>
      <c r="G4" s="1303"/>
      <c r="H4" s="1303"/>
      <c r="I4" s="1303"/>
      <c r="J4" s="1303"/>
    </row>
    <row r="5" spans="1:13">
      <c r="B5" s="1303" t="str">
        <f>"Base Period 12 Months Ending December 31, "&amp;Automation!$B$3</f>
        <v>Base Period 12 Months Ending December 31, 2024</v>
      </c>
      <c r="C5" s="1303"/>
      <c r="D5" s="1303"/>
      <c r="E5" s="1303"/>
      <c r="F5" s="1303"/>
      <c r="G5" s="1303"/>
      <c r="H5" s="1303"/>
      <c r="I5" s="1303"/>
      <c r="J5" s="1303"/>
      <c r="M5" s="342"/>
    </row>
    <row r="6" spans="1:13" ht="15.75" customHeight="1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</row>
    <row r="8" spans="1:13">
      <c r="B8" s="210"/>
      <c r="C8" s="596" t="s">
        <v>77</v>
      </c>
      <c r="D8" s="596"/>
      <c r="E8" s="596" t="s">
        <v>78</v>
      </c>
      <c r="F8" s="596"/>
      <c r="G8" s="596" t="s">
        <v>335</v>
      </c>
      <c r="H8" s="596"/>
      <c r="I8" s="596" t="s">
        <v>336</v>
      </c>
      <c r="J8" s="596"/>
    </row>
    <row r="9" spans="1:13">
      <c r="A9" s="211" t="s">
        <v>4</v>
      </c>
      <c r="B9" s="210"/>
      <c r="C9" s="596" t="s">
        <v>337</v>
      </c>
      <c r="D9" s="596"/>
      <c r="E9" s="596" t="s">
        <v>338</v>
      </c>
      <c r="F9" s="596"/>
      <c r="G9" s="596" t="s">
        <v>338</v>
      </c>
      <c r="H9" s="596"/>
      <c r="I9" s="596"/>
      <c r="J9" s="596"/>
      <c r="K9" s="211" t="s">
        <v>4</v>
      </c>
    </row>
    <row r="10" spans="1:13">
      <c r="A10" s="211" t="s">
        <v>5</v>
      </c>
      <c r="B10" s="865" t="s">
        <v>258</v>
      </c>
      <c r="C10" s="866" t="s">
        <v>339</v>
      </c>
      <c r="D10" s="866"/>
      <c r="E10" s="866" t="s">
        <v>340</v>
      </c>
      <c r="F10" s="866"/>
      <c r="G10" s="866" t="s">
        <v>341</v>
      </c>
      <c r="H10" s="866"/>
      <c r="I10" s="865" t="s">
        <v>80</v>
      </c>
      <c r="J10" s="865" t="s">
        <v>8</v>
      </c>
      <c r="K10" s="211" t="s">
        <v>5</v>
      </c>
    </row>
    <row r="11" spans="1:13">
      <c r="B11" s="210"/>
      <c r="C11" s="723"/>
      <c r="D11" s="723"/>
      <c r="E11" s="723"/>
      <c r="F11" s="723"/>
      <c r="G11" s="723"/>
      <c r="H11" s="723"/>
      <c r="I11" s="409"/>
      <c r="J11" s="409"/>
    </row>
    <row r="12" spans="1:13">
      <c r="A12" s="211">
        <v>1</v>
      </c>
      <c r="B12" s="349" t="s">
        <v>342</v>
      </c>
      <c r="C12" s="724"/>
      <c r="D12" s="724"/>
      <c r="E12" s="724"/>
      <c r="F12" s="724"/>
      <c r="G12" s="724"/>
      <c r="H12" s="724"/>
      <c r="I12" s="409"/>
      <c r="J12" s="409"/>
      <c r="K12" s="211">
        <f>A12</f>
        <v>1</v>
      </c>
      <c r="M12" s="342"/>
    </row>
    <row r="13" spans="1:13">
      <c r="A13" s="211">
        <f>A12+1</f>
        <v>2</v>
      </c>
      <c r="B13" s="349" t="s">
        <v>343</v>
      </c>
      <c r="C13" s="401">
        <v>997.58425549910271</v>
      </c>
      <c r="D13" s="401"/>
      <c r="E13" s="401">
        <v>0</v>
      </c>
      <c r="F13" s="401"/>
      <c r="G13" s="401">
        <v>0</v>
      </c>
      <c r="H13" s="725"/>
      <c r="I13" s="310">
        <f>SUM(C13:G13)</f>
        <v>997.58425549910271</v>
      </c>
      <c r="J13" s="331" t="s">
        <v>1015</v>
      </c>
      <c r="K13" s="211">
        <f>K12+1</f>
        <v>2</v>
      </c>
    </row>
    <row r="14" spans="1:13">
      <c r="A14" s="211">
        <f t="shared" ref="A14:A45" si="0">A13+1</f>
        <v>3</v>
      </c>
      <c r="B14" s="349" t="s">
        <v>344</v>
      </c>
      <c r="C14" s="417">
        <v>170.14098800856334</v>
      </c>
      <c r="D14" s="417"/>
      <c r="E14" s="417">
        <v>0</v>
      </c>
      <c r="F14" s="417"/>
      <c r="G14" s="417">
        <v>0</v>
      </c>
      <c r="H14" s="417"/>
      <c r="I14" s="150">
        <f>SUM(C14:G14)</f>
        <v>170.14098800856334</v>
      </c>
      <c r="J14" s="331" t="s">
        <v>1015</v>
      </c>
      <c r="K14" s="211">
        <f t="shared" ref="K14:K45" si="1">K13+1</f>
        <v>3</v>
      </c>
    </row>
    <row r="15" spans="1:13">
      <c r="A15" s="211">
        <f t="shared" si="0"/>
        <v>4</v>
      </c>
      <c r="B15" s="349" t="s">
        <v>345</v>
      </c>
      <c r="C15" s="417">
        <v>0</v>
      </c>
      <c r="D15" s="417"/>
      <c r="E15" s="417">
        <v>100815.67964361192</v>
      </c>
      <c r="F15" s="417"/>
      <c r="G15" s="417">
        <v>0</v>
      </c>
      <c r="H15" s="417"/>
      <c r="I15" s="150">
        <f>SUM(C15:G15)</f>
        <v>100815.67964361192</v>
      </c>
      <c r="J15" s="331" t="s">
        <v>1015</v>
      </c>
      <c r="K15" s="211">
        <f t="shared" si="1"/>
        <v>4</v>
      </c>
    </row>
    <row r="16" spans="1:13" ht="16.5" thickBot="1">
      <c r="A16" s="211">
        <f t="shared" si="0"/>
        <v>5</v>
      </c>
      <c r="B16" s="394" t="s">
        <v>346</v>
      </c>
      <c r="C16" s="1061">
        <f>SUM(C13:C15)</f>
        <v>1167.7252435076662</v>
      </c>
      <c r="D16" s="150"/>
      <c r="E16" s="1061">
        <f>SUM(E13:E15)</f>
        <v>100815.67964361192</v>
      </c>
      <c r="F16" s="258"/>
      <c r="G16" s="1061">
        <f>SUM(G13:G15)</f>
        <v>0</v>
      </c>
      <c r="H16" s="150"/>
      <c r="I16" s="1061">
        <f>SUM(I13:I15)</f>
        <v>101983.40488711958</v>
      </c>
      <c r="J16" s="726" t="str">
        <f>"Sum Lines "&amp;A13&amp;" thru "&amp;A15</f>
        <v>Sum Lines 2 thru 4</v>
      </c>
      <c r="K16" s="211">
        <f t="shared" si="1"/>
        <v>5</v>
      </c>
    </row>
    <row r="17" spans="1:13" ht="16.5" thickTop="1">
      <c r="A17" s="211">
        <f t="shared" si="0"/>
        <v>6</v>
      </c>
      <c r="C17" s="727"/>
      <c r="D17" s="727"/>
      <c r="E17" s="727"/>
      <c r="F17" s="727"/>
      <c r="G17" s="727"/>
      <c r="H17" s="727"/>
      <c r="I17" s="727"/>
      <c r="J17" s="727"/>
      <c r="K17" s="211">
        <f t="shared" si="1"/>
        <v>6</v>
      </c>
    </row>
    <row r="18" spans="1:13">
      <c r="A18" s="211">
        <f t="shared" si="0"/>
        <v>7</v>
      </c>
      <c r="B18" s="349" t="s">
        <v>347</v>
      </c>
      <c r="C18" s="724"/>
      <c r="D18" s="724"/>
      <c r="E18" s="724"/>
      <c r="F18" s="724"/>
      <c r="G18" s="724"/>
      <c r="H18" s="724"/>
      <c r="I18" s="409"/>
      <c r="J18" s="409"/>
      <c r="K18" s="211">
        <f t="shared" si="1"/>
        <v>7</v>
      </c>
    </row>
    <row r="19" spans="1:13">
      <c r="A19" s="211">
        <f t="shared" si="0"/>
        <v>8</v>
      </c>
      <c r="B19" s="728" t="s">
        <v>348</v>
      </c>
      <c r="C19" s="310">
        <v>-895775.55474620045</v>
      </c>
      <c r="D19" s="310"/>
      <c r="E19" s="310">
        <v>-356126.56209857157</v>
      </c>
      <c r="F19" s="310"/>
      <c r="G19" s="310">
        <v>8657.6922887997935</v>
      </c>
      <c r="H19" s="310"/>
      <c r="I19" s="310">
        <f>SUM(C19:G19)</f>
        <v>-1243244.4245559722</v>
      </c>
      <c r="J19" s="1203" t="s">
        <v>1016</v>
      </c>
      <c r="K19" s="211">
        <f t="shared" si="1"/>
        <v>8</v>
      </c>
      <c r="M19" s="1197"/>
    </row>
    <row r="20" spans="1:13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211">
        <f t="shared" si="1"/>
        <v>9</v>
      </c>
    </row>
    <row r="21" spans="1:13" ht="16.5" thickBot="1">
      <c r="A21" s="211">
        <f t="shared" si="0"/>
        <v>10</v>
      </c>
      <c r="B21" s="394" t="s">
        <v>349</v>
      </c>
      <c r="C21" s="1061">
        <f>SUM(C19:C20)</f>
        <v>-895775.55474620045</v>
      </c>
      <c r="D21" s="150"/>
      <c r="E21" s="1061">
        <f>SUM(E19:E20)</f>
        <v>-356126.56209857157</v>
      </c>
      <c r="F21" s="258"/>
      <c r="G21" s="1061">
        <f>SUM(G19:G20)</f>
        <v>8657.6922887997935</v>
      </c>
      <c r="H21" s="150"/>
      <c r="I21" s="1061">
        <f>SUM(I19:I20)</f>
        <v>-1243244.4245559722</v>
      </c>
      <c r="J21" s="726" t="str">
        <f>"Sum Lines "&amp;A19&amp;" thru "&amp;A20</f>
        <v>Sum Lines 8 thru 9</v>
      </c>
      <c r="K21" s="211">
        <f t="shared" si="1"/>
        <v>10</v>
      </c>
    </row>
    <row r="22" spans="1:13" ht="16.5" thickTop="1">
      <c r="A22" s="211">
        <f t="shared" si="0"/>
        <v>11</v>
      </c>
      <c r="K22" s="211">
        <f t="shared" si="1"/>
        <v>11</v>
      </c>
    </row>
    <row r="23" spans="1:13">
      <c r="A23" s="211">
        <f t="shared" si="0"/>
        <v>12</v>
      </c>
      <c r="B23" s="349" t="s">
        <v>350</v>
      </c>
      <c r="C23" s="724"/>
      <c r="D23" s="724"/>
      <c r="E23" s="724"/>
      <c r="F23" s="724"/>
      <c r="G23" s="724"/>
      <c r="H23" s="724"/>
      <c r="I23" s="409"/>
      <c r="J23" s="211"/>
      <c r="K23" s="211">
        <f t="shared" si="1"/>
        <v>12</v>
      </c>
    </row>
    <row r="24" spans="1:13">
      <c r="A24" s="211">
        <f t="shared" si="0"/>
        <v>13</v>
      </c>
      <c r="B24" s="349" t="s">
        <v>351</v>
      </c>
      <c r="C24" s="401">
        <v>-10383.075545153648</v>
      </c>
      <c r="D24" s="401"/>
      <c r="E24" s="401">
        <v>0</v>
      </c>
      <c r="F24" s="401"/>
      <c r="G24" s="401">
        <v>0</v>
      </c>
      <c r="H24" s="725"/>
      <c r="I24" s="310">
        <f>SUM(C24:G24)</f>
        <v>-10383.075545153648</v>
      </c>
      <c r="J24" s="331" t="s">
        <v>1017</v>
      </c>
      <c r="K24" s="211">
        <f t="shared" si="1"/>
        <v>13</v>
      </c>
    </row>
    <row r="25" spans="1:13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211">
        <f t="shared" si="1"/>
        <v>14</v>
      </c>
    </row>
    <row r="26" spans="1:13" ht="16.5" thickBot="1">
      <c r="A26" s="211">
        <f t="shared" si="0"/>
        <v>15</v>
      </c>
      <c r="B26" s="394" t="s">
        <v>352</v>
      </c>
      <c r="C26" s="1061">
        <f>SUM(C24:C25)</f>
        <v>-10383.075545153648</v>
      </c>
      <c r="D26" s="150"/>
      <c r="E26" s="1061">
        <f>SUM(E24:E25)</f>
        <v>0</v>
      </c>
      <c r="F26" s="258"/>
      <c r="G26" s="1061">
        <f>SUM(G24:G25)</f>
        <v>0</v>
      </c>
      <c r="H26" s="150"/>
      <c r="I26" s="1061">
        <f>SUM(I24:I25)</f>
        <v>-10383.075545153648</v>
      </c>
      <c r="J26" s="726" t="str">
        <f>"Sum Lines "&amp;A24&amp;" thru "&amp;A25</f>
        <v>Sum Lines 13 thru 14</v>
      </c>
      <c r="K26" s="211">
        <f t="shared" si="1"/>
        <v>15</v>
      </c>
    </row>
    <row r="27" spans="1:13" ht="17.25" thickTop="1" thickBot="1">
      <c r="A27" s="211">
        <f t="shared" si="0"/>
        <v>16</v>
      </c>
      <c r="B27" s="867"/>
      <c r="C27" s="867"/>
      <c r="D27" s="867"/>
      <c r="E27" s="867"/>
      <c r="F27" s="867"/>
      <c r="G27" s="867"/>
      <c r="H27" s="867"/>
      <c r="I27" s="867"/>
      <c r="J27" s="867"/>
      <c r="K27" s="211">
        <f t="shared" si="1"/>
        <v>16</v>
      </c>
    </row>
    <row r="28" spans="1:13">
      <c r="A28" s="211">
        <f t="shared" si="0"/>
        <v>17</v>
      </c>
      <c r="K28" s="211">
        <f t="shared" si="1"/>
        <v>17</v>
      </c>
    </row>
    <row r="29" spans="1:13">
      <c r="A29" s="211">
        <f t="shared" si="0"/>
        <v>18</v>
      </c>
      <c r="B29" s="349" t="s">
        <v>866</v>
      </c>
      <c r="C29" s="724"/>
      <c r="D29" s="724"/>
      <c r="E29" s="724"/>
      <c r="F29" s="724"/>
      <c r="G29" s="724"/>
      <c r="H29" s="724"/>
      <c r="I29" s="409"/>
      <c r="J29" s="409"/>
      <c r="K29" s="211">
        <f t="shared" si="1"/>
        <v>18</v>
      </c>
    </row>
    <row r="30" spans="1:13">
      <c r="A30" s="211">
        <f t="shared" si="0"/>
        <v>19</v>
      </c>
      <c r="B30" s="349" t="s">
        <v>345</v>
      </c>
      <c r="C30" s="310">
        <v>0</v>
      </c>
      <c r="D30" s="310"/>
      <c r="E30" s="310">
        <v>5195.5987243175587</v>
      </c>
      <c r="F30" s="310"/>
      <c r="G30" s="310">
        <v>0</v>
      </c>
      <c r="H30" s="401"/>
      <c r="I30" s="310">
        <f>SUM(C30:G30)</f>
        <v>5195.5987243175587</v>
      </c>
      <c r="J30" s="331" t="s">
        <v>1015</v>
      </c>
      <c r="K30" s="211">
        <f t="shared" si="1"/>
        <v>19</v>
      </c>
    </row>
    <row r="31" spans="1:13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211">
        <f t="shared" si="1"/>
        <v>20</v>
      </c>
    </row>
    <row r="32" spans="1:13" ht="16.5" thickBot="1">
      <c r="A32" s="211">
        <f t="shared" si="0"/>
        <v>21</v>
      </c>
      <c r="B32" s="394" t="s">
        <v>346</v>
      </c>
      <c r="C32" s="1061">
        <f>SUM(C30:C31)</f>
        <v>0</v>
      </c>
      <c r="D32" s="150"/>
      <c r="E32" s="1061">
        <f>SUM(E30:E31)</f>
        <v>5195.5987243175587</v>
      </c>
      <c r="F32" s="258"/>
      <c r="G32" s="1061">
        <f>SUM(G30:G31)</f>
        <v>0</v>
      </c>
      <c r="H32" s="150"/>
      <c r="I32" s="1061">
        <f>SUM(I30:I31)</f>
        <v>5195.5987243175587</v>
      </c>
      <c r="J32" s="726" t="str">
        <f>"Sum Lines "&amp;A30&amp;" thru "&amp;A31</f>
        <v>Sum Lines 19 thru 20</v>
      </c>
      <c r="K32" s="211">
        <f t="shared" si="1"/>
        <v>21</v>
      </c>
    </row>
    <row r="33" spans="1:11" ht="16.5" thickTop="1">
      <c r="A33" s="211">
        <f t="shared" si="0"/>
        <v>22</v>
      </c>
      <c r="C33" s="727"/>
      <c r="D33" s="727"/>
      <c r="E33" s="727"/>
      <c r="F33" s="727"/>
      <c r="G33" s="727"/>
      <c r="H33" s="727"/>
      <c r="I33" s="727"/>
      <c r="J33" s="727"/>
      <c r="K33" s="211">
        <f t="shared" si="1"/>
        <v>22</v>
      </c>
    </row>
    <row r="34" spans="1:11">
      <c r="A34" s="211">
        <f t="shared" si="0"/>
        <v>23</v>
      </c>
      <c r="B34" s="349" t="s">
        <v>867</v>
      </c>
      <c r="C34" s="724"/>
      <c r="D34" s="724"/>
      <c r="E34" s="724"/>
      <c r="F34" s="724"/>
      <c r="G34" s="724"/>
      <c r="H34" s="724"/>
      <c r="I34" s="409"/>
      <c r="J34" s="409"/>
      <c r="K34" s="211">
        <f t="shared" si="1"/>
        <v>23</v>
      </c>
    </row>
    <row r="35" spans="1:11">
      <c r="A35" s="211">
        <f t="shared" si="0"/>
        <v>24</v>
      </c>
      <c r="B35" s="728" t="s">
        <v>348</v>
      </c>
      <c r="C35" s="310">
        <v>-9901.0455743959574</v>
      </c>
      <c r="D35" s="310"/>
      <c r="E35" s="310">
        <v>-7594.7065714285727</v>
      </c>
      <c r="F35" s="310"/>
      <c r="G35" s="310">
        <v>0</v>
      </c>
      <c r="H35" s="310"/>
      <c r="I35" s="310">
        <f>SUM(C35:G35)</f>
        <v>-17495.752145824532</v>
      </c>
      <c r="J35" s="331" t="s">
        <v>1018</v>
      </c>
      <c r="K35" s="211">
        <f t="shared" si="1"/>
        <v>24</v>
      </c>
    </row>
    <row r="36" spans="1:11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211">
        <f t="shared" si="1"/>
        <v>25</v>
      </c>
    </row>
    <row r="37" spans="1:11" ht="16.5" thickBot="1">
      <c r="A37" s="211">
        <f t="shared" si="0"/>
        <v>26</v>
      </c>
      <c r="B37" s="394" t="s">
        <v>349</v>
      </c>
      <c r="C37" s="1061">
        <f>SUM(C35:C36)</f>
        <v>-9901.0455743959574</v>
      </c>
      <c r="D37" s="150"/>
      <c r="E37" s="1061">
        <f>SUM(E35:E36)</f>
        <v>-7594.7065714285727</v>
      </c>
      <c r="F37" s="258"/>
      <c r="G37" s="1061">
        <f>SUM(G35:G36)</f>
        <v>0</v>
      </c>
      <c r="H37" s="150"/>
      <c r="I37" s="1061">
        <f>SUM(I35:I36)</f>
        <v>-17495.752145824532</v>
      </c>
      <c r="J37" s="726" t="str">
        <f>"Sum Lines "&amp;A35&amp;" thru "&amp;A36</f>
        <v>Sum Lines 24 thru 25</v>
      </c>
      <c r="K37" s="211">
        <f t="shared" si="1"/>
        <v>26</v>
      </c>
    </row>
    <row r="38" spans="1:11" ht="16.5" thickTop="1">
      <c r="A38" s="211">
        <f t="shared" si="0"/>
        <v>27</v>
      </c>
      <c r="K38" s="211">
        <f t="shared" si="1"/>
        <v>27</v>
      </c>
    </row>
    <row r="39" spans="1:11">
      <c r="A39" s="211">
        <f t="shared" si="0"/>
        <v>28</v>
      </c>
      <c r="B39" s="349" t="s">
        <v>868</v>
      </c>
      <c r="C39" s="724"/>
      <c r="D39" s="724"/>
      <c r="E39" s="724"/>
      <c r="F39" s="724"/>
      <c r="G39" s="724"/>
      <c r="H39" s="724"/>
      <c r="I39" s="409"/>
      <c r="J39" s="211"/>
      <c r="K39" s="211">
        <f t="shared" si="1"/>
        <v>28</v>
      </c>
    </row>
    <row r="40" spans="1:11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64" t="str">
        <f>"Not Applicable to "&amp;Automation!$B$3&amp;" Base Period"</f>
        <v>Not Applicable to 2024 Base Period</v>
      </c>
      <c r="K40" s="211">
        <f t="shared" si="1"/>
        <v>29</v>
      </c>
    </row>
    <row r="41" spans="1:11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211">
        <f t="shared" si="1"/>
        <v>30</v>
      </c>
    </row>
    <row r="42" spans="1:11" ht="16.5" thickBot="1">
      <c r="A42" s="211">
        <f t="shared" si="0"/>
        <v>31</v>
      </c>
      <c r="B42" s="394" t="s">
        <v>352</v>
      </c>
      <c r="C42" s="1061">
        <f>SUM(C40:C41)</f>
        <v>0</v>
      </c>
      <c r="D42" s="150"/>
      <c r="E42" s="1061">
        <f>SUM(E40:E41)</f>
        <v>0</v>
      </c>
      <c r="F42" s="258"/>
      <c r="G42" s="1061">
        <f>SUM(G40:G41)</f>
        <v>0</v>
      </c>
      <c r="H42" s="150"/>
      <c r="I42" s="1061">
        <f>SUM(I40:I41)</f>
        <v>0</v>
      </c>
      <c r="J42" s="726" t="str">
        <f>"Sum Lines "&amp;A40&amp;" thru "&amp;A41</f>
        <v>Sum Lines 29 thru 30</v>
      </c>
      <c r="K42" s="211">
        <f t="shared" si="1"/>
        <v>31</v>
      </c>
    </row>
    <row r="43" spans="1:11" ht="17.25" thickTop="1" thickBot="1">
      <c r="A43" s="211">
        <f t="shared" si="0"/>
        <v>32</v>
      </c>
      <c r="B43" s="868"/>
      <c r="C43" s="869"/>
      <c r="D43" s="870"/>
      <c r="E43" s="869"/>
      <c r="F43" s="869"/>
      <c r="G43" s="869"/>
      <c r="H43" s="870"/>
      <c r="I43" s="869"/>
      <c r="J43" s="871"/>
      <c r="K43" s="211">
        <f t="shared" si="1"/>
        <v>32</v>
      </c>
    </row>
    <row r="44" spans="1:11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726"/>
      <c r="K44" s="211">
        <f t="shared" si="1"/>
        <v>33</v>
      </c>
    </row>
    <row r="45" spans="1:11">
      <c r="A45" s="211">
        <f t="shared" si="0"/>
        <v>34</v>
      </c>
      <c r="B45" s="63" t="s">
        <v>330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64" t="str">
        <f>"Not Applicable to "&amp;Automation!$B$3&amp;" Base Period"</f>
        <v>Not Applicable to 2024 Base Period</v>
      </c>
      <c r="K45" s="211">
        <f t="shared" si="1"/>
        <v>34</v>
      </c>
    </row>
    <row r="46" spans="1:11">
      <c r="B46" s="394"/>
      <c r="C46" s="258"/>
      <c r="D46" s="150"/>
      <c r="E46" s="258"/>
      <c r="F46" s="258"/>
      <c r="G46" s="258"/>
      <c r="H46" s="150"/>
      <c r="I46" s="258"/>
      <c r="J46" s="726"/>
    </row>
    <row r="48" spans="1:11" ht="18.75">
      <c r="A48" s="494"/>
      <c r="B48" s="63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>
      <selection activeCell="D40" sqref="D40"/>
    </sheetView>
  </sheetViews>
  <sheetFormatPr defaultColWidth="8.5703125" defaultRowHeight="15.75"/>
  <cols>
    <col min="1" max="1" width="5.42578125" style="211" bestFit="1" customWidth="1"/>
    <col min="2" max="2" width="45.5703125" style="3" customWidth="1"/>
    <col min="3" max="5" width="18.5703125" style="3" customWidth="1"/>
    <col min="6" max="6" width="25.140625" style="4" customWidth="1"/>
    <col min="7" max="7" width="5.42578125" style="211" bestFit="1" customWidth="1"/>
    <col min="8" max="8" width="8.5703125" style="3"/>
    <col min="9" max="9" width="17.5703125" style="3" bestFit="1" customWidth="1"/>
    <col min="10" max="16384" width="8.5703125" style="3"/>
  </cols>
  <sheetData>
    <row r="2" spans="1:11">
      <c r="A2" s="495"/>
      <c r="B2" s="1315" t="str">
        <f>'Summary of Cost Components'!B3:D3</f>
        <v>CITIZENS' SHARE OF THE BORDER EAST LINE</v>
      </c>
      <c r="C2" s="1315"/>
      <c r="D2" s="1315"/>
      <c r="E2" s="1315"/>
      <c r="F2" s="1315"/>
      <c r="G2" s="495"/>
      <c r="H2" s="89"/>
      <c r="I2" s="89"/>
      <c r="J2" s="89"/>
      <c r="K2" s="89"/>
    </row>
    <row r="3" spans="1:11">
      <c r="A3" s="495"/>
      <c r="B3" s="1315" t="s">
        <v>356</v>
      </c>
      <c r="C3" s="1315"/>
      <c r="D3" s="1315"/>
      <c r="E3" s="1315"/>
      <c r="F3" s="1315"/>
      <c r="G3" s="495"/>
      <c r="H3" s="89"/>
      <c r="I3" s="89"/>
      <c r="J3" s="89"/>
      <c r="K3" s="89"/>
    </row>
    <row r="4" spans="1:11">
      <c r="A4" s="495"/>
      <c r="B4" s="1315" t="str">
        <f>"Base Period &amp; True-Up Period 12 - Months Ending December 31, "&amp;Automation!B3</f>
        <v>Base Period &amp; True-Up Period 12 - Months Ending December 31, 2024</v>
      </c>
      <c r="C4" s="1315"/>
      <c r="D4" s="1315"/>
      <c r="E4" s="1315"/>
      <c r="F4" s="1315"/>
      <c r="G4" s="495"/>
      <c r="H4" s="89"/>
      <c r="I4" s="342"/>
      <c r="J4" s="89"/>
      <c r="K4" s="89"/>
    </row>
    <row r="5" spans="1:11">
      <c r="A5" s="495"/>
      <c r="B5" s="1316" t="s">
        <v>3</v>
      </c>
      <c r="C5" s="1316"/>
      <c r="D5" s="1316"/>
      <c r="E5" s="1316"/>
      <c r="F5" s="1316"/>
      <c r="G5" s="95"/>
      <c r="H5" s="62"/>
      <c r="I5" s="191"/>
      <c r="J5" s="62"/>
      <c r="K5" s="62"/>
    </row>
    <row r="6" spans="1:11">
      <c r="I6" s="191"/>
    </row>
    <row r="7" spans="1:11">
      <c r="A7" s="634"/>
      <c r="B7" s="872"/>
      <c r="C7" s="1129" t="str">
        <f>"12/31/"&amp;Automation!B3-1</f>
        <v>12/31/2023</v>
      </c>
      <c r="D7" s="1129" t="str">
        <f>"12/31/"&amp;Automation!B3</f>
        <v>12/31/2024</v>
      </c>
      <c r="E7" s="1130"/>
      <c r="F7" s="961"/>
      <c r="G7" s="962"/>
      <c r="H7" s="89"/>
      <c r="I7" s="191"/>
      <c r="J7" s="89"/>
      <c r="K7" s="89"/>
    </row>
    <row r="8" spans="1:11">
      <c r="A8" s="634" t="s">
        <v>4</v>
      </c>
      <c r="B8" s="635"/>
      <c r="C8" s="963"/>
      <c r="D8" s="961"/>
      <c r="E8" s="636"/>
      <c r="F8" s="637"/>
      <c r="G8" s="962" t="s">
        <v>4</v>
      </c>
      <c r="H8" s="89"/>
      <c r="I8" s="191"/>
      <c r="J8" s="89"/>
      <c r="K8" s="89"/>
    </row>
    <row r="9" spans="1:11">
      <c r="A9" s="634" t="s">
        <v>5</v>
      </c>
      <c r="B9" s="1062" t="s">
        <v>258</v>
      </c>
      <c r="C9" s="1063" t="s">
        <v>357</v>
      </c>
      <c r="D9" s="1063" t="s">
        <v>357</v>
      </c>
      <c r="E9" s="873" t="s">
        <v>358</v>
      </c>
      <c r="F9" s="1063" t="s">
        <v>8</v>
      </c>
      <c r="G9" s="962" t="s">
        <v>5</v>
      </c>
      <c r="H9" s="89"/>
      <c r="I9" s="191"/>
      <c r="J9" s="89"/>
      <c r="K9" s="89"/>
    </row>
    <row r="10" spans="1:11">
      <c r="A10" s="634"/>
      <c r="B10" s="89"/>
      <c r="C10" s="547"/>
      <c r="D10" s="544"/>
      <c r="E10" s="545"/>
      <c r="F10" s="351"/>
      <c r="G10" s="962"/>
      <c r="H10" s="89"/>
      <c r="I10" s="191"/>
      <c r="J10" s="89"/>
      <c r="K10" s="89"/>
    </row>
    <row r="11" spans="1:11">
      <c r="A11" s="634">
        <f t="shared" ref="A11:A16" si="0">A10+1</f>
        <v>1</v>
      </c>
      <c r="B11" s="638" t="s">
        <v>359</v>
      </c>
      <c r="C11" s="747">
        <v>-12949.697622396361</v>
      </c>
      <c r="D11" s="747">
        <v>-12300.153421506971</v>
      </c>
      <c r="E11" s="548">
        <f>AVERAGE(C11,D11)</f>
        <v>-12624.925521951667</v>
      </c>
      <c r="F11" s="352" t="s">
        <v>360</v>
      </c>
      <c r="G11" s="962">
        <f t="shared" ref="G11:G16" si="1">G10+1</f>
        <v>1</v>
      </c>
      <c r="I11" s="342"/>
    </row>
    <row r="12" spans="1:11">
      <c r="A12" s="634">
        <f t="shared" si="0"/>
        <v>2</v>
      </c>
      <c r="B12" s="89"/>
      <c r="C12" s="748"/>
      <c r="D12" s="749"/>
      <c r="E12" s="548"/>
      <c r="F12" s="352"/>
      <c r="G12" s="962">
        <f t="shared" si="1"/>
        <v>2</v>
      </c>
    </row>
    <row r="13" spans="1:11">
      <c r="A13" s="634">
        <f t="shared" si="0"/>
        <v>3</v>
      </c>
      <c r="B13" s="638" t="s">
        <v>361</v>
      </c>
      <c r="C13" s="1064">
        <v>-12041.047259626399</v>
      </c>
      <c r="D13" s="1064">
        <v>-12412.107147250543</v>
      </c>
      <c r="E13" s="974">
        <f>AVERAGE(C13,D13)</f>
        <v>-12226.577203438472</v>
      </c>
      <c r="F13" s="352" t="s">
        <v>213</v>
      </c>
      <c r="G13" s="962">
        <f t="shared" si="1"/>
        <v>3</v>
      </c>
    </row>
    <row r="14" spans="1:11">
      <c r="A14" s="634">
        <f t="shared" si="0"/>
        <v>4</v>
      </c>
      <c r="B14" s="89"/>
      <c r="C14" s="547"/>
      <c r="D14" s="544"/>
      <c r="E14" s="545"/>
      <c r="F14" s="351"/>
      <c r="G14" s="962">
        <f t="shared" si="1"/>
        <v>4</v>
      </c>
    </row>
    <row r="15" spans="1:11" ht="19.5" thickBot="1">
      <c r="A15" s="634">
        <f t="shared" si="0"/>
        <v>5</v>
      </c>
      <c r="B15" s="638" t="s">
        <v>362</v>
      </c>
      <c r="C15" s="546">
        <f>SUM(C11-C13)</f>
        <v>-908.65036276996216</v>
      </c>
      <c r="D15" s="546">
        <f t="shared" ref="D15:E15" si="2">SUM(D11-D13)</f>
        <v>111.95372574357134</v>
      </c>
      <c r="E15" s="546">
        <f t="shared" si="2"/>
        <v>-398.34831851319541</v>
      </c>
      <c r="F15" s="350" t="str">
        <f>"Line "&amp;A11&amp;" Minus Line "&amp;A13</f>
        <v>Line 1 Minus Line 3</v>
      </c>
      <c r="G15" s="962">
        <f t="shared" si="1"/>
        <v>5</v>
      </c>
    </row>
    <row r="16" spans="1:11" ht="16.5" thickTop="1">
      <c r="A16" s="634">
        <f t="shared" si="0"/>
        <v>6</v>
      </c>
      <c r="B16" s="874"/>
      <c r="C16" s="1065"/>
      <c r="D16" s="1065"/>
      <c r="E16" s="874"/>
      <c r="F16" s="1066"/>
      <c r="G16" s="962">
        <f t="shared" si="1"/>
        <v>6</v>
      </c>
    </row>
    <row r="17" spans="1:9">
      <c r="A17" s="640"/>
      <c r="B17" s="89"/>
      <c r="C17" s="89"/>
      <c r="D17" s="89"/>
      <c r="E17" s="89"/>
      <c r="F17" s="88"/>
      <c r="G17" s="640"/>
    </row>
    <row r="18" spans="1:9">
      <c r="A18" s="640"/>
      <c r="B18" s="89"/>
      <c r="C18" s="89"/>
      <c r="D18" s="89"/>
      <c r="E18" s="89"/>
      <c r="F18" s="88"/>
      <c r="G18" s="640"/>
    </row>
    <row r="19" spans="1:9" ht="18.75">
      <c r="A19" s="641">
        <v>1</v>
      </c>
      <c r="B19" s="638" t="s">
        <v>363</v>
      </c>
      <c r="C19" s="89"/>
      <c r="D19" s="89"/>
      <c r="E19" s="89"/>
      <c r="F19" s="88"/>
      <c r="G19" s="640"/>
    </row>
    <row r="20" spans="1:9" ht="18.75">
      <c r="A20" s="496"/>
      <c r="B20" s="780"/>
      <c r="C20" s="89"/>
      <c r="D20" s="89"/>
      <c r="E20" s="89"/>
      <c r="F20" s="88"/>
      <c r="G20" s="495"/>
    </row>
    <row r="21" spans="1:9">
      <c r="A21" s="495"/>
      <c r="B21" s="780"/>
      <c r="C21" s="89"/>
      <c r="D21" s="89"/>
      <c r="E21" s="89"/>
      <c r="F21" s="88"/>
      <c r="G21" s="495"/>
    </row>
    <row r="22" spans="1:9">
      <c r="A22" s="495"/>
      <c r="B22" s="638"/>
      <c r="C22" s="89"/>
      <c r="D22" s="89"/>
      <c r="E22" s="89"/>
      <c r="F22" s="88"/>
      <c r="G22" s="495"/>
    </row>
    <row r="23" spans="1:9">
      <c r="A23" s="495"/>
      <c r="B23" s="638"/>
      <c r="C23" s="89"/>
      <c r="D23" s="89"/>
      <c r="E23" s="89"/>
      <c r="F23" s="88"/>
      <c r="G23" s="495"/>
    </row>
    <row r="26" spans="1:9">
      <c r="C26" s="639"/>
    </row>
    <row r="27" spans="1:9">
      <c r="I27" s="89"/>
    </row>
    <row r="28" spans="1:9">
      <c r="I28" s="89"/>
    </row>
    <row r="29" spans="1:9">
      <c r="I29" s="89"/>
    </row>
    <row r="30" spans="1:9">
      <c r="I30" s="89"/>
    </row>
    <row r="31" spans="1:9">
      <c r="I31" s="89"/>
    </row>
    <row r="32" spans="1:9">
      <c r="I32" s="89"/>
    </row>
    <row r="33" spans="9:9">
      <c r="I33" s="89"/>
    </row>
    <row r="34" spans="9:9">
      <c r="I34" s="89"/>
    </row>
    <row r="35" spans="9:9">
      <c r="I35" s="89"/>
    </row>
    <row r="36" spans="9:9">
      <c r="I36" s="89"/>
    </row>
    <row r="37" spans="9:9">
      <c r="I37" s="89"/>
    </row>
    <row r="38" spans="9:9">
      <c r="I38" s="89"/>
    </row>
    <row r="39" spans="9:9">
      <c r="I39" s="89"/>
    </row>
    <row r="40" spans="9:9">
      <c r="I40" s="89"/>
    </row>
    <row r="41" spans="9:9">
      <c r="I41" s="89"/>
    </row>
    <row r="42" spans="9:9">
      <c r="I42" s="642"/>
    </row>
    <row r="43" spans="9:9">
      <c r="I43" s="642"/>
    </row>
    <row r="44" spans="9:9">
      <c r="I44" s="642"/>
    </row>
    <row r="45" spans="9:9">
      <c r="I45" s="642"/>
    </row>
    <row r="46" spans="9:9">
      <c r="I46" s="642"/>
    </row>
    <row r="47" spans="9:9">
      <c r="I47" s="642"/>
    </row>
    <row r="48" spans="9:9">
      <c r="I48" s="89"/>
    </row>
    <row r="49" spans="9:9">
      <c r="I49" s="89"/>
    </row>
    <row r="50" spans="9:9">
      <c r="I50" s="89"/>
    </row>
    <row r="51" spans="9:9">
      <c r="I51" s="89"/>
    </row>
    <row r="52" spans="9:9">
      <c r="I52" s="89"/>
    </row>
    <row r="53" spans="9:9">
      <c r="I53" s="89"/>
    </row>
    <row r="54" spans="9:9">
      <c r="I54" s="89"/>
    </row>
    <row r="55" spans="9:9">
      <c r="I55" s="89"/>
    </row>
    <row r="56" spans="9:9">
      <c r="I56" s="89"/>
    </row>
    <row r="57" spans="9:9">
      <c r="I57" s="89"/>
    </row>
    <row r="58" spans="9:9">
      <c r="I58" s="89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>
      <selection activeCell="B27" sqref="B27"/>
    </sheetView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140625" style="191" customWidth="1"/>
    <col min="9" max="9" width="9.140625" style="191"/>
    <col min="10" max="10" width="20.42578125" style="191" bestFit="1" customWidth="1"/>
    <col min="11" max="16384" width="9.140625" style="191"/>
  </cols>
  <sheetData>
    <row r="1" spans="1:9">
      <c r="E1" s="211"/>
      <c r="F1" s="211"/>
      <c r="G1" s="211"/>
      <c r="H1" s="211"/>
    </row>
    <row r="2" spans="1:9">
      <c r="B2" s="1303" t="s">
        <v>0</v>
      </c>
      <c r="C2" s="1303"/>
      <c r="D2" s="1303"/>
      <c r="E2" s="1303"/>
      <c r="F2" s="1303"/>
      <c r="G2" s="1303"/>
      <c r="H2" s="211"/>
    </row>
    <row r="3" spans="1:9">
      <c r="B3" s="1303" t="s">
        <v>364</v>
      </c>
      <c r="C3" s="1303"/>
      <c r="D3" s="1303"/>
      <c r="E3" s="1303"/>
      <c r="F3" s="1303"/>
      <c r="G3" s="1303"/>
      <c r="H3" s="211"/>
    </row>
    <row r="4" spans="1:9">
      <c r="B4" s="1303" t="s">
        <v>365</v>
      </c>
      <c r="C4" s="1303"/>
      <c r="D4" s="1303"/>
      <c r="E4" s="1303"/>
      <c r="F4" s="1303"/>
      <c r="G4" s="1303"/>
      <c r="H4" s="211"/>
    </row>
    <row r="5" spans="1:9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</row>
    <row r="6" spans="1:9">
      <c r="B6" s="1301" t="s">
        <v>3</v>
      </c>
      <c r="C6" s="1314"/>
      <c r="D6" s="1314"/>
      <c r="E6" s="1314"/>
      <c r="F6" s="1314"/>
      <c r="G6" s="1314"/>
      <c r="H6" s="211"/>
    </row>
    <row r="7" spans="1:9">
      <c r="B7" s="211"/>
      <c r="C7" s="211"/>
      <c r="D7" s="211"/>
      <c r="E7" s="211"/>
      <c r="F7" s="211"/>
      <c r="G7" s="211"/>
      <c r="H7" s="211"/>
    </row>
    <row r="8" spans="1:9">
      <c r="A8" s="211" t="s">
        <v>4</v>
      </c>
      <c r="B8" s="471"/>
      <c r="C8" s="211" t="s">
        <v>186</v>
      </c>
      <c r="D8" s="471"/>
      <c r="E8" s="341"/>
      <c r="F8" s="211"/>
      <c r="G8" s="211"/>
      <c r="H8" s="211" t="s">
        <v>4</v>
      </c>
    </row>
    <row r="9" spans="1:9">
      <c r="A9" s="211" t="s">
        <v>5</v>
      </c>
      <c r="C9" s="845" t="s">
        <v>188</v>
      </c>
      <c r="E9" s="862" t="s">
        <v>189</v>
      </c>
      <c r="F9" s="471"/>
      <c r="G9" s="845" t="s">
        <v>8</v>
      </c>
      <c r="H9" s="211" t="s">
        <v>5</v>
      </c>
    </row>
    <row r="10" spans="1:9">
      <c r="E10" s="211"/>
      <c r="F10" s="211"/>
      <c r="G10" s="211"/>
      <c r="H10" s="211"/>
    </row>
    <row r="11" spans="1:9" s="342" customFormat="1" ht="19.5" thickBot="1">
      <c r="A11" s="211">
        <v>1</v>
      </c>
      <c r="B11" s="17" t="s">
        <v>366</v>
      </c>
      <c r="C11" s="211">
        <v>214</v>
      </c>
      <c r="D11" s="191"/>
      <c r="E11" s="456">
        <f>'AG-1'!C31</f>
        <v>0</v>
      </c>
      <c r="F11" s="211"/>
      <c r="G11" s="211" t="str">
        <f>"AG-1; Line "&amp;'AG-1'!A31</f>
        <v>AG-1; Line 18</v>
      </c>
      <c r="H11" s="211">
        <f>A11</f>
        <v>1</v>
      </c>
      <c r="I11" s="191"/>
    </row>
    <row r="12" spans="1:9" s="342" customFormat="1" ht="16.5" thickTop="1">
      <c r="A12" s="211"/>
      <c r="B12" s="191"/>
      <c r="C12" s="211"/>
      <c r="D12" s="191"/>
      <c r="E12" s="304"/>
      <c r="F12" s="211"/>
      <c r="G12" s="211"/>
      <c r="H12" s="211"/>
      <c r="I12" s="191"/>
    </row>
    <row r="14" spans="1:9" ht="18.75">
      <c r="A14" s="306">
        <v>1</v>
      </c>
      <c r="B14" s="122" t="s">
        <v>896</v>
      </c>
    </row>
    <row r="15" spans="1:9" ht="18.75">
      <c r="A15" s="348"/>
      <c r="B15" s="191" t="s">
        <v>1040</v>
      </c>
    </row>
    <row r="16" spans="1:9">
      <c r="A16" s="191"/>
      <c r="B16" s="122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>
      <selection activeCell="D36" sqref="D36"/>
    </sheetView>
  </sheetViews>
  <sheetFormatPr defaultColWidth="8.85546875" defaultRowHeight="15.75"/>
  <cols>
    <col min="1" max="1" width="5.42578125" style="105" customWidth="1"/>
    <col min="2" max="2" width="35.140625" style="122" customWidth="1"/>
    <col min="3" max="3" width="18.5703125" style="122" customWidth="1"/>
    <col min="4" max="4" width="62.5703125" style="122" customWidth="1"/>
    <col min="5" max="5" width="5.42578125" style="105" customWidth="1"/>
    <col min="6" max="9" width="8.85546875" style="122"/>
    <col min="10" max="10" width="12.85546875" style="122" bestFit="1" customWidth="1"/>
    <col min="11" max="11" width="8.85546875" style="122"/>
    <col min="12" max="12" width="14" style="122" bestFit="1" customWidth="1"/>
    <col min="13" max="16384" width="8.85546875" style="122"/>
  </cols>
  <sheetData>
    <row r="2" spans="1:13" s="96" customFormat="1">
      <c r="A2" s="95"/>
      <c r="B2" s="1308" t="s">
        <v>0</v>
      </c>
      <c r="C2" s="1308"/>
      <c r="D2" s="1308"/>
      <c r="E2" s="95"/>
    </row>
    <row r="3" spans="1:13" s="96" customFormat="1">
      <c r="A3" s="95"/>
      <c r="B3" s="1308" t="s">
        <v>367</v>
      </c>
      <c r="C3" s="1308"/>
      <c r="D3" s="1308"/>
      <c r="E3" s="95"/>
    </row>
    <row r="4" spans="1:13" s="96" customFormat="1">
      <c r="A4" s="95"/>
      <c r="B4" s="1308" t="s">
        <v>368</v>
      </c>
      <c r="C4" s="1308"/>
      <c r="D4" s="1308"/>
      <c r="E4" s="95"/>
    </row>
    <row r="5" spans="1:13" s="96" customFormat="1">
      <c r="A5" s="95"/>
      <c r="B5" s="1308" t="s">
        <v>369</v>
      </c>
      <c r="C5" s="1308"/>
      <c r="D5" s="1308"/>
      <c r="E5" s="95"/>
    </row>
    <row r="6" spans="1:13" s="96" customFormat="1">
      <c r="A6" s="95"/>
      <c r="B6" s="1308" t="str">
        <f>"BASE PERIOD / TRUE UP PERIOD - 12/31/"&amp;Automation!$B$3</f>
        <v>BASE PERIOD / TRUE UP PERIOD - 12/31/2024</v>
      </c>
      <c r="C6" s="1308"/>
      <c r="D6" s="1308"/>
      <c r="E6" s="95"/>
    </row>
    <row r="7" spans="1:13" s="96" customFormat="1">
      <c r="A7" s="95"/>
      <c r="B7" s="1312" t="s">
        <v>3</v>
      </c>
      <c r="C7" s="1312"/>
      <c r="D7" s="1312"/>
      <c r="E7" s="95"/>
    </row>
    <row r="8" spans="1:13" s="96" customFormat="1">
      <c r="A8" s="95"/>
      <c r="B8" s="97"/>
      <c r="C8" s="97"/>
      <c r="D8" s="97"/>
      <c r="E8" s="95"/>
    </row>
    <row r="9" spans="1:13" s="96" customFormat="1">
      <c r="A9" s="95"/>
      <c r="B9" s="1308" t="s">
        <v>237</v>
      </c>
      <c r="C9" s="1308"/>
      <c r="D9" s="1308"/>
      <c r="E9" s="95"/>
    </row>
    <row r="10" spans="1:13">
      <c r="B10" s="195"/>
      <c r="C10" s="196"/>
      <c r="D10" s="196"/>
    </row>
    <row r="11" spans="1:13">
      <c r="B11" s="940"/>
      <c r="C11" s="944" t="s">
        <v>238</v>
      </c>
      <c r="D11" s="941"/>
    </row>
    <row r="12" spans="1:13">
      <c r="A12" s="105" t="s">
        <v>4</v>
      </c>
      <c r="B12" s="116"/>
      <c r="C12" s="102" t="s">
        <v>370</v>
      </c>
      <c r="D12" s="152"/>
      <c r="E12" s="105" t="s">
        <v>4</v>
      </c>
      <c r="H12" s="97"/>
      <c r="I12" s="97"/>
      <c r="J12" s="97"/>
      <c r="K12" s="97"/>
      <c r="L12" s="97"/>
      <c r="M12" s="97"/>
    </row>
    <row r="13" spans="1:13">
      <c r="A13" s="105" t="s">
        <v>5</v>
      </c>
      <c r="B13" s="986" t="s">
        <v>123</v>
      </c>
      <c r="C13" s="1067" t="s">
        <v>371</v>
      </c>
      <c r="D13" s="986" t="s">
        <v>8</v>
      </c>
      <c r="E13" s="105" t="s">
        <v>5</v>
      </c>
      <c r="H13" s="97"/>
      <c r="I13" s="96"/>
      <c r="J13" s="96"/>
      <c r="K13" s="95"/>
      <c r="L13" s="96"/>
      <c r="M13" s="97"/>
    </row>
    <row r="14" spans="1:13">
      <c r="A14" s="105">
        <v>1</v>
      </c>
      <c r="B14" s="108" t="str">
        <f>"Dec-"&amp;RIGHT(Automation!$B$3-1,2)</f>
        <v>Dec-23</v>
      </c>
      <c r="C14" s="197">
        <v>0</v>
      </c>
      <c r="D14" s="802" t="s">
        <v>213</v>
      </c>
      <c r="E14" s="105">
        <f>A14</f>
        <v>1</v>
      </c>
      <c r="G14" s="198"/>
      <c r="H14" s="97"/>
      <c r="I14" s="95"/>
      <c r="J14" s="95"/>
      <c r="K14" s="95"/>
      <c r="L14" s="97"/>
      <c r="M14" s="97"/>
    </row>
    <row r="15" spans="1:13">
      <c r="A15" s="105">
        <f>A14+1</f>
        <v>2</v>
      </c>
      <c r="B15" s="108" t="str">
        <f>"Jan-"&amp;RIGHT(Automation!$B$3,2)</f>
        <v>Jan-24</v>
      </c>
      <c r="C15" s="799">
        <v>0</v>
      </c>
      <c r="D15" s="799"/>
      <c r="E15" s="105">
        <f>E14+1</f>
        <v>2</v>
      </c>
      <c r="G15" s="198"/>
      <c r="H15" s="97"/>
      <c r="I15" s="95"/>
      <c r="J15" s="95"/>
      <c r="K15" s="95"/>
      <c r="L15" s="97"/>
      <c r="M15" s="97"/>
    </row>
    <row r="16" spans="1:13">
      <c r="A16" s="105">
        <f t="shared" ref="A16:A32" si="0">A15+1</f>
        <v>3</v>
      </c>
      <c r="B16" s="108" t="s">
        <v>214</v>
      </c>
      <c r="C16" s="799">
        <v>0</v>
      </c>
      <c r="D16" s="799"/>
      <c r="E16" s="105">
        <f t="shared" ref="E16:E32" si="1">E15+1</f>
        <v>3</v>
      </c>
      <c r="G16" s="198"/>
      <c r="H16" s="97"/>
      <c r="I16" s="95"/>
      <c r="J16" s="95"/>
      <c r="K16" s="95"/>
      <c r="L16" s="97"/>
      <c r="M16" s="97"/>
    </row>
    <row r="17" spans="1:13">
      <c r="A17" s="105">
        <f t="shared" si="0"/>
        <v>4</v>
      </c>
      <c r="B17" s="108" t="s">
        <v>215</v>
      </c>
      <c r="C17" s="799">
        <v>0</v>
      </c>
      <c r="D17" s="799"/>
      <c r="E17" s="105">
        <f t="shared" si="1"/>
        <v>4</v>
      </c>
      <c r="H17" s="97"/>
      <c r="I17" s="95"/>
      <c r="J17" s="199"/>
      <c r="K17" s="95"/>
      <c r="L17" s="97"/>
      <c r="M17" s="97"/>
    </row>
    <row r="18" spans="1:13">
      <c r="A18" s="105">
        <f t="shared" si="0"/>
        <v>5</v>
      </c>
      <c r="B18" s="108" t="s">
        <v>216</v>
      </c>
      <c r="C18" s="799">
        <v>0</v>
      </c>
      <c r="D18" s="799"/>
      <c r="E18" s="105">
        <f t="shared" si="1"/>
        <v>5</v>
      </c>
      <c r="H18" s="97"/>
      <c r="I18" s="95"/>
      <c r="J18" s="199"/>
      <c r="K18" s="95"/>
      <c r="L18" s="97"/>
      <c r="M18" s="97"/>
    </row>
    <row r="19" spans="1:13">
      <c r="A19" s="105">
        <f t="shared" si="0"/>
        <v>6</v>
      </c>
      <c r="B19" s="108" t="s">
        <v>160</v>
      </c>
      <c r="C19" s="799">
        <v>0</v>
      </c>
      <c r="D19" s="799"/>
      <c r="E19" s="105">
        <f t="shared" si="1"/>
        <v>6</v>
      </c>
      <c r="H19" s="97"/>
      <c r="I19" s="199"/>
      <c r="J19" s="199"/>
      <c r="K19" s="200"/>
      <c r="L19" s="201"/>
      <c r="M19" s="97"/>
    </row>
    <row r="20" spans="1:13">
      <c r="A20" s="105">
        <f>A19+1</f>
        <v>7</v>
      </c>
      <c r="B20" s="108" t="s">
        <v>217</v>
      </c>
      <c r="C20" s="799">
        <v>0</v>
      </c>
      <c r="D20" s="799"/>
      <c r="E20" s="105">
        <f>E19+1</f>
        <v>7</v>
      </c>
      <c r="H20" s="97"/>
      <c r="I20" s="202"/>
      <c r="J20" s="203"/>
      <c r="K20" s="204"/>
      <c r="L20" s="205"/>
      <c r="M20" s="97"/>
    </row>
    <row r="21" spans="1:13">
      <c r="A21" s="105">
        <f t="shared" si="0"/>
        <v>8</v>
      </c>
      <c r="B21" s="108" t="s">
        <v>218</v>
      </c>
      <c r="C21" s="799">
        <v>0</v>
      </c>
      <c r="D21" s="799"/>
      <c r="E21" s="105">
        <f t="shared" si="1"/>
        <v>8</v>
      </c>
      <c r="H21" s="97"/>
      <c r="I21" s="206"/>
      <c r="J21" s="206"/>
      <c r="K21" s="201"/>
      <c r="L21" s="201"/>
      <c r="M21" s="97"/>
    </row>
    <row r="22" spans="1:13">
      <c r="A22" s="105">
        <f t="shared" si="0"/>
        <v>9</v>
      </c>
      <c r="B22" s="108" t="s">
        <v>219</v>
      </c>
      <c r="C22" s="799">
        <v>0</v>
      </c>
      <c r="D22" s="799"/>
      <c r="E22" s="105">
        <f t="shared" si="1"/>
        <v>9</v>
      </c>
      <c r="H22" s="97"/>
      <c r="I22" s="202"/>
      <c r="J22" s="203"/>
      <c r="K22" s="207"/>
      <c r="L22" s="205"/>
      <c r="M22" s="97"/>
    </row>
    <row r="23" spans="1:13">
      <c r="A23" s="105">
        <f t="shared" si="0"/>
        <v>10</v>
      </c>
      <c r="B23" s="108" t="s">
        <v>220</v>
      </c>
      <c r="C23" s="799">
        <v>0</v>
      </c>
      <c r="D23" s="799"/>
      <c r="E23" s="105">
        <f t="shared" si="1"/>
        <v>10</v>
      </c>
      <c r="H23" s="97"/>
      <c r="I23" s="96"/>
      <c r="J23" s="96"/>
      <c r="K23" s="201"/>
      <c r="L23" s="201"/>
      <c r="M23" s="97"/>
    </row>
    <row r="24" spans="1:13">
      <c r="A24" s="105">
        <f t="shared" si="0"/>
        <v>11</v>
      </c>
      <c r="B24" s="108" t="s">
        <v>221</v>
      </c>
      <c r="C24" s="799">
        <v>0</v>
      </c>
      <c r="D24" s="799"/>
      <c r="E24" s="105">
        <f t="shared" si="1"/>
        <v>11</v>
      </c>
      <c r="H24" s="97"/>
      <c r="I24" s="96"/>
      <c r="J24" s="96"/>
      <c r="K24" s="200"/>
      <c r="L24" s="201"/>
      <c r="M24" s="97"/>
    </row>
    <row r="25" spans="1:13">
      <c r="A25" s="105">
        <f t="shared" si="0"/>
        <v>12</v>
      </c>
      <c r="B25" s="108" t="s">
        <v>222</v>
      </c>
      <c r="C25" s="799">
        <v>0</v>
      </c>
      <c r="D25" s="799"/>
      <c r="E25" s="105">
        <f t="shared" si="1"/>
        <v>12</v>
      </c>
      <c r="H25" s="97"/>
      <c r="I25" s="96"/>
      <c r="J25" s="96"/>
      <c r="K25" s="200"/>
      <c r="L25" s="201"/>
      <c r="M25" s="97"/>
    </row>
    <row r="26" spans="1:13">
      <c r="A26" s="105">
        <f t="shared" si="0"/>
        <v>13</v>
      </c>
      <c r="B26" s="997" t="str">
        <f>"Dec-"&amp;RIGHT(Automation!$B$3,2)</f>
        <v>Dec-24</v>
      </c>
      <c r="C26" s="1036">
        <v>0</v>
      </c>
      <c r="D26" s="1050" t="s">
        <v>213</v>
      </c>
      <c r="E26" s="105">
        <f t="shared" si="1"/>
        <v>13</v>
      </c>
      <c r="H26" s="97"/>
      <c r="I26" s="96"/>
      <c r="J26" s="96"/>
      <c r="K26" s="208"/>
      <c r="L26" s="141"/>
      <c r="M26" s="97"/>
    </row>
    <row r="27" spans="1:13">
      <c r="A27" s="105">
        <f t="shared" si="0"/>
        <v>14</v>
      </c>
      <c r="B27" s="116"/>
      <c r="C27" s="964"/>
      <c r="D27" s="964"/>
      <c r="E27" s="105">
        <f t="shared" si="1"/>
        <v>14</v>
      </c>
    </row>
    <row r="28" spans="1:13">
      <c r="A28" s="105">
        <f t="shared" si="0"/>
        <v>15</v>
      </c>
      <c r="B28" s="116" t="s">
        <v>223</v>
      </c>
      <c r="C28" s="209">
        <f>SUM(C14:C26)</f>
        <v>0</v>
      </c>
      <c r="D28" s="446" t="str">
        <f>"Sum Lines "&amp;A14&amp;" thru "&amp;A26</f>
        <v>Sum Lines 1 thru 13</v>
      </c>
      <c r="E28" s="105">
        <f t="shared" si="1"/>
        <v>15</v>
      </c>
    </row>
    <row r="29" spans="1:13">
      <c r="A29" s="105">
        <f t="shared" si="0"/>
        <v>16</v>
      </c>
      <c r="B29" s="987"/>
      <c r="C29" s="1068"/>
      <c r="D29" s="1036"/>
      <c r="E29" s="105">
        <f t="shared" si="1"/>
        <v>16</v>
      </c>
    </row>
    <row r="30" spans="1:13">
      <c r="A30" s="105">
        <f t="shared" si="0"/>
        <v>17</v>
      </c>
      <c r="B30" s="116"/>
      <c r="C30" s="965"/>
      <c r="D30" s="966"/>
      <c r="E30" s="105">
        <f t="shared" si="1"/>
        <v>17</v>
      </c>
    </row>
    <row r="31" spans="1:13">
      <c r="A31" s="105">
        <f t="shared" si="0"/>
        <v>18</v>
      </c>
      <c r="B31" s="116" t="s">
        <v>372</v>
      </c>
      <c r="C31" s="175">
        <f>C28/13</f>
        <v>0</v>
      </c>
      <c r="D31" s="452"/>
      <c r="E31" s="105">
        <f t="shared" si="1"/>
        <v>18</v>
      </c>
    </row>
    <row r="32" spans="1:13">
      <c r="A32" s="105">
        <f t="shared" si="0"/>
        <v>19</v>
      </c>
      <c r="B32" s="987"/>
      <c r="C32" s="1006"/>
      <c r="D32" s="1006"/>
      <c r="E32" s="105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>
      <selection activeCell="E36" sqref="E36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4" width="18.5703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367</v>
      </c>
      <c r="C3" s="1308"/>
      <c r="D3" s="1308"/>
      <c r="E3" s="1308"/>
      <c r="F3" s="1308"/>
    </row>
    <row r="4" spans="1:8">
      <c r="B4" s="1308" t="s">
        <v>368</v>
      </c>
      <c r="C4" s="1308"/>
      <c r="D4" s="1308"/>
      <c r="E4" s="1308"/>
      <c r="F4" s="1308"/>
    </row>
    <row r="5" spans="1:8">
      <c r="B5" s="1308" t="str">
        <f>"BASE PERIOD / TRUE UP PERIOD - 12/31/"&amp;Automation!$B$3</f>
        <v>BASE PERIOD / TRUE UP PERIOD - 12/31/2024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8" spans="1:8">
      <c r="B8" s="940"/>
      <c r="C8" s="1131" t="s">
        <v>77</v>
      </c>
      <c r="D8" s="450" t="s">
        <v>78</v>
      </c>
      <c r="E8" s="450" t="s">
        <v>373</v>
      </c>
      <c r="F8" s="941"/>
    </row>
    <row r="9" spans="1:8">
      <c r="A9" s="105"/>
      <c r="B9" s="102"/>
      <c r="C9" s="107" t="s">
        <v>374</v>
      </c>
      <c r="D9" s="107" t="s">
        <v>375</v>
      </c>
      <c r="E9" s="107" t="s">
        <v>376</v>
      </c>
      <c r="F9" s="144"/>
      <c r="G9" s="105"/>
    </row>
    <row r="10" spans="1:8">
      <c r="A10" s="105" t="s">
        <v>4</v>
      </c>
      <c r="B10" s="102" t="s">
        <v>377</v>
      </c>
      <c r="C10" s="107" t="s">
        <v>7</v>
      </c>
      <c r="D10" s="107" t="s">
        <v>7</v>
      </c>
      <c r="E10" s="107" t="s">
        <v>7</v>
      </c>
      <c r="F10" s="102"/>
      <c r="G10" s="105" t="s">
        <v>4</v>
      </c>
    </row>
    <row r="11" spans="1:8">
      <c r="A11" s="105" t="s">
        <v>5</v>
      </c>
      <c r="B11" s="986" t="s">
        <v>258</v>
      </c>
      <c r="C11" s="1031" t="s">
        <v>378</v>
      </c>
      <c r="D11" s="986" t="s">
        <v>378</v>
      </c>
      <c r="E11" s="1031" t="s">
        <v>378</v>
      </c>
      <c r="F11" s="986" t="s">
        <v>8</v>
      </c>
      <c r="G11" s="105" t="s">
        <v>5</v>
      </c>
    </row>
    <row r="12" spans="1:8">
      <c r="A12" s="105">
        <v>1</v>
      </c>
      <c r="B12" s="967"/>
      <c r="C12" s="968">
        <v>0</v>
      </c>
      <c r="D12" s="968">
        <f>E12-C12</f>
        <v>0</v>
      </c>
      <c r="E12" s="969">
        <v>0</v>
      </c>
      <c r="F12" s="970"/>
      <c r="G12" s="105">
        <f>A12</f>
        <v>1</v>
      </c>
    </row>
    <row r="13" spans="1:8">
      <c r="A13" s="105">
        <f>A12+1</f>
        <v>2</v>
      </c>
      <c r="B13" s="108"/>
      <c r="C13" s="798">
        <v>0</v>
      </c>
      <c r="D13" s="798">
        <v>0</v>
      </c>
      <c r="E13" s="799">
        <v>0</v>
      </c>
      <c r="F13" s="452"/>
      <c r="G13" s="105">
        <f>G12+1</f>
        <v>2</v>
      </c>
      <c r="H13" s="126"/>
    </row>
    <row r="14" spans="1:8">
      <c r="A14" s="105">
        <f t="shared" ref="A14:A17" si="0">A13+1</f>
        <v>3</v>
      </c>
      <c r="B14" s="1040"/>
      <c r="C14" s="1036">
        <v>0</v>
      </c>
      <c r="D14" s="1036">
        <v>0</v>
      </c>
      <c r="E14" s="1036">
        <v>0</v>
      </c>
      <c r="F14" s="1040"/>
      <c r="G14" s="105">
        <f t="shared" ref="G14:G17" si="1">G13+1</f>
        <v>3</v>
      </c>
    </row>
    <row r="15" spans="1:8">
      <c r="A15" s="105">
        <f t="shared" si="0"/>
        <v>4</v>
      </c>
      <c r="B15" s="116"/>
      <c r="C15" s="129"/>
      <c r="D15" s="129"/>
      <c r="E15" s="129"/>
      <c r="F15" s="134"/>
      <c r="G15" s="105">
        <f t="shared" si="1"/>
        <v>4</v>
      </c>
    </row>
    <row r="16" spans="1:8">
      <c r="A16" s="105">
        <f t="shared" si="0"/>
        <v>5</v>
      </c>
      <c r="B16" s="116" t="s">
        <v>80</v>
      </c>
      <c r="C16" s="118">
        <f>SUM(C12:C14)</f>
        <v>0</v>
      </c>
      <c r="D16" s="118">
        <f>SUM(D12:D14)</f>
        <v>0</v>
      </c>
      <c r="E16" s="118">
        <f>SUM(E12:E14)</f>
        <v>0</v>
      </c>
      <c r="F16" s="802" t="str">
        <f>"Sum Lines "&amp;A12&amp;" thru "&amp;A14</f>
        <v>Sum Lines 1 thru 3</v>
      </c>
      <c r="G16" s="105">
        <f t="shared" si="1"/>
        <v>5</v>
      </c>
    </row>
    <row r="17" spans="1:7">
      <c r="A17" s="105">
        <f t="shared" si="0"/>
        <v>6</v>
      </c>
      <c r="B17" s="987"/>
      <c r="C17" s="1033"/>
      <c r="D17" s="1033"/>
      <c r="E17" s="1033"/>
      <c r="F17" s="1006"/>
      <c r="G17" s="105">
        <f t="shared" si="1"/>
        <v>6</v>
      </c>
    </row>
    <row r="18" spans="1:7">
      <c r="A18" s="105"/>
      <c r="C18" s="370"/>
      <c r="D18" s="370"/>
      <c r="E18" s="370"/>
      <c r="F18" s="370"/>
      <c r="G18" s="105"/>
    </row>
    <row r="19" spans="1:7">
      <c r="A19" s="105"/>
      <c r="C19" s="370"/>
      <c r="D19" s="370"/>
      <c r="E19" s="370"/>
      <c r="F19" s="370"/>
    </row>
    <row r="20" spans="1:7" ht="18.75">
      <c r="A20" s="121"/>
      <c r="B20" s="698"/>
      <c r="C20" s="370"/>
      <c r="D20" s="370"/>
      <c r="E20" s="370"/>
      <c r="F20" s="370"/>
    </row>
    <row r="21" spans="1:7">
      <c r="C21" s="370"/>
      <c r="D21" s="370"/>
      <c r="E21" s="370"/>
      <c r="F21" s="370"/>
    </row>
    <row r="22" spans="1:7">
      <c r="B22" s="147"/>
      <c r="C22" s="699"/>
      <c r="D22" s="699"/>
      <c r="E22" s="699"/>
      <c r="F22" s="132"/>
      <c r="G22" s="492"/>
    </row>
    <row r="23" spans="1:7">
      <c r="B23" s="122"/>
      <c r="C23" s="132"/>
      <c r="D23" s="96"/>
      <c r="F23" s="132"/>
      <c r="G23" s="492"/>
    </row>
    <row r="24" spans="1:7">
      <c r="C24" s="132"/>
      <c r="D24" s="132"/>
      <c r="E24" s="132"/>
      <c r="F24" s="132"/>
      <c r="G24" s="492"/>
    </row>
    <row r="25" spans="1:7">
      <c r="C25" s="133"/>
      <c r="D25" s="133"/>
      <c r="E25" s="126"/>
      <c r="F25" s="126"/>
      <c r="G25" s="49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topLeftCell="C1" zoomScale="80" zoomScaleNormal="80" zoomScaleSheetLayoutView="80" zoomScalePageLayoutView="50" workbookViewId="0">
      <selection activeCell="G42" sqref="G42"/>
    </sheetView>
  </sheetViews>
  <sheetFormatPr defaultColWidth="8.5703125" defaultRowHeight="15.75"/>
  <cols>
    <col min="1" max="1" width="5.140625" style="211" customWidth="1"/>
    <col min="2" max="2" width="78.140625" style="3" bestFit="1" customWidth="1"/>
    <col min="3" max="3" width="16.85546875" style="3" customWidth="1"/>
    <col min="4" max="4" width="1.5703125" style="3" customWidth="1"/>
    <col min="5" max="5" width="16.85546875" style="3" customWidth="1"/>
    <col min="6" max="6" width="1.5703125" style="3" customWidth="1"/>
    <col min="7" max="7" width="16.85546875" style="3" customWidth="1"/>
    <col min="8" max="8" width="1.5703125" style="3" customWidth="1"/>
    <col min="9" max="9" width="46.140625" style="3" customWidth="1"/>
    <col min="10" max="10" width="5.140625" style="211" customWidth="1"/>
    <col min="11" max="16384" width="8.5703125" style="3"/>
  </cols>
  <sheetData>
    <row r="1" spans="1:12">
      <c r="A1" s="479"/>
      <c r="B1" s="59"/>
      <c r="C1" s="59"/>
      <c r="D1" s="59"/>
      <c r="E1" s="59"/>
      <c r="F1" s="59"/>
      <c r="G1" s="59"/>
      <c r="H1" s="59"/>
      <c r="I1" s="48"/>
      <c r="J1" s="479"/>
    </row>
    <row r="2" spans="1:12">
      <c r="A2" s="479"/>
      <c r="B2" s="1293" t="str">
        <f>'Summary of Cost Components'!B2:D2</f>
        <v>SAN DIEGO GAS &amp; ELECTRIC COMPANY</v>
      </c>
      <c r="C2" s="1293"/>
      <c r="D2" s="1293"/>
      <c r="E2" s="1293"/>
      <c r="F2" s="1293"/>
      <c r="G2" s="1293"/>
      <c r="H2" s="1293"/>
      <c r="I2" s="1293"/>
      <c r="J2" s="479"/>
    </row>
    <row r="3" spans="1:12">
      <c r="B3" s="1293" t="str">
        <f>'Summary of Cost Components'!B3:D3</f>
        <v>CITIZENS' SHARE OF THE BORDER EAST LINE</v>
      </c>
      <c r="C3" s="1293"/>
      <c r="D3" s="1293"/>
      <c r="E3" s="1293"/>
      <c r="F3" s="1293"/>
      <c r="G3" s="1293"/>
      <c r="H3" s="1293"/>
      <c r="I3" s="1293"/>
      <c r="J3" s="482"/>
    </row>
    <row r="4" spans="1:12">
      <c r="B4" s="1293" t="s">
        <v>11</v>
      </c>
      <c r="C4" s="1293"/>
      <c r="D4" s="1293"/>
      <c r="E4" s="1293"/>
      <c r="F4" s="1293"/>
      <c r="G4" s="1293"/>
      <c r="H4" s="1293"/>
      <c r="I4" s="1293"/>
      <c r="J4" s="482"/>
    </row>
    <row r="5" spans="1:12">
      <c r="B5" s="1300" t="str">
        <f>'A. Sec.1 - Direct Maintenance'!B5</f>
        <v>Base Period &amp; True-Up Period 12 - Months Ending December 31, 2024</v>
      </c>
      <c r="C5" s="1300"/>
      <c r="D5" s="1300"/>
      <c r="E5" s="1300"/>
      <c r="F5" s="1300"/>
      <c r="G5" s="1300"/>
      <c r="H5" s="1300"/>
      <c r="I5" s="1300"/>
      <c r="J5" s="482"/>
      <c r="L5" s="700"/>
    </row>
    <row r="6" spans="1:12">
      <c r="B6" s="1295" t="s">
        <v>3</v>
      </c>
      <c r="C6" s="1295"/>
      <c r="D6" s="1295"/>
      <c r="E6" s="1295"/>
      <c r="F6" s="1295"/>
      <c r="G6" s="1295"/>
      <c r="H6" s="1295"/>
      <c r="I6" s="1295"/>
      <c r="J6" s="484"/>
    </row>
    <row r="7" spans="1:12">
      <c r="B7" s="1105"/>
      <c r="C7" s="1105"/>
      <c r="D7" s="1105"/>
      <c r="E7" s="1105"/>
      <c r="F7" s="1105"/>
      <c r="G7" s="1105"/>
      <c r="H7" s="1105"/>
      <c r="I7" s="1105"/>
      <c r="J7" s="484"/>
    </row>
    <row r="8" spans="1:12">
      <c r="A8" s="479"/>
      <c r="B8" s="59"/>
      <c r="C8" s="317" t="s">
        <v>77</v>
      </c>
      <c r="D8" s="59"/>
      <c r="E8" s="317" t="s">
        <v>78</v>
      </c>
      <c r="F8" s="48"/>
      <c r="G8" s="317" t="s">
        <v>79</v>
      </c>
      <c r="H8" s="59"/>
      <c r="I8" s="59"/>
      <c r="J8" s="479"/>
    </row>
    <row r="9" spans="1:12">
      <c r="A9" s="479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479" t="s">
        <v>4</v>
      </c>
    </row>
    <row r="10" spans="1:12">
      <c r="A10" s="479" t="s">
        <v>5</v>
      </c>
      <c r="B10" s="59"/>
      <c r="C10" s="828" t="s">
        <v>82</v>
      </c>
      <c r="D10" s="59"/>
      <c r="E10" s="828" t="s">
        <v>83</v>
      </c>
      <c r="F10" s="59"/>
      <c r="G10" s="828" t="s">
        <v>7</v>
      </c>
      <c r="H10" s="59"/>
      <c r="I10" s="828" t="s">
        <v>8</v>
      </c>
      <c r="J10" s="479" t="s">
        <v>5</v>
      </c>
    </row>
    <row r="11" spans="1:12">
      <c r="A11" s="479"/>
      <c r="B11" s="59"/>
      <c r="C11" s="59"/>
      <c r="D11" s="59"/>
      <c r="E11" s="59"/>
      <c r="F11" s="59"/>
      <c r="G11" s="48"/>
      <c r="H11" s="59"/>
      <c r="I11" s="48"/>
      <c r="J11" s="479"/>
    </row>
    <row r="12" spans="1:12">
      <c r="A12" s="479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479">
        <f>A12</f>
        <v>1</v>
      </c>
    </row>
    <row r="13" spans="1:12">
      <c r="A13" s="479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479">
        <f>J12+1</f>
        <v>2</v>
      </c>
    </row>
    <row r="14" spans="1:12">
      <c r="A14" s="479">
        <f t="shared" ref="A14:A42" si="0">A13+1</f>
        <v>3</v>
      </c>
      <c r="B14" s="315" t="s">
        <v>85</v>
      </c>
      <c r="C14" s="59"/>
      <c r="D14" s="59"/>
      <c r="E14" s="59"/>
      <c r="F14" s="59"/>
      <c r="G14" s="731">
        <f>'AF-3'!E15</f>
        <v>-398.34831851319541</v>
      </c>
      <c r="H14" s="465"/>
      <c r="I14" s="26" t="s">
        <v>86</v>
      </c>
      <c r="J14" s="479">
        <f t="shared" ref="J14:J42" si="1">J13+1</f>
        <v>3</v>
      </c>
    </row>
    <row r="15" spans="1:12">
      <c r="A15" s="479">
        <f t="shared" si="0"/>
        <v>4</v>
      </c>
      <c r="B15" s="315"/>
      <c r="C15" s="59"/>
      <c r="D15" s="59"/>
      <c r="E15" s="59"/>
      <c r="F15" s="59"/>
      <c r="G15" s="702"/>
      <c r="H15" s="59"/>
      <c r="I15" s="59"/>
      <c r="J15" s="479">
        <f t="shared" si="1"/>
        <v>4</v>
      </c>
    </row>
    <row r="16" spans="1:12">
      <c r="A16" s="479">
        <f t="shared" si="0"/>
        <v>5</v>
      </c>
      <c r="B16" s="315" t="s">
        <v>30</v>
      </c>
      <c r="C16" s="59"/>
      <c r="D16" s="59"/>
      <c r="E16" s="59"/>
      <c r="F16" s="59"/>
      <c r="G16" s="829">
        <f>'Stmt AV'!G110</f>
        <v>9.4969221929622108E-2</v>
      </c>
      <c r="H16" s="59"/>
      <c r="I16" s="26" t="str">
        <f>"Statement AV2; Line "&amp;'Stmt AV'!A110</f>
        <v>Statement AV2; Line 31</v>
      </c>
      <c r="J16" s="479">
        <f t="shared" si="1"/>
        <v>5</v>
      </c>
    </row>
    <row r="17" spans="1:12">
      <c r="A17" s="479">
        <f t="shared" si="0"/>
        <v>6</v>
      </c>
      <c r="B17" s="315"/>
      <c r="C17" s="59"/>
      <c r="D17" s="59"/>
      <c r="E17" s="59"/>
      <c r="F17" s="59"/>
      <c r="G17" s="536"/>
      <c r="H17" s="59"/>
      <c r="I17" s="21"/>
      <c r="J17" s="479">
        <f t="shared" si="1"/>
        <v>6</v>
      </c>
    </row>
    <row r="18" spans="1:12">
      <c r="A18" s="479">
        <f t="shared" si="0"/>
        <v>7</v>
      </c>
      <c r="B18" s="315" t="s">
        <v>87</v>
      </c>
      <c r="C18" s="59"/>
      <c r="D18" s="59"/>
      <c r="E18" s="59"/>
      <c r="F18" s="59"/>
      <c r="G18" s="712">
        <f>G14*G16</f>
        <v>-37.830829866171449</v>
      </c>
      <c r="H18" s="45"/>
      <c r="I18" s="21" t="str">
        <f>"Line "&amp;A14&amp;" x Line "&amp;A16</f>
        <v>Line 3 x Line 5</v>
      </c>
      <c r="J18" s="479">
        <f t="shared" si="1"/>
        <v>7</v>
      </c>
    </row>
    <row r="19" spans="1:12">
      <c r="A19" s="479">
        <f t="shared" si="0"/>
        <v>8</v>
      </c>
      <c r="B19" s="315"/>
      <c r="C19" s="59"/>
      <c r="D19" s="59"/>
      <c r="E19" s="59"/>
      <c r="F19" s="59"/>
      <c r="G19" s="713"/>
      <c r="H19" s="47"/>
      <c r="I19" s="59"/>
      <c r="J19" s="479">
        <f t="shared" si="1"/>
        <v>8</v>
      </c>
    </row>
    <row r="20" spans="1:12">
      <c r="A20" s="479">
        <f t="shared" si="0"/>
        <v>9</v>
      </c>
      <c r="B20" s="721" t="s">
        <v>88</v>
      </c>
      <c r="C20" s="59"/>
      <c r="D20" s="59"/>
      <c r="E20" s="59"/>
      <c r="F20" s="59"/>
      <c r="G20" s="714"/>
      <c r="H20" s="47"/>
      <c r="I20" s="21"/>
      <c r="J20" s="479">
        <f t="shared" si="1"/>
        <v>9</v>
      </c>
    </row>
    <row r="21" spans="1:12">
      <c r="A21" s="479">
        <f t="shared" si="0"/>
        <v>10</v>
      </c>
      <c r="B21" s="710" t="s">
        <v>89</v>
      </c>
      <c r="C21" s="59"/>
      <c r="D21" s="49"/>
      <c r="E21" s="711"/>
      <c r="F21" s="59"/>
      <c r="G21" s="772">
        <f>'AV-2B'!C27</f>
        <v>76.67795653445603</v>
      </c>
      <c r="H21" s="460"/>
      <c r="I21" s="715" t="str">
        <f>"AV-2B; Line "&amp;'AV-2B'!A27</f>
        <v>AV-2B; Line 17</v>
      </c>
      <c r="J21" s="479">
        <f t="shared" si="1"/>
        <v>10</v>
      </c>
    </row>
    <row r="22" spans="1:12">
      <c r="A22" s="479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479">
        <f t="shared" si="1"/>
        <v>11</v>
      </c>
    </row>
    <row r="23" spans="1:12">
      <c r="A23" s="479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479">
        <f t="shared" si="1"/>
        <v>12</v>
      </c>
    </row>
    <row r="24" spans="1:12">
      <c r="A24" s="479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479">
        <f t="shared" si="1"/>
        <v>13</v>
      </c>
    </row>
    <row r="25" spans="1:12">
      <c r="A25" s="479">
        <f t="shared" si="0"/>
        <v>14</v>
      </c>
      <c r="B25" s="59" t="s">
        <v>92</v>
      </c>
      <c r="C25" s="731">
        <v>46971.000010000003</v>
      </c>
      <c r="D25" s="486"/>
      <c r="E25" s="606">
        <v>1.0999999999999999E-2</v>
      </c>
      <c r="F25" s="59"/>
      <c r="G25" s="537">
        <f>C25*E25</f>
        <v>516.68100011000001</v>
      </c>
      <c r="H25" s="46"/>
      <c r="I25" s="21" t="s">
        <v>1012</v>
      </c>
      <c r="J25" s="479">
        <f t="shared" si="1"/>
        <v>14</v>
      </c>
      <c r="L25"/>
    </row>
    <row r="26" spans="1:12">
      <c r="A26" s="479">
        <f t="shared" si="0"/>
        <v>15</v>
      </c>
      <c r="B26" s="59"/>
      <c r="C26" s="537"/>
      <c r="D26" s="486"/>
      <c r="E26" s="538"/>
      <c r="F26" s="59"/>
      <c r="G26" s="537"/>
      <c r="H26" s="46"/>
      <c r="I26" s="21"/>
      <c r="J26" s="479">
        <f t="shared" si="1"/>
        <v>15</v>
      </c>
      <c r="L26"/>
    </row>
    <row r="27" spans="1:12">
      <c r="A27" s="479">
        <f t="shared" si="0"/>
        <v>16</v>
      </c>
      <c r="B27" s="59" t="s">
        <v>93</v>
      </c>
      <c r="C27" s="817">
        <f>16615.00001</f>
        <v>16615.00001</v>
      </c>
      <c r="D27" s="486"/>
      <c r="E27" s="606">
        <v>1.61E-2</v>
      </c>
      <c r="F27" s="59"/>
      <c r="G27" s="417">
        <f>C27*E27</f>
        <v>267.50150016099997</v>
      </c>
      <c r="H27" s="448"/>
      <c r="I27" s="21" t="s">
        <v>1012</v>
      </c>
      <c r="J27" s="479">
        <f t="shared" si="1"/>
        <v>16</v>
      </c>
      <c r="L27"/>
    </row>
    <row r="28" spans="1:12">
      <c r="A28" s="479">
        <f t="shared" si="0"/>
        <v>17</v>
      </c>
      <c r="B28" s="59"/>
      <c r="C28" s="818"/>
      <c r="D28" s="486"/>
      <c r="E28" s="538"/>
      <c r="F28" s="59"/>
      <c r="G28" s="417"/>
      <c r="H28" s="448"/>
      <c r="I28" s="59"/>
      <c r="J28" s="479">
        <f t="shared" si="1"/>
        <v>17</v>
      </c>
      <c r="L28"/>
    </row>
    <row r="29" spans="1:12">
      <c r="A29" s="479">
        <f t="shared" si="0"/>
        <v>18</v>
      </c>
      <c r="B29" s="59" t="s">
        <v>94</v>
      </c>
      <c r="C29" s="817">
        <v>19939</v>
      </c>
      <c r="D29" s="486"/>
      <c r="E29" s="569">
        <v>0</v>
      </c>
      <c r="F29" s="59"/>
      <c r="G29" s="417">
        <f>C29*E29</f>
        <v>0</v>
      </c>
      <c r="H29" s="448"/>
      <c r="I29" s="21" t="s">
        <v>1012</v>
      </c>
      <c r="J29" s="479">
        <f t="shared" si="1"/>
        <v>18</v>
      </c>
      <c r="L29"/>
    </row>
    <row r="30" spans="1:12">
      <c r="A30" s="479">
        <f t="shared" si="0"/>
        <v>19</v>
      </c>
      <c r="B30" s="59"/>
      <c r="C30" s="818"/>
      <c r="D30" s="486"/>
      <c r="E30" s="539"/>
      <c r="F30" s="59"/>
      <c r="G30" s="417"/>
      <c r="H30" s="448"/>
      <c r="I30" s="21"/>
      <c r="J30" s="479">
        <f t="shared" si="1"/>
        <v>19</v>
      </c>
      <c r="L30"/>
    </row>
    <row r="31" spans="1:12">
      <c r="A31" s="479">
        <f t="shared" si="0"/>
        <v>20</v>
      </c>
      <c r="B31" s="59" t="s">
        <v>95</v>
      </c>
      <c r="C31" s="817">
        <v>0</v>
      </c>
      <c r="D31" s="486"/>
      <c r="E31" s="569">
        <v>0</v>
      </c>
      <c r="F31" s="59"/>
      <c r="G31" s="417">
        <f>C31*E31</f>
        <v>0</v>
      </c>
      <c r="H31" s="448"/>
      <c r="I31" s="21" t="s">
        <v>1012</v>
      </c>
      <c r="J31" s="479">
        <f t="shared" si="1"/>
        <v>20</v>
      </c>
      <c r="L31"/>
    </row>
    <row r="32" spans="1:12">
      <c r="A32" s="479">
        <f t="shared" si="0"/>
        <v>21</v>
      </c>
      <c r="B32" s="59"/>
      <c r="C32" s="819"/>
      <c r="D32" s="486"/>
      <c r="E32" s="539"/>
      <c r="F32" s="59"/>
      <c r="G32" s="417"/>
      <c r="H32" s="448"/>
      <c r="I32" s="21"/>
      <c r="J32" s="479">
        <f t="shared" si="1"/>
        <v>21</v>
      </c>
      <c r="L32"/>
    </row>
    <row r="33" spans="1:16">
      <c r="A33" s="479">
        <f t="shared" si="0"/>
        <v>22</v>
      </c>
      <c r="B33" s="59" t="s">
        <v>96</v>
      </c>
      <c r="C33" s="830">
        <v>1669</v>
      </c>
      <c r="D33" s="486"/>
      <c r="E33" s="570">
        <v>0</v>
      </c>
      <c r="F33" s="59"/>
      <c r="G33" s="831">
        <f>C33*E33</f>
        <v>0</v>
      </c>
      <c r="H33" s="8"/>
      <c r="I33" s="21" t="s">
        <v>1012</v>
      </c>
      <c r="J33" s="479">
        <f t="shared" si="1"/>
        <v>22</v>
      </c>
      <c r="L33"/>
    </row>
    <row r="34" spans="1:16">
      <c r="A34" s="479">
        <f t="shared" si="0"/>
        <v>23</v>
      </c>
      <c r="B34" s="59"/>
      <c r="C34" s="540">
        <f>SUM(C25:C33)</f>
        <v>85194.000020000007</v>
      </c>
      <c r="D34" s="486"/>
      <c r="E34" s="486"/>
      <c r="F34" s="59"/>
      <c r="G34" s="542"/>
      <c r="H34" s="51"/>
      <c r="I34" s="21" t="str">
        <f>"Col. a = Sum Lines "&amp;A25&amp;" thru "&amp;A33</f>
        <v>Col. a = Sum Lines 14 thru 22</v>
      </c>
      <c r="J34" s="479">
        <f t="shared" si="1"/>
        <v>23</v>
      </c>
      <c r="L34"/>
    </row>
    <row r="35" spans="1:16">
      <c r="A35" s="479">
        <f t="shared" si="0"/>
        <v>24</v>
      </c>
      <c r="B35" s="59"/>
      <c r="C35" s="540"/>
      <c r="D35" s="486"/>
      <c r="E35" s="486"/>
      <c r="F35" s="59"/>
      <c r="G35" s="486"/>
      <c r="H35" s="59"/>
      <c r="I35" s="59"/>
      <c r="J35" s="479">
        <f t="shared" si="1"/>
        <v>24</v>
      </c>
    </row>
    <row r="36" spans="1:16">
      <c r="A36" s="479">
        <f t="shared" si="0"/>
        <v>25</v>
      </c>
      <c r="B36" s="59" t="s">
        <v>97</v>
      </c>
      <c r="C36" s="486"/>
      <c r="D36" s="486"/>
      <c r="E36" s="486"/>
      <c r="F36" s="59"/>
      <c r="G36" s="540">
        <f>SUM(G25:G33)</f>
        <v>784.18250027099998</v>
      </c>
      <c r="H36" s="51"/>
      <c r="I36" s="21" t="str">
        <f>"Sum Lines "&amp;A25&amp;" thru "&amp;A33</f>
        <v>Sum Lines 14 thru 22</v>
      </c>
      <c r="J36" s="479">
        <f t="shared" si="1"/>
        <v>25</v>
      </c>
    </row>
    <row r="37" spans="1:16">
      <c r="A37" s="479">
        <f t="shared" si="0"/>
        <v>26</v>
      </c>
      <c r="B37" s="59"/>
      <c r="C37" s="486"/>
      <c r="D37" s="486"/>
      <c r="E37" s="486"/>
      <c r="F37" s="59"/>
      <c r="G37" s="542"/>
      <c r="H37" s="51"/>
      <c r="I37" s="59"/>
      <c r="J37" s="479">
        <f t="shared" si="1"/>
        <v>26</v>
      </c>
    </row>
    <row r="38" spans="1:16">
      <c r="A38" s="479">
        <f t="shared" si="0"/>
        <v>27</v>
      </c>
      <c r="B38" s="59" t="s">
        <v>33</v>
      </c>
      <c r="C38" s="486"/>
      <c r="D38" s="486"/>
      <c r="E38" s="541">
        <v>1.0207000000000001E-2</v>
      </c>
      <c r="F38" s="59"/>
      <c r="G38" s="832">
        <f>G36*E38</f>
        <v>8.0041507802660981</v>
      </c>
      <c r="H38" s="12"/>
      <c r="I38" s="21" t="str">
        <f>"Line "&amp;A36&amp;" x Franchise Fee Rate"</f>
        <v>Line 25 x Franchise Fee Rate</v>
      </c>
      <c r="J38" s="479">
        <f t="shared" si="1"/>
        <v>27</v>
      </c>
      <c r="L38"/>
      <c r="M38"/>
      <c r="N38"/>
      <c r="O38"/>
      <c r="P38"/>
    </row>
    <row r="39" spans="1:16">
      <c r="A39" s="479">
        <f t="shared" si="0"/>
        <v>28</v>
      </c>
      <c r="B39" s="59"/>
      <c r="C39" s="59"/>
      <c r="D39" s="59"/>
      <c r="E39" s="59"/>
      <c r="F39" s="59"/>
      <c r="G39" s="542"/>
      <c r="H39" s="51"/>
      <c r="I39" s="59"/>
      <c r="J39" s="479">
        <f t="shared" si="1"/>
        <v>28</v>
      </c>
    </row>
    <row r="40" spans="1:16">
      <c r="A40" s="479">
        <f t="shared" si="0"/>
        <v>29</v>
      </c>
      <c r="B40" s="59" t="s">
        <v>98</v>
      </c>
      <c r="C40" s="59"/>
      <c r="D40" s="59"/>
      <c r="E40" s="59"/>
      <c r="F40" s="59"/>
      <c r="G40" s="304">
        <f>G36+G38</f>
        <v>792.18665105126604</v>
      </c>
      <c r="H40" s="461"/>
      <c r="I40" s="21" t="str">
        <f>"Line "&amp;A36&amp;" + Line "&amp;A38</f>
        <v>Line 25 + Line 27</v>
      </c>
      <c r="J40" s="479">
        <f t="shared" si="1"/>
        <v>29</v>
      </c>
    </row>
    <row r="41" spans="1:16">
      <c r="A41" s="479">
        <f t="shared" si="0"/>
        <v>30</v>
      </c>
      <c r="B41" s="59"/>
      <c r="C41" s="59"/>
      <c r="D41" s="59"/>
      <c r="E41" s="59"/>
      <c r="F41" s="59"/>
      <c r="G41" s="486"/>
      <c r="H41" s="59"/>
      <c r="I41" s="59"/>
      <c r="J41" s="479">
        <f t="shared" si="1"/>
        <v>30</v>
      </c>
    </row>
    <row r="42" spans="1:16" ht="16.5" thickBot="1">
      <c r="A42" s="479">
        <f t="shared" si="0"/>
        <v>31</v>
      </c>
      <c r="B42" s="44" t="s">
        <v>99</v>
      </c>
      <c r="C42" s="59"/>
      <c r="D42" s="59"/>
      <c r="E42" s="59"/>
      <c r="F42" s="59"/>
      <c r="G42" s="719">
        <f>G18+G21+G40</f>
        <v>831.03377771955059</v>
      </c>
      <c r="H42" s="470"/>
      <c r="I42" s="21" t="str">
        <f>"Line "&amp;A18&amp;" + Line "&amp;A21&amp;" + Line "&amp;A40&amp;""</f>
        <v>Line 7 + Line 10 + Line 29</v>
      </c>
      <c r="J42" s="479">
        <f t="shared" si="1"/>
        <v>31</v>
      </c>
    </row>
    <row r="43" spans="1:16" ht="16.5" thickTop="1">
      <c r="A43" s="479"/>
      <c r="B43" s="59"/>
      <c r="C43" s="59"/>
      <c r="D43" s="59"/>
      <c r="E43" s="59"/>
      <c r="F43" s="59"/>
      <c r="G43" s="52"/>
      <c r="H43" s="52"/>
      <c r="I43" s="21"/>
      <c r="J43" s="479"/>
    </row>
    <row r="44" spans="1:16">
      <c r="A44" s="479"/>
      <c r="B44" s="44"/>
      <c r="C44" s="44"/>
      <c r="D44" s="44"/>
      <c r="E44" s="44"/>
      <c r="F44" s="44"/>
      <c r="G44" s="44"/>
      <c r="H44" s="44"/>
      <c r="I44" s="44"/>
      <c r="J44" s="479"/>
    </row>
    <row r="45" spans="1:16" ht="18.75">
      <c r="A45" s="777"/>
      <c r="B45" s="778"/>
      <c r="C45" s="44"/>
      <c r="D45" s="44"/>
      <c r="E45" s="44"/>
      <c r="F45" s="44"/>
      <c r="G45" s="44"/>
      <c r="H45" s="44"/>
      <c r="I45" s="44"/>
      <c r="J45" s="479"/>
    </row>
    <row r="46" spans="1:16">
      <c r="A46" s="779"/>
      <c r="B46" s="778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topLeftCell="A13" zoomScale="80" zoomScaleNormal="80" zoomScalePageLayoutView="80" workbookViewId="0">
      <selection activeCell="B32" sqref="B32"/>
    </sheetView>
  </sheetViews>
  <sheetFormatPr defaultColWidth="8.85546875" defaultRowHeight="15.75"/>
  <cols>
    <col min="1" max="1" width="5.42578125" style="211" bestFit="1" customWidth="1"/>
    <col min="2" max="2" width="80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55.5703125" style="191" customWidth="1"/>
    <col min="8" max="8" width="5.1406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G1" s="211"/>
      <c r="H1" s="211"/>
    </row>
    <row r="2" spans="1:10">
      <c r="B2" s="1303" t="s">
        <v>0</v>
      </c>
      <c r="C2" s="1303"/>
      <c r="D2" s="1303"/>
      <c r="E2" s="1303"/>
      <c r="F2" s="1303"/>
      <c r="G2" s="1303"/>
      <c r="H2" s="211"/>
    </row>
    <row r="3" spans="1:10">
      <c r="B3" s="1303" t="s">
        <v>379</v>
      </c>
      <c r="C3" s="1303"/>
      <c r="D3" s="1303"/>
      <c r="E3" s="1303"/>
      <c r="F3" s="1303"/>
      <c r="G3" s="1303"/>
      <c r="H3" s="211"/>
    </row>
    <row r="4" spans="1:10">
      <c r="B4" s="1303" t="s">
        <v>380</v>
      </c>
      <c r="C4" s="1303"/>
      <c r="D4" s="1303"/>
      <c r="E4" s="1303"/>
      <c r="F4" s="1303"/>
      <c r="G4" s="1303"/>
      <c r="H4" s="211"/>
    </row>
    <row r="5" spans="1:10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  <c r="J5" s="1180"/>
    </row>
    <row r="6" spans="1:10">
      <c r="B6" s="1301" t="s">
        <v>3</v>
      </c>
      <c r="C6" s="1314"/>
      <c r="D6" s="1314"/>
      <c r="E6" s="1314"/>
      <c r="F6" s="1314"/>
      <c r="G6" s="1314"/>
      <c r="H6" s="211"/>
    </row>
    <row r="7" spans="1:10">
      <c r="B7" s="211"/>
      <c r="C7" s="211"/>
      <c r="D7" s="211"/>
      <c r="E7" s="387"/>
      <c r="F7" s="387"/>
      <c r="G7" s="211"/>
      <c r="H7" s="211"/>
    </row>
    <row r="8" spans="1:10">
      <c r="A8" s="211" t="s">
        <v>4</v>
      </c>
      <c r="B8" s="471"/>
      <c r="C8" s="211" t="s">
        <v>186</v>
      </c>
      <c r="D8" s="471"/>
      <c r="E8" s="388"/>
      <c r="F8" s="388"/>
      <c r="G8" s="211"/>
      <c r="H8" s="211" t="s">
        <v>4</v>
      </c>
    </row>
    <row r="9" spans="1:10">
      <c r="A9" s="211" t="s">
        <v>5</v>
      </c>
      <c r="C9" s="845" t="s">
        <v>188</v>
      </c>
      <c r="D9" s="471"/>
      <c r="E9" s="862" t="s">
        <v>7</v>
      </c>
      <c r="F9" s="388"/>
      <c r="G9" s="845" t="s">
        <v>8</v>
      </c>
      <c r="H9" s="211" t="s">
        <v>5</v>
      </c>
    </row>
    <row r="10" spans="1:10">
      <c r="C10" s="471"/>
      <c r="D10" s="471"/>
      <c r="E10" s="388"/>
      <c r="F10" s="388"/>
      <c r="G10" s="211"/>
      <c r="H10" s="211"/>
      <c r="J10" s="342"/>
    </row>
    <row r="11" spans="1:10">
      <c r="A11" s="211">
        <v>1</v>
      </c>
      <c r="B11" s="19" t="s">
        <v>381</v>
      </c>
      <c r="C11" s="471"/>
      <c r="D11" s="471"/>
      <c r="E11" s="388"/>
      <c r="F11" s="388"/>
      <c r="G11" s="211"/>
      <c r="H11" s="211">
        <f>A11</f>
        <v>1</v>
      </c>
    </row>
    <row r="12" spans="1:10">
      <c r="A12" s="211">
        <f>+A11+1</f>
        <v>2</v>
      </c>
      <c r="B12" s="16" t="s">
        <v>382</v>
      </c>
      <c r="C12" s="471"/>
      <c r="D12" s="471"/>
      <c r="E12" s="358">
        <f>'AH-1'!D58</f>
        <v>24.69952</v>
      </c>
      <c r="F12" s="388"/>
      <c r="G12" s="211" t="str">
        <f>"AH-1; Line "&amp;'AH-1'!A58</f>
        <v>AH-1; Line 50</v>
      </c>
      <c r="H12" s="211">
        <f>H11+1</f>
        <v>2</v>
      </c>
    </row>
    <row r="13" spans="1:10">
      <c r="A13" s="211">
        <f t="shared" ref="A13:A68" si="0">+A12+1</f>
        <v>3</v>
      </c>
      <c r="C13" s="471"/>
      <c r="D13" s="471"/>
      <c r="E13" s="388"/>
      <c r="F13" s="388"/>
      <c r="G13" s="211"/>
      <c r="H13" s="211">
        <f t="shared" ref="H13:H68" si="1">H12+1</f>
        <v>3</v>
      </c>
    </row>
    <row r="14" spans="1:10">
      <c r="A14" s="211">
        <f t="shared" si="0"/>
        <v>4</v>
      </c>
      <c r="B14" s="19" t="s">
        <v>383</v>
      </c>
      <c r="G14" s="211"/>
      <c r="H14" s="211">
        <f t="shared" si="1"/>
        <v>4</v>
      </c>
    </row>
    <row r="15" spans="1:10">
      <c r="A15" s="211">
        <f t="shared" si="0"/>
        <v>5</v>
      </c>
      <c r="B15" s="3" t="s">
        <v>384</v>
      </c>
      <c r="C15" s="211"/>
      <c r="E15" s="358">
        <f>'AH-2'!D47</f>
        <v>148831.12895999997</v>
      </c>
      <c r="G15" s="211" t="str">
        <f>"AH-2; Line "&amp;'AH-2'!A47&amp;"; Col. a"</f>
        <v>AH-2; Line 37; Col. a</v>
      </c>
      <c r="H15" s="211">
        <f t="shared" si="1"/>
        <v>5</v>
      </c>
    </row>
    <row r="16" spans="1:10">
      <c r="A16" s="211">
        <f t="shared" si="0"/>
        <v>6</v>
      </c>
      <c r="B16" s="6" t="s">
        <v>385</v>
      </c>
      <c r="E16" s="303"/>
      <c r="G16" s="211"/>
      <c r="H16" s="211">
        <f t="shared" si="1"/>
        <v>6</v>
      </c>
    </row>
    <row r="17" spans="1:10">
      <c r="A17" s="211">
        <f t="shared" si="0"/>
        <v>7</v>
      </c>
      <c r="B17" s="3" t="s">
        <v>386</v>
      </c>
      <c r="C17" s="211"/>
      <c r="E17" s="279">
        <f>-'AH-2'!E52</f>
        <v>-2802.2510600000001</v>
      </c>
      <c r="G17" s="211" t="str">
        <f>"Negative of AH-2; Line "&amp;'AH-2'!A52&amp;"; Col. b"</f>
        <v>Negative of AH-2; Line 42; Col. b</v>
      </c>
      <c r="H17" s="211">
        <f t="shared" si="1"/>
        <v>7</v>
      </c>
    </row>
    <row r="18" spans="1:10">
      <c r="A18" s="211">
        <f t="shared" si="0"/>
        <v>8</v>
      </c>
      <c r="B18" s="3" t="s">
        <v>387</v>
      </c>
      <c r="E18" s="279">
        <f>-'AH-2'!E53</f>
        <v>-1516.30691</v>
      </c>
      <c r="G18" s="211" t="str">
        <f>"Negative of AH-2; Line "&amp;'AH-2'!A53&amp;"; Col. b"</f>
        <v>Negative of AH-2; Line 43; Col. b</v>
      </c>
      <c r="H18" s="211">
        <f t="shared" si="1"/>
        <v>8</v>
      </c>
    </row>
    <row r="19" spans="1:10">
      <c r="A19" s="211">
        <f t="shared" si="0"/>
        <v>9</v>
      </c>
      <c r="B19" s="16" t="s">
        <v>388</v>
      </c>
      <c r="E19" s="279">
        <f>-'AH-2'!E54</f>
        <v>-11762.996999999999</v>
      </c>
      <c r="G19" s="211" t="str">
        <f>"Negative of AH-2; Line "&amp;'AH-2'!A54&amp;"; Col. b"</f>
        <v>Negative of AH-2; Line 44; Col. b</v>
      </c>
      <c r="H19" s="211">
        <f t="shared" si="1"/>
        <v>9</v>
      </c>
      <c r="J19" s="342"/>
    </row>
    <row r="20" spans="1:10">
      <c r="A20" s="211">
        <f>+A19+1</f>
        <v>10</v>
      </c>
      <c r="B20" s="16" t="s">
        <v>389</v>
      </c>
      <c r="E20" s="279">
        <f>-'AH-2'!E55</f>
        <v>-16.190999999999999</v>
      </c>
      <c r="G20" s="211" t="str">
        <f>"Negative of AH-2; Line "&amp;'AH-2'!A55&amp;"; Col. b"</f>
        <v>Negative of AH-2; Line 45; Col. b</v>
      </c>
      <c r="H20" s="211">
        <f>H19+1</f>
        <v>10</v>
      </c>
      <c r="J20" s="342"/>
    </row>
    <row r="21" spans="1:10">
      <c r="A21" s="211">
        <f t="shared" si="0"/>
        <v>11</v>
      </c>
      <c r="B21" s="3" t="s">
        <v>390</v>
      </c>
      <c r="E21" s="279">
        <f>-'AH-2'!E56</f>
        <v>0</v>
      </c>
      <c r="G21" s="211" t="str">
        <f>"Negative of AH-2; Line "&amp;'AH-2'!A56&amp;"; Col. b"</f>
        <v>Negative of AH-2; Line 46; Col. b</v>
      </c>
      <c r="H21" s="211">
        <f t="shared" si="1"/>
        <v>11</v>
      </c>
    </row>
    <row r="22" spans="1:10">
      <c r="A22" s="211">
        <f t="shared" si="0"/>
        <v>12</v>
      </c>
      <c r="B22" s="3" t="s">
        <v>391</v>
      </c>
      <c r="E22" s="279">
        <f>-'AH-2'!E62</f>
        <v>-13147.83533</v>
      </c>
      <c r="G22" s="211" t="str">
        <f>"Negative of AH-2; Line "&amp;'AH-2'!A62&amp;"; Col. b"</f>
        <v>Negative of AH-2; Line 52; Col. b</v>
      </c>
      <c r="H22" s="211">
        <f t="shared" si="1"/>
        <v>12</v>
      </c>
    </row>
    <row r="23" spans="1:10">
      <c r="A23" s="211">
        <f t="shared" si="0"/>
        <v>13</v>
      </c>
      <c r="B23" s="16" t="s">
        <v>392</v>
      </c>
      <c r="E23" s="279">
        <f>-'AH-2'!E63</f>
        <v>-21615.627</v>
      </c>
      <c r="G23" s="211" t="str">
        <f>"Negative of AH-2; Line "&amp;'AH-2'!A63&amp;"; Col. b"</f>
        <v>Negative of AH-2; Line 53; Col. b</v>
      </c>
      <c r="H23" s="211">
        <f t="shared" si="1"/>
        <v>13</v>
      </c>
      <c r="J23"/>
    </row>
    <row r="24" spans="1:10">
      <c r="A24" s="211">
        <f t="shared" si="0"/>
        <v>14</v>
      </c>
      <c r="B24" s="16" t="s">
        <v>393</v>
      </c>
      <c r="E24" s="279">
        <f>-'AH-2'!E64</f>
        <v>-36071.786999999997</v>
      </c>
      <c r="G24" s="211" t="str">
        <f>"Negative of AH-2; Line "&amp;'AH-2'!A64&amp;"; Col. b"</f>
        <v>Negative of AH-2; Line 54; Col. b</v>
      </c>
      <c r="H24" s="211">
        <f t="shared" si="1"/>
        <v>14</v>
      </c>
      <c r="J24"/>
    </row>
    <row r="25" spans="1:10">
      <c r="A25" s="211">
        <f t="shared" si="0"/>
        <v>15</v>
      </c>
      <c r="B25" s="16" t="s">
        <v>394</v>
      </c>
      <c r="E25" s="279">
        <f>-'AH-2'!E65</f>
        <v>-1151.414</v>
      </c>
      <c r="G25" s="211" t="str">
        <f>"Negative of AH-2; Line "&amp;'AH-2'!A65&amp;"; Col. b"</f>
        <v>Negative of AH-2; Line 55; Col. b</v>
      </c>
      <c r="H25" s="211">
        <f t="shared" si="1"/>
        <v>15</v>
      </c>
      <c r="J25"/>
    </row>
    <row r="26" spans="1:10">
      <c r="A26" s="211">
        <f t="shared" si="0"/>
        <v>16</v>
      </c>
      <c r="B26" s="3" t="s">
        <v>855</v>
      </c>
      <c r="E26" s="1144">
        <f>-'AH-2'!E51</f>
        <v>-111.42700000000001</v>
      </c>
      <c r="G26" s="211" t="s">
        <v>888</v>
      </c>
      <c r="H26" s="211">
        <f t="shared" si="1"/>
        <v>16</v>
      </c>
    </row>
    <row r="27" spans="1:10">
      <c r="A27" s="211">
        <f t="shared" si="0"/>
        <v>17</v>
      </c>
      <c r="B27" s="3" t="s">
        <v>395</v>
      </c>
      <c r="E27" s="1132">
        <f>SUM(E15:E26)</f>
        <v>60635.292659999948</v>
      </c>
      <c r="G27" s="390" t="str">
        <f>"Sum Lines "&amp;A15&amp;" thru "&amp;A26</f>
        <v>Sum Lines 5 thru 16</v>
      </c>
      <c r="H27" s="211">
        <f t="shared" si="1"/>
        <v>17</v>
      </c>
    </row>
    <row r="28" spans="1:10">
      <c r="A28" s="211">
        <f t="shared" si="0"/>
        <v>18</v>
      </c>
      <c r="E28" s="150"/>
      <c r="H28" s="211">
        <f t="shared" si="1"/>
        <v>18</v>
      </c>
    </row>
    <row r="29" spans="1:10">
      <c r="A29" s="211">
        <f t="shared" si="0"/>
        <v>19</v>
      </c>
      <c r="B29" s="20" t="s">
        <v>396</v>
      </c>
      <c r="E29" s="391"/>
      <c r="G29" s="211"/>
      <c r="H29" s="211">
        <f t="shared" si="1"/>
        <v>19</v>
      </c>
    </row>
    <row r="30" spans="1:10">
      <c r="A30" s="211">
        <f t="shared" si="0"/>
        <v>20</v>
      </c>
      <c r="B30" s="6" t="s">
        <v>397</v>
      </c>
      <c r="C30" s="211"/>
      <c r="E30" s="358">
        <f>'AH-3'!D30</f>
        <v>609621.64076999994</v>
      </c>
      <c r="G30" s="211" t="str">
        <f>"AH-3; Line "&amp;'AH-3'!A30&amp;"; Col. a"</f>
        <v>AH-3; Line 20; Col. a</v>
      </c>
      <c r="H30" s="211">
        <f t="shared" si="1"/>
        <v>20</v>
      </c>
    </row>
    <row r="31" spans="1:10">
      <c r="A31" s="211">
        <f t="shared" si="0"/>
        <v>21</v>
      </c>
      <c r="B31" s="6" t="s">
        <v>398</v>
      </c>
      <c r="E31" s="391" t="s">
        <v>183</v>
      </c>
      <c r="G31" s="211"/>
      <c r="H31" s="211">
        <f t="shared" si="1"/>
        <v>21</v>
      </c>
    </row>
    <row r="32" spans="1:10">
      <c r="A32" s="211">
        <f t="shared" si="0"/>
        <v>22</v>
      </c>
      <c r="B32" s="17" t="s">
        <v>399</v>
      </c>
      <c r="E32" s="279">
        <f>-'AH-3'!E44</f>
        <v>-278.70775000000003</v>
      </c>
      <c r="G32" s="211" t="s">
        <v>1024</v>
      </c>
      <c r="H32" s="211">
        <f t="shared" si="1"/>
        <v>22</v>
      </c>
      <c r="I32" s="643"/>
      <c r="J32" s="392"/>
    </row>
    <row r="33" spans="1:10" ht="31.5">
      <c r="A33" s="211">
        <f t="shared" si="0"/>
        <v>23</v>
      </c>
      <c r="B33" s="18" t="s">
        <v>400</v>
      </c>
      <c r="E33" s="279">
        <f>-SUM('AH-3'!E34+'AH-3'!E35+'AH-3'!D39)</f>
        <v>-1620.6259018430001</v>
      </c>
      <c r="G33" s="409" t="s">
        <v>1023</v>
      </c>
      <c r="H33" s="211">
        <f t="shared" si="1"/>
        <v>23</v>
      </c>
      <c r="I33" s="643"/>
      <c r="J33" s="392"/>
    </row>
    <row r="34" spans="1:10">
      <c r="A34" s="211">
        <f t="shared" si="0"/>
        <v>24</v>
      </c>
      <c r="B34" s="17" t="s">
        <v>401</v>
      </c>
      <c r="E34" s="279">
        <f>-'AH-3'!D40</f>
        <v>0</v>
      </c>
      <c r="G34" s="211" t="s">
        <v>1010</v>
      </c>
      <c r="H34" s="211">
        <f t="shared" si="1"/>
        <v>24</v>
      </c>
      <c r="I34" s="643"/>
      <c r="J34" s="392"/>
    </row>
    <row r="35" spans="1:10" ht="15.75" customHeight="1">
      <c r="A35" s="211">
        <f t="shared" si="0"/>
        <v>25</v>
      </c>
      <c r="B35" s="18" t="s">
        <v>402</v>
      </c>
      <c r="E35" s="279">
        <f>-'AH-3'!D41</f>
        <v>-1168.0407399999999</v>
      </c>
      <c r="G35" s="211" t="s">
        <v>1025</v>
      </c>
      <c r="H35" s="211">
        <f t="shared" si="1"/>
        <v>25</v>
      </c>
      <c r="I35" s="643"/>
      <c r="J35" s="392"/>
    </row>
    <row r="36" spans="1:10">
      <c r="A36" s="211">
        <f t="shared" si="0"/>
        <v>26</v>
      </c>
      <c r="B36" s="17" t="s">
        <v>891</v>
      </c>
      <c r="E36" s="279">
        <f>-'AH-3'!D37</f>
        <v>-17282.341769999999</v>
      </c>
      <c r="G36" s="211" t="s">
        <v>1026</v>
      </c>
      <c r="H36" s="211">
        <f t="shared" si="1"/>
        <v>26</v>
      </c>
      <c r="J36"/>
    </row>
    <row r="37" spans="1:10">
      <c r="A37" s="211">
        <f t="shared" si="0"/>
        <v>27</v>
      </c>
      <c r="B37" s="17" t="s">
        <v>403</v>
      </c>
      <c r="E37" s="279">
        <v>0</v>
      </c>
      <c r="G37" s="726" t="s">
        <v>1027</v>
      </c>
      <c r="H37" s="211">
        <f t="shared" si="1"/>
        <v>27</v>
      </c>
      <c r="J37"/>
    </row>
    <row r="38" spans="1:10">
      <c r="A38" s="211">
        <f t="shared" si="0"/>
        <v>28</v>
      </c>
      <c r="B38" s="17" t="s">
        <v>404</v>
      </c>
      <c r="E38" s="279">
        <f>-'AH-3'!E43</f>
        <v>-31.128819999999994</v>
      </c>
      <c r="G38" s="409" t="s">
        <v>1028</v>
      </c>
      <c r="H38" s="211">
        <f t="shared" si="1"/>
        <v>28</v>
      </c>
      <c r="I38" s="643"/>
      <c r="J38" s="342"/>
    </row>
    <row r="39" spans="1:10">
      <c r="A39" s="211">
        <f t="shared" si="0"/>
        <v>29</v>
      </c>
      <c r="B39" s="17" t="s">
        <v>405</v>
      </c>
      <c r="E39" s="279">
        <f>-'AH-3'!E36</f>
        <v>-112800.96351999999</v>
      </c>
      <c r="G39" s="211" t="s">
        <v>1029</v>
      </c>
      <c r="H39" s="211">
        <f t="shared" si="1"/>
        <v>29</v>
      </c>
      <c r="I39" s="643"/>
      <c r="J39" s="392"/>
    </row>
    <row r="40" spans="1:10">
      <c r="A40" s="211">
        <f t="shared" si="0"/>
        <v>30</v>
      </c>
      <c r="B40" s="17" t="s">
        <v>406</v>
      </c>
      <c r="E40" s="279">
        <f>-'AH-3'!E45</f>
        <v>0</v>
      </c>
      <c r="G40" s="409" t="s">
        <v>1030</v>
      </c>
      <c r="H40" s="211">
        <f t="shared" si="1"/>
        <v>30</v>
      </c>
    </row>
    <row r="41" spans="1:10">
      <c r="A41" s="211">
        <f t="shared" si="0"/>
        <v>31</v>
      </c>
      <c r="B41" s="17" t="s">
        <v>407</v>
      </c>
      <c r="E41" s="279">
        <f>-'AH-3'!D38</f>
        <v>0</v>
      </c>
      <c r="G41" s="409" t="s">
        <v>1031</v>
      </c>
      <c r="H41" s="211">
        <f t="shared" si="1"/>
        <v>31</v>
      </c>
    </row>
    <row r="42" spans="1:10">
      <c r="A42" s="211">
        <f t="shared" si="0"/>
        <v>32</v>
      </c>
      <c r="B42" s="18" t="s">
        <v>856</v>
      </c>
      <c r="E42" s="1193">
        <f>-SUM('AH-3'!E42)</f>
        <v>0</v>
      </c>
      <c r="G42" s="409" t="s">
        <v>1032</v>
      </c>
      <c r="H42" s="211">
        <f t="shared" si="1"/>
        <v>32</v>
      </c>
      <c r="J42" s="392"/>
    </row>
    <row r="43" spans="1:10">
      <c r="A43" s="211">
        <f t="shared" si="0"/>
        <v>33</v>
      </c>
      <c r="B43" s="6" t="s">
        <v>408</v>
      </c>
      <c r="E43" s="393">
        <f>SUM(E30:E42)</f>
        <v>476439.83226815704</v>
      </c>
      <c r="G43" s="211" t="str">
        <f>"Sum Lines "&amp;A30&amp;" thru "&amp;A42</f>
        <v>Sum Lines 20 thru 32</v>
      </c>
      <c r="H43" s="211">
        <f t="shared" si="1"/>
        <v>33</v>
      </c>
      <c r="J43" s="776"/>
    </row>
    <row r="44" spans="1:10">
      <c r="A44" s="211">
        <f t="shared" si="0"/>
        <v>34</v>
      </c>
      <c r="B44" s="6" t="s">
        <v>409</v>
      </c>
      <c r="E44" s="875">
        <f>-'AH-3'!F15</f>
        <v>-10420.114649999998</v>
      </c>
      <c r="G44" s="211" t="str">
        <f>"Negative of AH-3; Line "&amp;'AH-3'!A15&amp;"; Col. c"</f>
        <v>Negative of AH-3; Line 5; Col. c</v>
      </c>
      <c r="H44" s="211">
        <f t="shared" si="1"/>
        <v>34</v>
      </c>
      <c r="J44" s="776"/>
    </row>
    <row r="45" spans="1:10">
      <c r="A45" s="211">
        <f t="shared" si="0"/>
        <v>35</v>
      </c>
      <c r="B45" s="6" t="s">
        <v>410</v>
      </c>
      <c r="E45" s="393">
        <f>SUM(E43:E44)</f>
        <v>466019.71761815704</v>
      </c>
      <c r="G45" s="211" t="str">
        <f>"Line "&amp;A43&amp;" + Line "&amp;A44</f>
        <v>Line 33 + Line 34</v>
      </c>
      <c r="H45" s="211">
        <f t="shared" si="1"/>
        <v>35</v>
      </c>
      <c r="J45" s="567"/>
    </row>
    <row r="46" spans="1:10">
      <c r="A46" s="211">
        <f t="shared" si="0"/>
        <v>36</v>
      </c>
      <c r="B46" s="3" t="s">
        <v>195</v>
      </c>
      <c r="E46" s="876">
        <f>'Stmt AI'!E27</f>
        <v>0.11129405685920617</v>
      </c>
      <c r="G46" s="390" t="str">
        <f>"Statement AI; Line "&amp;'Stmt AI'!A27</f>
        <v>Statement AI; Line 17</v>
      </c>
      <c r="H46" s="211">
        <f t="shared" si="1"/>
        <v>36</v>
      </c>
    </row>
    <row r="47" spans="1:10">
      <c r="A47" s="211">
        <f t="shared" si="0"/>
        <v>37</v>
      </c>
      <c r="B47" s="6" t="s">
        <v>411</v>
      </c>
      <c r="E47" s="1133">
        <f>E45*E46</f>
        <v>51865.224950106371</v>
      </c>
      <c r="G47" s="211" t="str">
        <f>"Line "&amp;A45&amp;" x Line "&amp;A46</f>
        <v>Line 35 x Line 36</v>
      </c>
      <c r="H47" s="211">
        <f t="shared" si="1"/>
        <v>37</v>
      </c>
    </row>
    <row r="48" spans="1:10">
      <c r="A48" s="211">
        <f t="shared" si="0"/>
        <v>38</v>
      </c>
      <c r="B48" s="191" t="s">
        <v>412</v>
      </c>
      <c r="E48" s="877">
        <f>E68*(-E44)</f>
        <v>3849.0750485056392</v>
      </c>
      <c r="G48" s="211" t="str">
        <f>"Negative of Line "&amp;A44&amp;" x Line "&amp;A68</f>
        <v>Negative of Line 34 x Line 58</v>
      </c>
      <c r="H48" s="211">
        <f t="shared" si="1"/>
        <v>38</v>
      </c>
    </row>
    <row r="49" spans="1:10" ht="16.5" thickBot="1">
      <c r="A49" s="211">
        <f t="shared" si="0"/>
        <v>39</v>
      </c>
      <c r="B49" s="349" t="s">
        <v>413</v>
      </c>
      <c r="E49" s="406">
        <f>E48+E47</f>
        <v>55714.299998612012</v>
      </c>
      <c r="G49" s="211" t="str">
        <f>"Line "&amp;A47&amp;" + Line "&amp;A48</f>
        <v>Line 37 + Line 38</v>
      </c>
      <c r="H49" s="211">
        <f t="shared" si="1"/>
        <v>39</v>
      </c>
      <c r="I49" s="349"/>
    </row>
    <row r="50" spans="1:10" ht="16.5" thickTop="1">
      <c r="A50" s="211">
        <f t="shared" si="0"/>
        <v>40</v>
      </c>
      <c r="B50" s="394"/>
      <c r="E50" s="395"/>
      <c r="G50" s="211"/>
      <c r="H50" s="211">
        <f t="shared" si="1"/>
        <v>40</v>
      </c>
    </row>
    <row r="51" spans="1:10">
      <c r="A51" s="211">
        <f t="shared" si="0"/>
        <v>41</v>
      </c>
      <c r="B51" s="7" t="s">
        <v>414</v>
      </c>
      <c r="E51" s="396"/>
      <c r="G51" s="211"/>
      <c r="H51" s="211">
        <f t="shared" si="1"/>
        <v>41</v>
      </c>
    </row>
    <row r="52" spans="1:10">
      <c r="A52" s="211">
        <f t="shared" si="0"/>
        <v>42</v>
      </c>
      <c r="B52" s="6" t="s">
        <v>415</v>
      </c>
      <c r="E52" s="397">
        <f>'Stmt AD'!I35</f>
        <v>8436617.1055796891</v>
      </c>
      <c r="G52" s="211" t="str">
        <f>"Statement AD; Line "&amp;'Stmt AD'!A35</f>
        <v>Statement AD; Line 25</v>
      </c>
      <c r="H52" s="211">
        <f t="shared" si="1"/>
        <v>42</v>
      </c>
    </row>
    <row r="53" spans="1:10">
      <c r="A53" s="211">
        <f t="shared" si="0"/>
        <v>43</v>
      </c>
      <c r="B53" s="6" t="s">
        <v>197</v>
      </c>
      <c r="E53" s="398">
        <v>0</v>
      </c>
      <c r="G53" s="211" t="s">
        <v>303</v>
      </c>
      <c r="H53" s="211">
        <f t="shared" si="1"/>
        <v>43</v>
      </c>
    </row>
    <row r="54" spans="1:10">
      <c r="A54" s="211">
        <f t="shared" si="0"/>
        <v>44</v>
      </c>
      <c r="B54" s="6" t="s">
        <v>198</v>
      </c>
      <c r="E54" s="399">
        <f>'Stmt AD'!I39</f>
        <v>70461.848749219716</v>
      </c>
      <c r="G54" s="400" t="str">
        <f>"Statement AD; Line "&amp;'Stmt AD'!A39</f>
        <v>Statement AD; Line 29</v>
      </c>
      <c r="H54" s="211">
        <f t="shared" si="1"/>
        <v>44</v>
      </c>
    </row>
    <row r="55" spans="1:10">
      <c r="A55" s="211">
        <f t="shared" si="0"/>
        <v>45</v>
      </c>
      <c r="B55" s="6" t="s">
        <v>199</v>
      </c>
      <c r="E55" s="878">
        <f>'Stmt AD'!I41</f>
        <v>209834.39963011243</v>
      </c>
      <c r="G55" s="400" t="str">
        <f>"Statement AD; Line "&amp;'Stmt AD'!A41</f>
        <v>Statement AD; Line 31</v>
      </c>
      <c r="H55" s="211">
        <f t="shared" si="1"/>
        <v>45</v>
      </c>
    </row>
    <row r="56" spans="1:10" ht="16.5" thickBot="1">
      <c r="A56" s="211">
        <f t="shared" si="0"/>
        <v>46</v>
      </c>
      <c r="B56" s="6" t="s">
        <v>416</v>
      </c>
      <c r="E56" s="1069">
        <f>SUM(E52:E55)</f>
        <v>8716913.3539590221</v>
      </c>
      <c r="G56" s="211" t="str">
        <f>"Sum Lines "&amp;A52&amp;" thru "&amp;A55</f>
        <v>Sum Lines 42 thru 45</v>
      </c>
      <c r="H56" s="211">
        <f t="shared" si="1"/>
        <v>46</v>
      </c>
      <c r="I56" s="349"/>
      <c r="J56" s="776"/>
    </row>
    <row r="57" spans="1:10" ht="16.5" thickTop="1">
      <c r="A57" s="211">
        <f t="shared" si="0"/>
        <v>47</v>
      </c>
      <c r="B57" s="394"/>
      <c r="E57" s="150"/>
      <c r="G57" s="211"/>
      <c r="H57" s="211">
        <f t="shared" si="1"/>
        <v>47</v>
      </c>
    </row>
    <row r="58" spans="1:10">
      <c r="A58" s="211">
        <f t="shared" si="0"/>
        <v>48</v>
      </c>
      <c r="B58" s="6" t="s">
        <v>196</v>
      </c>
      <c r="E58" s="401">
        <f>E52</f>
        <v>8436617.1055796891</v>
      </c>
      <c r="G58" s="288" t="str">
        <f>"Line "&amp;A52&amp;" Above"</f>
        <v>Line 42 Above</v>
      </c>
      <c r="H58" s="211">
        <f t="shared" si="1"/>
        <v>48</v>
      </c>
    </row>
    <row r="59" spans="1:10">
      <c r="A59" s="211">
        <f t="shared" si="0"/>
        <v>49</v>
      </c>
      <c r="B59" s="6" t="s">
        <v>417</v>
      </c>
      <c r="E59" s="402">
        <f>'Stmt AD'!I11</f>
        <v>593486.33534692298</v>
      </c>
      <c r="G59" s="400" t="str">
        <f>"Statement AD; Line "&amp;'Stmt AD'!A11</f>
        <v>Statement AD; Line 1</v>
      </c>
      <c r="H59" s="211">
        <f t="shared" si="1"/>
        <v>49</v>
      </c>
    </row>
    <row r="60" spans="1:10">
      <c r="A60" s="211">
        <f t="shared" si="0"/>
        <v>50</v>
      </c>
      <c r="B60" s="6" t="s">
        <v>418</v>
      </c>
      <c r="E60" s="398">
        <v>0</v>
      </c>
      <c r="G60" s="211" t="s">
        <v>303</v>
      </c>
      <c r="H60" s="211">
        <f t="shared" si="1"/>
        <v>50</v>
      </c>
    </row>
    <row r="61" spans="1:10">
      <c r="A61" s="211">
        <f t="shared" si="0"/>
        <v>51</v>
      </c>
      <c r="B61" s="6" t="s">
        <v>419</v>
      </c>
      <c r="E61" s="402">
        <f>'Stmt AD'!I17</f>
        <v>583302.3956007692</v>
      </c>
      <c r="G61" s="400" t="str">
        <f>"Statement AD; Line "&amp;'Stmt AD'!A17</f>
        <v>Statement AD; Line 7</v>
      </c>
      <c r="H61" s="211">
        <f t="shared" si="1"/>
        <v>51</v>
      </c>
    </row>
    <row r="62" spans="1:10">
      <c r="A62" s="211">
        <f t="shared" si="0"/>
        <v>52</v>
      </c>
      <c r="B62" s="6" t="s">
        <v>420</v>
      </c>
      <c r="E62" s="402">
        <f>'Stmt AD'!I19</f>
        <v>11466273.071649544</v>
      </c>
      <c r="G62" s="400" t="str">
        <f>"Statement AD; Line "&amp;'Stmt AD'!A19</f>
        <v>Statement AD; Line 9</v>
      </c>
      <c r="H62" s="211">
        <f t="shared" si="1"/>
        <v>52</v>
      </c>
    </row>
    <row r="63" spans="1:10">
      <c r="A63" s="211">
        <f t="shared" si="0"/>
        <v>53</v>
      </c>
      <c r="B63" s="349" t="s">
        <v>197</v>
      </c>
      <c r="E63" s="398">
        <v>0</v>
      </c>
      <c r="G63" s="211" t="s">
        <v>303</v>
      </c>
      <c r="H63" s="211">
        <f t="shared" si="1"/>
        <v>53</v>
      </c>
    </row>
    <row r="64" spans="1:10">
      <c r="A64" s="211">
        <f t="shared" si="0"/>
        <v>54</v>
      </c>
      <c r="B64" s="6" t="s">
        <v>421</v>
      </c>
      <c r="E64" s="402">
        <f>'Stmt AD'!I27</f>
        <v>633114.20877000014</v>
      </c>
      <c r="G64" s="400" t="str">
        <f>"Statement AD; Line "&amp;'Stmt AD'!A27</f>
        <v>Statement AD; Line 17</v>
      </c>
      <c r="H64" s="211">
        <f t="shared" si="1"/>
        <v>54</v>
      </c>
    </row>
    <row r="65" spans="1:9">
      <c r="A65" s="211">
        <f t="shared" si="0"/>
        <v>55</v>
      </c>
      <c r="B65" s="6" t="s">
        <v>422</v>
      </c>
      <c r="E65" s="879">
        <f>'Stmt AD'!I29</f>
        <v>1885405.2547978</v>
      </c>
      <c r="G65" s="400" t="str">
        <f>"Statement AD; Line "&amp;'Stmt AD'!A29</f>
        <v>Statement AD; Line 19</v>
      </c>
      <c r="H65" s="211">
        <f t="shared" si="1"/>
        <v>55</v>
      </c>
    </row>
    <row r="66" spans="1:9" ht="16.5" thickBot="1">
      <c r="A66" s="211">
        <f t="shared" si="0"/>
        <v>56</v>
      </c>
      <c r="B66" s="6" t="s">
        <v>423</v>
      </c>
      <c r="E66" s="1070">
        <f>SUM(E58:E65)</f>
        <v>23598198.371744726</v>
      </c>
      <c r="G66" s="211" t="str">
        <f>"Sum Lines "&amp;A58&amp;" thru "&amp;A65</f>
        <v>Sum Lines 48 thru 55</v>
      </c>
      <c r="H66" s="211">
        <f t="shared" si="1"/>
        <v>56</v>
      </c>
      <c r="I66" s="349"/>
    </row>
    <row r="67" spans="1:9" ht="16.5" thickTop="1">
      <c r="A67" s="211">
        <f t="shared" si="0"/>
        <v>57</v>
      </c>
      <c r="E67" s="326"/>
      <c r="G67" s="211"/>
      <c r="H67" s="211">
        <f t="shared" si="1"/>
        <v>57</v>
      </c>
    </row>
    <row r="68" spans="1:9" ht="19.5" thickBot="1">
      <c r="A68" s="211">
        <f t="shared" si="0"/>
        <v>58</v>
      </c>
      <c r="B68" s="6" t="s">
        <v>424</v>
      </c>
      <c r="E68" s="403">
        <f>E56/E66</f>
        <v>0.36938893455511451</v>
      </c>
      <c r="G68" s="211" t="str">
        <f>"Line "&amp;A56&amp;" / Line "&amp;A66</f>
        <v>Line 46 / Line 56</v>
      </c>
      <c r="H68" s="211">
        <f t="shared" si="1"/>
        <v>58</v>
      </c>
      <c r="I68" s="349"/>
    </row>
    <row r="69" spans="1:9" ht="16.5" thickTop="1">
      <c r="B69" s="349" t="s">
        <v>183</v>
      </c>
      <c r="E69" s="404"/>
      <c r="G69" s="211"/>
      <c r="H69" s="211"/>
    </row>
    <row r="70" spans="1:9">
      <c r="B70" s="6"/>
      <c r="E70" s="404"/>
      <c r="F70" s="404"/>
      <c r="G70" s="211"/>
      <c r="H70" s="211"/>
    </row>
    <row r="71" spans="1:9" ht="18.75">
      <c r="A71" s="405">
        <v>1</v>
      </c>
      <c r="B71" s="6" t="str">
        <f>"Used to allocate property insurance in conformance with the TO"&amp;Automation!B1&amp;" Formula Rate Mechanism."</f>
        <v>Used to allocate property insurance in conformance with the TO6 Formula Rate Mechanism.</v>
      </c>
      <c r="H71" s="211"/>
    </row>
    <row r="72" spans="1:9">
      <c r="B72" s="349"/>
      <c r="E72" s="326"/>
      <c r="F72" s="326"/>
      <c r="G72" s="211"/>
      <c r="H72" s="21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Roman,Regular"&amp;10AH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9"/>
  <sheetViews>
    <sheetView zoomScale="80" zoomScaleNormal="80" workbookViewId="0">
      <selection activeCell="G70" sqref="G70"/>
    </sheetView>
  </sheetViews>
  <sheetFormatPr defaultColWidth="10" defaultRowHeight="15.75"/>
  <cols>
    <col min="1" max="1" width="5.42578125" style="657" customWidth="1"/>
    <col min="2" max="2" width="11.140625" style="645" customWidth="1"/>
    <col min="3" max="3" width="69.42578125" style="645" customWidth="1"/>
    <col min="4" max="4" width="18.5703125" style="645" customWidth="1"/>
    <col min="5" max="5" width="5.42578125" style="657" customWidth="1"/>
    <col min="6" max="7" width="10" style="645"/>
    <col min="8" max="8" width="14" style="645" customWidth="1"/>
    <col min="9" max="16384" width="10" style="645"/>
  </cols>
  <sheetData>
    <row r="2" spans="1:10">
      <c r="A2" s="644"/>
      <c r="B2" s="1303" t="s">
        <v>0</v>
      </c>
      <c r="C2" s="1303"/>
      <c r="D2" s="1303"/>
      <c r="E2" s="471"/>
      <c r="F2" s="210"/>
      <c r="G2" s="457"/>
      <c r="H2" s="457"/>
      <c r="I2" s="457"/>
      <c r="J2" s="457"/>
    </row>
    <row r="3" spans="1:10">
      <c r="A3" s="497"/>
      <c r="B3" s="1317" t="str">
        <f>Automation!B3&amp;" Citizens Direct Maintenance"</f>
        <v>2024 Citizens Direct Maintenance</v>
      </c>
      <c r="C3" s="1317"/>
      <c r="D3" s="1317"/>
      <c r="E3" s="498"/>
      <c r="F3" s="457"/>
      <c r="G3" s="457"/>
      <c r="H3" s="457"/>
      <c r="I3" s="457"/>
      <c r="J3" s="457"/>
    </row>
    <row r="4" spans="1:10">
      <c r="A4" s="96"/>
      <c r="B4" s="1290" t="str">
        <f>" 12 Months Ending December 31, "&amp;Automation!$B$3</f>
        <v xml:space="preserve"> 12 Months Ending December 31, 2024</v>
      </c>
      <c r="C4" s="1290"/>
      <c r="D4" s="1290"/>
      <c r="E4" s="95"/>
      <c r="F4" s="62"/>
      <c r="G4" s="1178"/>
      <c r="H4" s="62"/>
      <c r="I4" s="62"/>
      <c r="J4" s="62"/>
    </row>
    <row r="5" spans="1:10">
      <c r="A5" s="96"/>
      <c r="B5" s="1318" t="s">
        <v>3</v>
      </c>
      <c r="C5" s="1318"/>
      <c r="D5" s="1318"/>
      <c r="E5" s="95"/>
      <c r="F5" s="62"/>
      <c r="G5" s="62"/>
      <c r="H5" s="62"/>
      <c r="I5" s="62"/>
      <c r="J5" s="62"/>
    </row>
    <row r="6" spans="1:10" ht="16.5" thickBot="1">
      <c r="A6" s="95"/>
      <c r="B6" s="76"/>
      <c r="C6" s="76"/>
      <c r="D6" s="76"/>
      <c r="E6" s="95"/>
      <c r="F6" s="62"/>
      <c r="G6" s="62"/>
      <c r="H6" s="62"/>
      <c r="I6" s="62"/>
      <c r="J6" s="62"/>
    </row>
    <row r="7" spans="1:10">
      <c r="A7" s="646" t="s">
        <v>4</v>
      </c>
      <c r="B7" s="880" t="s">
        <v>425</v>
      </c>
      <c r="C7" s="881"/>
      <c r="D7" s="882"/>
      <c r="E7" s="646" t="s">
        <v>4</v>
      </c>
    </row>
    <row r="8" spans="1:10">
      <c r="A8" s="646" t="s">
        <v>5</v>
      </c>
      <c r="B8" s="971" t="s">
        <v>257</v>
      </c>
      <c r="C8" s="883" t="s">
        <v>258</v>
      </c>
      <c r="D8" s="972" t="s">
        <v>7</v>
      </c>
      <c r="E8" s="646" t="s">
        <v>5</v>
      </c>
    </row>
    <row r="9" spans="1:10">
      <c r="A9" s="646">
        <v>1</v>
      </c>
      <c r="B9" s="1216">
        <v>6110020</v>
      </c>
      <c r="C9" s="1215" t="s">
        <v>994</v>
      </c>
      <c r="D9" s="1217">
        <v>6.1270000000000005E-2</v>
      </c>
      <c r="E9" s="646">
        <v>1</v>
      </c>
    </row>
    <row r="10" spans="1:10">
      <c r="A10" s="646">
        <f>A9+1</f>
        <v>2</v>
      </c>
      <c r="B10" s="647">
        <v>6110030</v>
      </c>
      <c r="C10" s="648" t="s">
        <v>883</v>
      </c>
      <c r="D10" s="775">
        <v>0</v>
      </c>
      <c r="E10" s="646">
        <f>A10</f>
        <v>2</v>
      </c>
      <c r="G10" s="1179"/>
    </row>
    <row r="11" spans="1:10">
      <c r="A11" s="646">
        <f>A10+1</f>
        <v>3</v>
      </c>
      <c r="B11" s="647">
        <v>6110110</v>
      </c>
      <c r="C11" s="648" t="s">
        <v>884</v>
      </c>
      <c r="D11" s="775">
        <v>10.316930000000001</v>
      </c>
      <c r="E11" s="646">
        <f t="shared" ref="E11:E59" si="0">A11</f>
        <v>3</v>
      </c>
    </row>
    <row r="12" spans="1:10">
      <c r="A12" s="646">
        <f t="shared" ref="A12:A59" si="1">A11+1</f>
        <v>4</v>
      </c>
      <c r="B12" s="647">
        <v>6110120</v>
      </c>
      <c r="C12" s="648" t="s">
        <v>995</v>
      </c>
      <c r="D12" s="775">
        <v>0.21984000000000001</v>
      </c>
      <c r="E12" s="646">
        <f t="shared" si="0"/>
        <v>4</v>
      </c>
    </row>
    <row r="13" spans="1:10">
      <c r="A13" s="646">
        <f t="shared" si="1"/>
        <v>5</v>
      </c>
      <c r="B13" s="647">
        <v>6110130</v>
      </c>
      <c r="C13" s="648" t="s">
        <v>885</v>
      </c>
      <c r="D13" s="775">
        <v>2.9390700000000001</v>
      </c>
      <c r="E13" s="646">
        <f t="shared" si="0"/>
        <v>5</v>
      </c>
    </row>
    <row r="14" spans="1:10">
      <c r="A14" s="646">
        <f t="shared" si="1"/>
        <v>6</v>
      </c>
      <c r="B14" s="647">
        <v>6110335</v>
      </c>
      <c r="C14" s="648" t="s">
        <v>996</v>
      </c>
      <c r="D14" s="775">
        <v>0.57528999999999997</v>
      </c>
      <c r="E14" s="646">
        <f t="shared" si="0"/>
        <v>6</v>
      </c>
    </row>
    <row r="15" spans="1:10">
      <c r="A15" s="646">
        <f t="shared" si="1"/>
        <v>7</v>
      </c>
      <c r="B15" s="647">
        <v>6130010</v>
      </c>
      <c r="C15" s="648" t="s">
        <v>997</v>
      </c>
      <c r="D15" s="775">
        <v>0</v>
      </c>
      <c r="E15" s="646">
        <f t="shared" si="0"/>
        <v>7</v>
      </c>
    </row>
    <row r="16" spans="1:10">
      <c r="A16" s="646">
        <f>A15+1</f>
        <v>8</v>
      </c>
      <c r="B16" s="647">
        <v>6130020</v>
      </c>
      <c r="C16" s="648" t="s">
        <v>998</v>
      </c>
      <c r="D16" s="775">
        <v>0</v>
      </c>
      <c r="E16" s="646">
        <f t="shared" si="0"/>
        <v>8</v>
      </c>
    </row>
    <row r="17" spans="1:5">
      <c r="A17" s="646">
        <f t="shared" si="1"/>
        <v>9</v>
      </c>
      <c r="B17" s="647">
        <v>6213035</v>
      </c>
      <c r="C17" s="648" t="s">
        <v>835</v>
      </c>
      <c r="D17" s="775">
        <v>0</v>
      </c>
      <c r="E17" s="646">
        <f t="shared" si="0"/>
        <v>9</v>
      </c>
    </row>
    <row r="18" spans="1:5">
      <c r="A18" s="646">
        <f t="shared" si="1"/>
        <v>10</v>
      </c>
      <c r="B18" s="647">
        <v>6220100</v>
      </c>
      <c r="C18" s="648" t="s">
        <v>999</v>
      </c>
      <c r="D18" s="775">
        <v>0</v>
      </c>
      <c r="E18" s="646">
        <f t="shared" si="0"/>
        <v>10</v>
      </c>
    </row>
    <row r="19" spans="1:5">
      <c r="A19" s="646">
        <f t="shared" si="1"/>
        <v>11</v>
      </c>
      <c r="B19" s="647">
        <v>6220600</v>
      </c>
      <c r="C19" s="648" t="s">
        <v>1033</v>
      </c>
      <c r="D19" s="775">
        <v>3.6181199999999998</v>
      </c>
      <c r="E19" s="646">
        <f t="shared" si="0"/>
        <v>11</v>
      </c>
    </row>
    <row r="20" spans="1:5">
      <c r="A20" s="646">
        <f t="shared" si="1"/>
        <v>12</v>
      </c>
      <c r="B20" s="647">
        <v>6220842</v>
      </c>
      <c r="C20" s="648" t="s">
        <v>1034</v>
      </c>
      <c r="D20" s="775">
        <v>2.8347199999999999</v>
      </c>
      <c r="E20" s="646">
        <f t="shared" si="0"/>
        <v>12</v>
      </c>
    </row>
    <row r="21" spans="1:5">
      <c r="A21" s="646">
        <f t="shared" si="1"/>
        <v>13</v>
      </c>
      <c r="B21" s="647">
        <v>6220870</v>
      </c>
      <c r="C21" s="648" t="s">
        <v>836</v>
      </c>
      <c r="D21" s="775">
        <v>0.55142999999999998</v>
      </c>
      <c r="E21" s="646">
        <f t="shared" si="0"/>
        <v>13</v>
      </c>
    </row>
    <row r="22" spans="1:5">
      <c r="A22" s="646">
        <f t="shared" si="1"/>
        <v>14</v>
      </c>
      <c r="B22" s="647">
        <v>6221000</v>
      </c>
      <c r="C22" s="648" t="s">
        <v>1000</v>
      </c>
      <c r="D22" s="775">
        <v>0.63400000000000001</v>
      </c>
      <c r="E22" s="646">
        <f t="shared" si="0"/>
        <v>14</v>
      </c>
    </row>
    <row r="23" spans="1:5">
      <c r="A23" s="646">
        <f t="shared" si="1"/>
        <v>15</v>
      </c>
      <c r="B23" s="647">
        <v>6231042</v>
      </c>
      <c r="C23" s="648" t="s">
        <v>426</v>
      </c>
      <c r="D23" s="775">
        <v>-5.9555100000000003</v>
      </c>
      <c r="E23" s="646">
        <f t="shared" si="0"/>
        <v>15</v>
      </c>
    </row>
    <row r="24" spans="1:5">
      <c r="A24" s="646">
        <f t="shared" si="1"/>
        <v>16</v>
      </c>
      <c r="B24" s="647">
        <v>6261050</v>
      </c>
      <c r="C24" s="648" t="s">
        <v>1035</v>
      </c>
      <c r="D24" s="775">
        <v>2.5600000000000002E-3</v>
      </c>
      <c r="E24" s="646">
        <f t="shared" si="0"/>
        <v>16</v>
      </c>
    </row>
    <row r="25" spans="1:5">
      <c r="A25" s="646">
        <f t="shared" si="1"/>
        <v>17</v>
      </c>
      <c r="B25" s="647">
        <v>6262050</v>
      </c>
      <c r="C25" s="648" t="s">
        <v>1036</v>
      </c>
      <c r="D25" s="775">
        <v>2.0210000000000002E-2</v>
      </c>
      <c r="E25" s="646">
        <f t="shared" si="0"/>
        <v>17</v>
      </c>
    </row>
    <row r="26" spans="1:5">
      <c r="A26" s="646">
        <f t="shared" si="1"/>
        <v>18</v>
      </c>
      <c r="B26" s="647">
        <v>6340000</v>
      </c>
      <c r="C26" s="648" t="s">
        <v>1001</v>
      </c>
      <c r="D26" s="775">
        <v>-1.268E-2</v>
      </c>
      <c r="E26" s="646">
        <f t="shared" si="0"/>
        <v>18</v>
      </c>
    </row>
    <row r="27" spans="1:5">
      <c r="A27" s="646">
        <f t="shared" si="1"/>
        <v>19</v>
      </c>
      <c r="B27" s="647">
        <v>9121100</v>
      </c>
      <c r="C27" s="648" t="s">
        <v>837</v>
      </c>
      <c r="D27" s="775">
        <v>1.8859300000000001</v>
      </c>
      <c r="E27" s="646">
        <f t="shared" si="0"/>
        <v>19</v>
      </c>
    </row>
    <row r="28" spans="1:5">
      <c r="A28" s="646">
        <f t="shared" si="1"/>
        <v>20</v>
      </c>
      <c r="B28" s="647">
        <v>9121200</v>
      </c>
      <c r="C28" s="648" t="s">
        <v>427</v>
      </c>
      <c r="D28" s="775">
        <v>1.4039999999999999E-2</v>
      </c>
      <c r="E28" s="646">
        <f t="shared" si="0"/>
        <v>20</v>
      </c>
    </row>
    <row r="29" spans="1:5">
      <c r="A29" s="646">
        <f t="shared" si="1"/>
        <v>21</v>
      </c>
      <c r="B29" s="647">
        <v>9121400</v>
      </c>
      <c r="C29" s="648" t="s">
        <v>838</v>
      </c>
      <c r="D29" s="775">
        <v>5.0599999999999994E-3</v>
      </c>
      <c r="E29" s="646">
        <f t="shared" si="0"/>
        <v>21</v>
      </c>
    </row>
    <row r="30" spans="1:5">
      <c r="A30" s="646">
        <f t="shared" si="1"/>
        <v>22</v>
      </c>
      <c r="B30" s="647">
        <v>9121500</v>
      </c>
      <c r="C30" s="648" t="s">
        <v>839</v>
      </c>
      <c r="D30" s="775">
        <v>1.1460000000000001E-2</v>
      </c>
      <c r="E30" s="646">
        <f t="shared" si="0"/>
        <v>22</v>
      </c>
    </row>
    <row r="31" spans="1:5">
      <c r="A31" s="646">
        <f t="shared" si="1"/>
        <v>23</v>
      </c>
      <c r="B31" s="647">
        <v>9121600</v>
      </c>
      <c r="C31" s="648" t="s">
        <v>1037</v>
      </c>
      <c r="D31" s="775">
        <v>2.3999999999999998E-3</v>
      </c>
      <c r="E31" s="646">
        <f t="shared" si="0"/>
        <v>23</v>
      </c>
    </row>
    <row r="32" spans="1:5">
      <c r="A32" s="646">
        <f t="shared" si="1"/>
        <v>24</v>
      </c>
      <c r="B32" s="647">
        <v>9122300</v>
      </c>
      <c r="C32" s="648" t="s">
        <v>840</v>
      </c>
      <c r="D32" s="775">
        <v>1.1200600000000001</v>
      </c>
      <c r="E32" s="646">
        <f t="shared" si="0"/>
        <v>24</v>
      </c>
    </row>
    <row r="33" spans="1:5">
      <c r="A33" s="646">
        <f t="shared" si="1"/>
        <v>25</v>
      </c>
      <c r="B33" s="647">
        <v>9122301</v>
      </c>
      <c r="C33" s="648" t="s">
        <v>841</v>
      </c>
      <c r="D33" s="775">
        <v>9.8999999999999999E-4</v>
      </c>
      <c r="E33" s="646">
        <f t="shared" si="0"/>
        <v>25</v>
      </c>
    </row>
    <row r="34" spans="1:5">
      <c r="A34" s="646">
        <f t="shared" si="1"/>
        <v>26</v>
      </c>
      <c r="B34" s="647">
        <v>9122400</v>
      </c>
      <c r="C34" s="648" t="s">
        <v>842</v>
      </c>
      <c r="D34" s="775">
        <v>1.0687</v>
      </c>
      <c r="E34" s="646">
        <f t="shared" si="0"/>
        <v>26</v>
      </c>
    </row>
    <row r="35" spans="1:5">
      <c r="A35" s="646">
        <f t="shared" si="1"/>
        <v>27</v>
      </c>
      <c r="B35" s="647">
        <v>9122500</v>
      </c>
      <c r="C35" s="648" t="s">
        <v>843</v>
      </c>
      <c r="D35" s="775">
        <v>6.2880000000000005E-2</v>
      </c>
      <c r="E35" s="646">
        <f t="shared" si="0"/>
        <v>27</v>
      </c>
    </row>
    <row r="36" spans="1:5">
      <c r="A36" s="646">
        <f t="shared" si="1"/>
        <v>28</v>
      </c>
      <c r="B36" s="647">
        <v>9122600</v>
      </c>
      <c r="C36" s="648" t="s">
        <v>1009</v>
      </c>
      <c r="D36" s="775">
        <v>2.3888400000000001</v>
      </c>
      <c r="E36" s="646">
        <f t="shared" si="0"/>
        <v>28</v>
      </c>
    </row>
    <row r="37" spans="1:5">
      <c r="A37" s="646">
        <f t="shared" si="1"/>
        <v>29</v>
      </c>
      <c r="B37" s="647">
        <v>9122900</v>
      </c>
      <c r="C37" s="648" t="s">
        <v>844</v>
      </c>
      <c r="D37" s="775">
        <v>0.69152999999999998</v>
      </c>
      <c r="E37" s="646">
        <f t="shared" si="0"/>
        <v>29</v>
      </c>
    </row>
    <row r="38" spans="1:5">
      <c r="A38" s="646">
        <f t="shared" si="1"/>
        <v>30</v>
      </c>
      <c r="B38" s="647">
        <v>9123100</v>
      </c>
      <c r="C38" s="648" t="s">
        <v>428</v>
      </c>
      <c r="D38" s="775">
        <v>3.1579999999999997E-2</v>
      </c>
      <c r="E38" s="646">
        <f t="shared" si="0"/>
        <v>30</v>
      </c>
    </row>
    <row r="39" spans="1:5">
      <c r="A39" s="646">
        <f t="shared" si="1"/>
        <v>31</v>
      </c>
      <c r="B39" s="647">
        <v>9123200</v>
      </c>
      <c r="C39" s="648" t="s">
        <v>429</v>
      </c>
      <c r="D39" s="775">
        <v>4.6259999999999996E-2</v>
      </c>
      <c r="E39" s="646">
        <f t="shared" si="0"/>
        <v>31</v>
      </c>
    </row>
    <row r="40" spans="1:5">
      <c r="A40" s="646">
        <f t="shared" si="1"/>
        <v>32</v>
      </c>
      <c r="B40" s="647">
        <v>9123400</v>
      </c>
      <c r="C40" s="648" t="s">
        <v>430</v>
      </c>
      <c r="D40" s="775">
        <v>8.9999999999999992E-5</v>
      </c>
      <c r="E40" s="646">
        <f t="shared" si="0"/>
        <v>32</v>
      </c>
    </row>
    <row r="41" spans="1:5">
      <c r="A41" s="646">
        <f t="shared" si="1"/>
        <v>33</v>
      </c>
      <c r="B41" s="647">
        <v>9123500</v>
      </c>
      <c r="C41" s="648" t="s">
        <v>431</v>
      </c>
      <c r="D41" s="775">
        <v>2.0000000000000001E-4</v>
      </c>
      <c r="E41" s="646">
        <f t="shared" si="0"/>
        <v>33</v>
      </c>
    </row>
    <row r="42" spans="1:5">
      <c r="A42" s="646">
        <f t="shared" si="1"/>
        <v>34</v>
      </c>
      <c r="B42" s="647">
        <v>9123600</v>
      </c>
      <c r="C42" s="648" t="s">
        <v>1038</v>
      </c>
      <c r="D42" s="775">
        <v>2.9999999999999997E-5</v>
      </c>
      <c r="E42" s="646">
        <f t="shared" si="0"/>
        <v>34</v>
      </c>
    </row>
    <row r="43" spans="1:5">
      <c r="A43" s="646">
        <f t="shared" si="1"/>
        <v>35</v>
      </c>
      <c r="B43" s="647">
        <v>9124300</v>
      </c>
      <c r="C43" s="648" t="s">
        <v>432</v>
      </c>
      <c r="D43" s="775">
        <v>2.068E-2</v>
      </c>
      <c r="E43" s="646">
        <f t="shared" si="0"/>
        <v>35</v>
      </c>
    </row>
    <row r="44" spans="1:5">
      <c r="A44" s="646">
        <f t="shared" si="1"/>
        <v>36</v>
      </c>
      <c r="B44" s="647">
        <v>9124400</v>
      </c>
      <c r="C44" s="648" t="s">
        <v>433</v>
      </c>
      <c r="D44" s="775">
        <v>1.7929999999999998E-2</v>
      </c>
      <c r="E44" s="646">
        <f t="shared" si="0"/>
        <v>36</v>
      </c>
    </row>
    <row r="45" spans="1:5">
      <c r="A45" s="646">
        <f t="shared" si="1"/>
        <v>37</v>
      </c>
      <c r="B45" s="647">
        <v>9124500</v>
      </c>
      <c r="C45" s="648" t="s">
        <v>434</v>
      </c>
      <c r="D45" s="775">
        <v>1.06E-3</v>
      </c>
      <c r="E45" s="646">
        <f t="shared" si="0"/>
        <v>37</v>
      </c>
    </row>
    <row r="46" spans="1:5">
      <c r="A46" s="646">
        <f t="shared" si="1"/>
        <v>38</v>
      </c>
      <c r="B46" s="647">
        <v>9124600</v>
      </c>
      <c r="C46" s="648" t="s">
        <v>845</v>
      </c>
      <c r="D46" s="775">
        <v>3.9960000000000002E-2</v>
      </c>
      <c r="E46" s="646">
        <f t="shared" si="0"/>
        <v>38</v>
      </c>
    </row>
    <row r="47" spans="1:5">
      <c r="A47" s="646">
        <f t="shared" si="1"/>
        <v>39</v>
      </c>
      <c r="B47" s="647">
        <v>9124900</v>
      </c>
      <c r="C47" s="648" t="s">
        <v>846</v>
      </c>
      <c r="D47" s="775">
        <v>1.157E-2</v>
      </c>
      <c r="E47" s="646">
        <f t="shared" si="0"/>
        <v>39</v>
      </c>
    </row>
    <row r="48" spans="1:5">
      <c r="A48" s="646">
        <f t="shared" si="1"/>
        <v>40</v>
      </c>
      <c r="B48" s="647">
        <v>9131150</v>
      </c>
      <c r="C48" s="648" t="s">
        <v>847</v>
      </c>
      <c r="D48" s="775">
        <v>9.5999999999999992E-4</v>
      </c>
      <c r="E48" s="646">
        <f t="shared" si="0"/>
        <v>40</v>
      </c>
    </row>
    <row r="49" spans="1:5">
      <c r="A49" s="646">
        <f t="shared" si="1"/>
        <v>41</v>
      </c>
      <c r="B49" s="647">
        <v>9131470</v>
      </c>
      <c r="C49" s="648" t="s">
        <v>1039</v>
      </c>
      <c r="D49" s="775">
        <v>1.81E-3</v>
      </c>
      <c r="E49" s="646">
        <f t="shared" si="0"/>
        <v>41</v>
      </c>
    </row>
    <row r="50" spans="1:5">
      <c r="A50" s="646">
        <f t="shared" si="1"/>
        <v>42</v>
      </c>
      <c r="B50" s="647">
        <v>9131700</v>
      </c>
      <c r="C50" s="648" t="s">
        <v>848</v>
      </c>
      <c r="D50" s="775">
        <v>1.8870000000000001E-2</v>
      </c>
      <c r="E50" s="646">
        <f t="shared" si="0"/>
        <v>42</v>
      </c>
    </row>
    <row r="51" spans="1:5">
      <c r="A51" s="646">
        <f t="shared" si="1"/>
        <v>43</v>
      </c>
      <c r="B51" s="647">
        <v>9131850</v>
      </c>
      <c r="C51" s="648" t="s">
        <v>849</v>
      </c>
      <c r="D51" s="775">
        <v>0.18865999999999999</v>
      </c>
      <c r="E51" s="646">
        <f t="shared" si="0"/>
        <v>43</v>
      </c>
    </row>
    <row r="52" spans="1:5">
      <c r="A52" s="646">
        <f t="shared" si="1"/>
        <v>44</v>
      </c>
      <c r="B52" s="647">
        <v>9131860</v>
      </c>
      <c r="C52" s="648" t="s">
        <v>974</v>
      </c>
      <c r="D52" s="775">
        <v>0</v>
      </c>
      <c r="E52" s="646">
        <f t="shared" si="0"/>
        <v>44</v>
      </c>
    </row>
    <row r="53" spans="1:5">
      <c r="A53" s="646">
        <f t="shared" si="1"/>
        <v>45</v>
      </c>
      <c r="B53" s="647">
        <v>9132150</v>
      </c>
      <c r="C53" s="648" t="s">
        <v>850</v>
      </c>
      <c r="D53" s="775">
        <v>4.3800000000000002E-3</v>
      </c>
      <c r="E53" s="646">
        <f t="shared" si="0"/>
        <v>45</v>
      </c>
    </row>
    <row r="54" spans="1:5">
      <c r="A54" s="646">
        <f t="shared" si="1"/>
        <v>46</v>
      </c>
      <c r="B54" s="647">
        <v>9132470</v>
      </c>
      <c r="C54" s="648" t="s">
        <v>1002</v>
      </c>
      <c r="D54" s="775">
        <v>2.1260000000000001E-2</v>
      </c>
      <c r="E54" s="646">
        <f t="shared" si="0"/>
        <v>46</v>
      </c>
    </row>
    <row r="55" spans="1:5">
      <c r="A55" s="646">
        <f t="shared" si="1"/>
        <v>47</v>
      </c>
      <c r="B55" s="647">
        <v>9132700</v>
      </c>
      <c r="C55" s="648" t="s">
        <v>851</v>
      </c>
      <c r="D55" s="775">
        <v>2.4250000000000001E-2</v>
      </c>
      <c r="E55" s="646">
        <f t="shared" si="0"/>
        <v>47</v>
      </c>
    </row>
    <row r="56" spans="1:5">
      <c r="A56" s="646">
        <f t="shared" si="1"/>
        <v>48</v>
      </c>
      <c r="B56" s="647">
        <v>9132850</v>
      </c>
      <c r="C56" s="648" t="s">
        <v>852</v>
      </c>
      <c r="D56" s="973">
        <v>1.2128299999999999</v>
      </c>
      <c r="E56" s="646">
        <f t="shared" si="0"/>
        <v>48</v>
      </c>
    </row>
    <row r="57" spans="1:5">
      <c r="A57" s="646">
        <f t="shared" si="1"/>
        <v>49</v>
      </c>
      <c r="B57" s="649"/>
      <c r="C57" s="650"/>
      <c r="D57" s="885"/>
      <c r="E57" s="646">
        <f t="shared" si="0"/>
        <v>49</v>
      </c>
    </row>
    <row r="58" spans="1:5" ht="19.5" thickBot="1">
      <c r="A58" s="646">
        <f t="shared" si="1"/>
        <v>50</v>
      </c>
      <c r="B58" s="651" t="s">
        <v>435</v>
      </c>
      <c r="C58" s="652"/>
      <c r="D58" s="653">
        <f>SUM(D9:D56)</f>
        <v>24.69952</v>
      </c>
      <c r="E58" s="646">
        <f t="shared" si="0"/>
        <v>50</v>
      </c>
    </row>
    <row r="59" spans="1:5" ht="17.25" thickTop="1" thickBot="1">
      <c r="A59" s="646">
        <f t="shared" si="1"/>
        <v>51</v>
      </c>
      <c r="B59" s="654"/>
      <c r="C59" s="655"/>
      <c r="D59" s="656"/>
      <c r="E59" s="646">
        <f t="shared" si="0"/>
        <v>51</v>
      </c>
    </row>
    <row r="60" spans="1:5">
      <c r="D60" s="658"/>
    </row>
    <row r="61" spans="1:5">
      <c r="D61" s="658"/>
    </row>
    <row r="62" spans="1:5" ht="18.75">
      <c r="A62" s="659">
        <v>1</v>
      </c>
      <c r="B62" s="660" t="s">
        <v>436</v>
      </c>
      <c r="C62" s="660"/>
    </row>
    <row r="63" spans="1:5" ht="18.75">
      <c r="A63" s="659"/>
      <c r="B63" s="660" t="s">
        <v>437</v>
      </c>
      <c r="C63" s="660"/>
    </row>
    <row r="64" spans="1:5" ht="18.75">
      <c r="A64" s="659">
        <v>2</v>
      </c>
      <c r="B64" s="660" t="s">
        <v>861</v>
      </c>
      <c r="C64" s="660"/>
    </row>
    <row r="66" spans="3:3">
      <c r="C66" s="96"/>
    </row>
    <row r="67" spans="3:3">
      <c r="C67" s="660"/>
    </row>
    <row r="68" spans="3:3">
      <c r="C68" s="660"/>
    </row>
    <row r="69" spans="3:3">
      <c r="C69" s="660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7"/>
  <sheetViews>
    <sheetView topLeftCell="A27" zoomScale="75" zoomScaleNormal="75" zoomScalePageLayoutView="90" workbookViewId="0">
      <selection activeCell="D47" sqref="D47"/>
    </sheetView>
  </sheetViews>
  <sheetFormatPr defaultColWidth="13.42578125" defaultRowHeight="15.75"/>
  <cols>
    <col min="1" max="1" width="5.42578125" style="191" customWidth="1"/>
    <col min="2" max="2" width="8.5703125" style="1235" customWidth="1"/>
    <col min="3" max="3" width="65.5703125" style="191" customWidth="1"/>
    <col min="4" max="4" width="16.85546875" style="191" customWidth="1"/>
    <col min="5" max="5" width="16.85546875" style="417" customWidth="1"/>
    <col min="6" max="6" width="18.42578125" style="191" bestFit="1" customWidth="1"/>
    <col min="7" max="7" width="49.140625" style="191" customWidth="1"/>
    <col min="8" max="8" width="5.42578125" style="191" customWidth="1"/>
    <col min="9" max="16384" width="13.42578125" style="191"/>
  </cols>
  <sheetData>
    <row r="1" spans="1:11">
      <c r="A1" s="210"/>
    </row>
    <row r="2" spans="1:11" s="210" customFormat="1">
      <c r="B2" s="1303" t="s">
        <v>0</v>
      </c>
      <c r="C2" s="1303"/>
      <c r="D2" s="1303"/>
      <c r="E2" s="1303"/>
      <c r="F2" s="1303"/>
      <c r="G2" s="1303"/>
      <c r="H2" s="471"/>
    </row>
    <row r="3" spans="1:11" s="210" customFormat="1">
      <c r="B3" s="1303" t="s">
        <v>438</v>
      </c>
      <c r="C3" s="1303"/>
      <c r="D3" s="1303"/>
      <c r="E3" s="1303"/>
      <c r="F3" s="1303"/>
      <c r="G3" s="1303"/>
      <c r="H3" s="1236"/>
    </row>
    <row r="4" spans="1:11" s="210" customFormat="1">
      <c r="B4" s="1303" t="str">
        <f>" 12 Months Ending December 31, "&amp;Automation!$B$3</f>
        <v xml:space="preserve"> 12 Months Ending December 31, 2024</v>
      </c>
      <c r="C4" s="1303"/>
      <c r="D4" s="1303"/>
      <c r="E4" s="1303"/>
      <c r="F4" s="1303"/>
      <c r="G4" s="1303"/>
      <c r="H4" s="1236"/>
      <c r="J4"/>
    </row>
    <row r="5" spans="1:11" s="210" customFormat="1">
      <c r="B5" s="1301" t="s">
        <v>3</v>
      </c>
      <c r="C5" s="1301"/>
      <c r="D5" s="1301"/>
      <c r="E5" s="1301"/>
      <c r="F5" s="1301"/>
      <c r="G5" s="1301"/>
      <c r="H5" s="1236"/>
    </row>
    <row r="6" spans="1:11" ht="16.5" thickBot="1">
      <c r="A6" s="1237"/>
      <c r="B6" s="1238"/>
      <c r="C6" s="1239"/>
      <c r="D6" s="1239"/>
      <c r="E6" s="1240"/>
      <c r="F6" s="1239"/>
      <c r="G6" s="1239"/>
      <c r="H6" s="1239"/>
    </row>
    <row r="7" spans="1:11" s="210" customFormat="1">
      <c r="A7" s="191"/>
      <c r="B7" s="1241"/>
      <c r="C7" s="1242"/>
      <c r="D7" s="886" t="s">
        <v>77</v>
      </c>
      <c r="E7" s="1243" t="s">
        <v>78</v>
      </c>
      <c r="F7" s="886" t="s">
        <v>857</v>
      </c>
      <c r="G7" s="1244"/>
      <c r="H7" s="191"/>
    </row>
    <row r="8" spans="1:11" s="210" customFormat="1">
      <c r="A8" s="211" t="s">
        <v>4</v>
      </c>
      <c r="B8" s="1245" t="s">
        <v>374</v>
      </c>
      <c r="D8" s="212" t="s">
        <v>80</v>
      </c>
      <c r="E8" s="212" t="s">
        <v>439</v>
      </c>
      <c r="F8" s="212" t="s">
        <v>80</v>
      </c>
      <c r="G8" s="213"/>
      <c r="H8" s="211" t="s">
        <v>4</v>
      </c>
    </row>
    <row r="9" spans="1:11" s="210" customFormat="1">
      <c r="A9" s="211" t="s">
        <v>5</v>
      </c>
      <c r="B9" s="1246" t="s">
        <v>440</v>
      </c>
      <c r="C9" s="865" t="s">
        <v>258</v>
      </c>
      <c r="D9" s="1247" t="s">
        <v>441</v>
      </c>
      <c r="E9" s="1247" t="s">
        <v>442</v>
      </c>
      <c r="F9" s="1247" t="s">
        <v>443</v>
      </c>
      <c r="G9" s="1248" t="s">
        <v>8</v>
      </c>
      <c r="H9" s="211" t="s">
        <v>5</v>
      </c>
    </row>
    <row r="10" spans="1:11" s="210" customFormat="1">
      <c r="A10" s="211"/>
      <c r="B10" s="1249"/>
      <c r="C10" s="1250" t="s">
        <v>444</v>
      </c>
      <c r="D10" s="1251"/>
      <c r="E10" s="1251"/>
      <c r="F10" s="1251"/>
      <c r="G10" s="1252"/>
      <c r="H10" s="211"/>
      <c r="J10" s="191"/>
      <c r="K10" s="191"/>
    </row>
    <row r="11" spans="1:11" s="210" customFormat="1">
      <c r="A11" s="211">
        <v>1</v>
      </c>
      <c r="B11" s="1222">
        <v>560</v>
      </c>
      <c r="C11" s="191" t="s">
        <v>445</v>
      </c>
      <c r="D11" s="796">
        <v>14899.625</v>
      </c>
      <c r="E11" s="796">
        <f>E51</f>
        <v>111.42700000000001</v>
      </c>
      <c r="F11" s="796">
        <f>D11-E11</f>
        <v>14788.198</v>
      </c>
      <c r="G11" s="1253" t="s">
        <v>897</v>
      </c>
      <c r="H11" s="211">
        <f>A11</f>
        <v>1</v>
      </c>
      <c r="J11" s="342"/>
      <c r="K11" s="191"/>
    </row>
    <row r="12" spans="1:11" s="210" customFormat="1">
      <c r="A12" s="211">
        <f>A11+1</f>
        <v>2</v>
      </c>
      <c r="B12" s="1222">
        <v>561.1</v>
      </c>
      <c r="C12" s="191" t="s">
        <v>446</v>
      </c>
      <c r="D12" s="798">
        <v>550.62</v>
      </c>
      <c r="E12" s="798">
        <v>0</v>
      </c>
      <c r="F12" s="798">
        <f>D12-E12</f>
        <v>550.62</v>
      </c>
      <c r="G12" s="1253" t="s">
        <v>898</v>
      </c>
      <c r="H12" s="211">
        <f>H11+1</f>
        <v>2</v>
      </c>
      <c r="J12" s="342"/>
      <c r="K12" s="191"/>
    </row>
    <row r="13" spans="1:11" s="210" customFormat="1">
      <c r="A13" s="211">
        <f t="shared" ref="A13:A74" si="0">A12+1</f>
        <v>3</v>
      </c>
      <c r="B13" s="1222">
        <v>561.20000000000005</v>
      </c>
      <c r="C13" s="191" t="s">
        <v>447</v>
      </c>
      <c r="D13" s="798">
        <v>1670.373</v>
      </c>
      <c r="E13" s="798">
        <v>0</v>
      </c>
      <c r="F13" s="798">
        <f t="shared" ref="F13:F24" si="1">D13-E13</f>
        <v>1670.373</v>
      </c>
      <c r="G13" s="1253" t="s">
        <v>899</v>
      </c>
      <c r="H13" s="211">
        <f t="shared" ref="H13:H74" si="2">H12+1</f>
        <v>3</v>
      </c>
      <c r="J13" s="342"/>
      <c r="K13" s="191"/>
    </row>
    <row r="14" spans="1:11" s="210" customFormat="1">
      <c r="A14" s="211">
        <f t="shared" si="0"/>
        <v>4</v>
      </c>
      <c r="B14" s="1222">
        <v>561.29999999999995</v>
      </c>
      <c r="C14" s="191" t="s">
        <v>448</v>
      </c>
      <c r="D14" s="798">
        <v>336.48899999999998</v>
      </c>
      <c r="E14" s="798">
        <v>0</v>
      </c>
      <c r="F14" s="798">
        <f t="shared" si="1"/>
        <v>336.48899999999998</v>
      </c>
      <c r="G14" s="1253" t="s">
        <v>900</v>
      </c>
      <c r="H14" s="211">
        <f t="shared" si="2"/>
        <v>4</v>
      </c>
      <c r="J14" s="342"/>
      <c r="K14" s="191"/>
    </row>
    <row r="15" spans="1:11" s="210" customFormat="1">
      <c r="A15" s="211">
        <f t="shared" si="0"/>
        <v>5</v>
      </c>
      <c r="B15" s="1222">
        <v>561.4</v>
      </c>
      <c r="C15" s="191" t="s">
        <v>449</v>
      </c>
      <c r="D15" s="798">
        <v>2808.0160000000001</v>
      </c>
      <c r="E15" s="798">
        <f>E52</f>
        <v>2802.2510600000001</v>
      </c>
      <c r="F15" s="798">
        <f t="shared" si="1"/>
        <v>5.7649400000000242</v>
      </c>
      <c r="G15" s="1253" t="s">
        <v>901</v>
      </c>
      <c r="H15" s="211">
        <f t="shared" si="2"/>
        <v>5</v>
      </c>
      <c r="J15" s="342"/>
      <c r="K15" s="191"/>
    </row>
    <row r="16" spans="1:11" s="210" customFormat="1">
      <c r="A16" s="211">
        <f t="shared" si="0"/>
        <v>6</v>
      </c>
      <c r="B16" s="1222">
        <v>561.5</v>
      </c>
      <c r="C16" s="191" t="s">
        <v>450</v>
      </c>
      <c r="D16" s="798">
        <v>97.528999999999996</v>
      </c>
      <c r="E16" s="798">
        <v>0</v>
      </c>
      <c r="F16" s="798">
        <f t="shared" si="1"/>
        <v>97.528999999999996</v>
      </c>
      <c r="G16" s="1253" t="s">
        <v>902</v>
      </c>
      <c r="H16" s="211">
        <f t="shared" si="2"/>
        <v>6</v>
      </c>
      <c r="J16" s="342"/>
      <c r="K16" s="191"/>
    </row>
    <row r="17" spans="1:11" s="210" customFormat="1">
      <c r="A17" s="211">
        <f t="shared" si="0"/>
        <v>7</v>
      </c>
      <c r="B17" s="1222">
        <v>561.6</v>
      </c>
      <c r="C17" s="191" t="s">
        <v>451</v>
      </c>
      <c r="D17" s="798">
        <v>0.501</v>
      </c>
      <c r="E17" s="798">
        <v>0</v>
      </c>
      <c r="F17" s="798">
        <f t="shared" si="1"/>
        <v>0.501</v>
      </c>
      <c r="G17" s="1253" t="s">
        <v>903</v>
      </c>
      <c r="H17" s="211">
        <f t="shared" si="2"/>
        <v>7</v>
      </c>
      <c r="J17" s="342"/>
      <c r="K17" s="191"/>
    </row>
    <row r="18" spans="1:11" s="210" customFormat="1">
      <c r="A18" s="211">
        <f t="shared" si="0"/>
        <v>8</v>
      </c>
      <c r="B18" s="1222">
        <v>561.70000000000005</v>
      </c>
      <c r="C18" s="191" t="s">
        <v>452</v>
      </c>
      <c r="D18" s="798">
        <v>0</v>
      </c>
      <c r="E18" s="798">
        <v>0</v>
      </c>
      <c r="F18" s="798">
        <f t="shared" si="1"/>
        <v>0</v>
      </c>
      <c r="G18" s="1254" t="s">
        <v>904</v>
      </c>
      <c r="H18" s="211">
        <f t="shared" si="2"/>
        <v>8</v>
      </c>
      <c r="J18" s="342"/>
      <c r="K18" s="191"/>
    </row>
    <row r="19" spans="1:11" s="210" customFormat="1">
      <c r="A19" s="211">
        <f t="shared" si="0"/>
        <v>9</v>
      </c>
      <c r="B19" s="1222">
        <v>561.79999999999995</v>
      </c>
      <c r="C19" s="191" t="s">
        <v>453</v>
      </c>
      <c r="D19" s="798">
        <v>2518.8560000000002</v>
      </c>
      <c r="E19" s="798">
        <f>E53</f>
        <v>1516.30691</v>
      </c>
      <c r="F19" s="798">
        <f t="shared" si="1"/>
        <v>1002.5490900000002</v>
      </c>
      <c r="G19" s="1254" t="s">
        <v>905</v>
      </c>
      <c r="H19" s="211">
        <f t="shared" si="2"/>
        <v>9</v>
      </c>
      <c r="J19" s="342"/>
      <c r="K19" s="191"/>
    </row>
    <row r="20" spans="1:11" s="210" customFormat="1" ht="18.75">
      <c r="A20" s="211">
        <f t="shared" si="0"/>
        <v>10</v>
      </c>
      <c r="B20" s="1222">
        <v>562</v>
      </c>
      <c r="C20" s="191" t="s">
        <v>454</v>
      </c>
      <c r="D20" s="798">
        <v>11762.996999999999</v>
      </c>
      <c r="E20" s="798">
        <f>E54</f>
        <v>11762.996999999999</v>
      </c>
      <c r="F20" s="798">
        <f t="shared" si="1"/>
        <v>0</v>
      </c>
      <c r="G20" s="1254" t="s">
        <v>906</v>
      </c>
      <c r="H20" s="211">
        <f t="shared" si="2"/>
        <v>10</v>
      </c>
      <c r="I20" s="1255"/>
      <c r="J20" s="342"/>
      <c r="K20" s="191"/>
    </row>
    <row r="21" spans="1:11" s="210" customFormat="1">
      <c r="A21" s="211">
        <f t="shared" si="0"/>
        <v>11</v>
      </c>
      <c r="B21" s="1222">
        <v>563</v>
      </c>
      <c r="C21" s="191" t="s">
        <v>455</v>
      </c>
      <c r="D21" s="798">
        <v>10628.251</v>
      </c>
      <c r="E21" s="798">
        <v>0</v>
      </c>
      <c r="F21" s="798">
        <f t="shared" si="1"/>
        <v>10628.251</v>
      </c>
      <c r="G21" s="1254" t="s">
        <v>907</v>
      </c>
      <c r="H21" s="211">
        <f t="shared" si="2"/>
        <v>11</v>
      </c>
      <c r="I21" s="1256"/>
      <c r="J21" s="342"/>
      <c r="K21" s="191"/>
    </row>
    <row r="22" spans="1:11" s="210" customFormat="1" ht="18.75">
      <c r="A22" s="211">
        <f t="shared" si="0"/>
        <v>12</v>
      </c>
      <c r="B22" s="1222">
        <v>564</v>
      </c>
      <c r="C22" s="191" t="s">
        <v>1005</v>
      </c>
      <c r="D22" s="798">
        <v>16.190999999999999</v>
      </c>
      <c r="E22" s="798">
        <f>E55</f>
        <v>16.190999999999999</v>
      </c>
      <c r="F22" s="798">
        <f t="shared" si="1"/>
        <v>0</v>
      </c>
      <c r="G22" s="1254" t="s">
        <v>908</v>
      </c>
      <c r="H22" s="211">
        <f t="shared" si="2"/>
        <v>12</v>
      </c>
      <c r="J22" s="342"/>
      <c r="K22" s="191"/>
    </row>
    <row r="23" spans="1:11" s="210" customFormat="1">
      <c r="A23" s="211">
        <f t="shared" si="0"/>
        <v>13</v>
      </c>
      <c r="B23" s="1222">
        <v>565</v>
      </c>
      <c r="C23" s="191" t="s">
        <v>456</v>
      </c>
      <c r="D23" s="798">
        <v>0</v>
      </c>
      <c r="E23" s="798">
        <f>E56</f>
        <v>0</v>
      </c>
      <c r="F23" s="798">
        <f t="shared" si="1"/>
        <v>0</v>
      </c>
      <c r="G23" s="1254" t="s">
        <v>909</v>
      </c>
      <c r="H23" s="211">
        <f t="shared" si="2"/>
        <v>13</v>
      </c>
      <c r="J23" s="342"/>
      <c r="K23" s="191"/>
    </row>
    <row r="24" spans="1:11" s="210" customFormat="1">
      <c r="A24" s="211">
        <f t="shared" si="0"/>
        <v>14</v>
      </c>
      <c r="B24" s="1222">
        <v>566</v>
      </c>
      <c r="C24" s="191" t="s">
        <v>457</v>
      </c>
      <c r="D24" s="798">
        <v>30077.253000000001</v>
      </c>
      <c r="E24" s="798">
        <f>E62</f>
        <v>13147.83533</v>
      </c>
      <c r="F24" s="798">
        <f t="shared" si="1"/>
        <v>16929.417670000003</v>
      </c>
      <c r="G24" s="1254" t="s">
        <v>910</v>
      </c>
      <c r="H24" s="211">
        <f t="shared" si="2"/>
        <v>14</v>
      </c>
      <c r="J24" s="342"/>
      <c r="K24" s="191"/>
    </row>
    <row r="25" spans="1:11" s="210" customFormat="1">
      <c r="A25" s="211">
        <f t="shared" si="0"/>
        <v>15</v>
      </c>
      <c r="B25" s="1222">
        <v>567</v>
      </c>
      <c r="C25" s="191" t="s">
        <v>458</v>
      </c>
      <c r="D25" s="974">
        <v>5368.62</v>
      </c>
      <c r="E25" s="974">
        <v>0</v>
      </c>
      <c r="F25" s="974">
        <f>D25-E25</f>
        <v>5368.62</v>
      </c>
      <c r="G25" s="1254" t="s">
        <v>911</v>
      </c>
      <c r="H25" s="211">
        <f t="shared" si="2"/>
        <v>15</v>
      </c>
      <c r="J25" s="342"/>
      <c r="K25" s="191"/>
    </row>
    <row r="26" spans="1:11" s="210" customFormat="1">
      <c r="A26" s="211">
        <f t="shared" si="0"/>
        <v>16</v>
      </c>
      <c r="B26" s="1222"/>
      <c r="C26" s="191"/>
      <c r="D26" s="798"/>
      <c r="E26" s="798"/>
      <c r="F26" s="798"/>
      <c r="G26" s="1253"/>
      <c r="H26" s="211">
        <f t="shared" si="2"/>
        <v>16</v>
      </c>
      <c r="J26" s="191"/>
      <c r="K26" s="191"/>
    </row>
    <row r="27" spans="1:11" s="210" customFormat="1" ht="16.5" thickBot="1">
      <c r="A27" s="211">
        <f t="shared" si="0"/>
        <v>17</v>
      </c>
      <c r="B27" s="1257"/>
      <c r="C27" s="1258" t="s">
        <v>459</v>
      </c>
      <c r="D27" s="215">
        <f>SUM(D11:D25)</f>
        <v>80735.320999999996</v>
      </c>
      <c r="E27" s="215">
        <f>SUM(E11:E25)</f>
        <v>29357.008300000001</v>
      </c>
      <c r="F27" s="215">
        <f>SUM(F11:F25)</f>
        <v>51378.312700000009</v>
      </c>
      <c r="G27" s="1259" t="str">
        <f>"Sum Lines "&amp;A11&amp;" thru "&amp;A25</f>
        <v>Sum Lines 1 thru 15</v>
      </c>
      <c r="H27" s="211">
        <f t="shared" si="2"/>
        <v>17</v>
      </c>
      <c r="J27" s="776"/>
      <c r="K27" s="191"/>
    </row>
    <row r="28" spans="1:11" s="210" customFormat="1">
      <c r="A28" s="211">
        <f t="shared" si="0"/>
        <v>18</v>
      </c>
      <c r="B28" s="1260"/>
      <c r="C28" s="191"/>
      <c r="D28" s="216"/>
      <c r="E28" s="216"/>
      <c r="F28" s="216"/>
      <c r="G28" s="1254"/>
      <c r="H28" s="211">
        <f t="shared" si="2"/>
        <v>18</v>
      </c>
      <c r="J28" s="191"/>
      <c r="K28" s="191"/>
    </row>
    <row r="29" spans="1:11" s="210" customFormat="1">
      <c r="A29" s="211">
        <f t="shared" si="0"/>
        <v>19</v>
      </c>
      <c r="B29" s="1249"/>
      <c r="C29" s="1250" t="s">
        <v>460</v>
      </c>
      <c r="D29" s="216"/>
      <c r="E29" s="216"/>
      <c r="F29" s="216"/>
      <c r="G29" s="1254"/>
      <c r="H29" s="211">
        <f t="shared" si="2"/>
        <v>19</v>
      </c>
      <c r="J29" s="191"/>
      <c r="K29" s="191"/>
    </row>
    <row r="30" spans="1:11" s="210" customFormat="1">
      <c r="A30" s="211">
        <f t="shared" si="0"/>
        <v>20</v>
      </c>
      <c r="B30" s="1222">
        <v>568</v>
      </c>
      <c r="C30" s="191" t="s">
        <v>461</v>
      </c>
      <c r="D30" s="796">
        <v>2651.9639999999999</v>
      </c>
      <c r="E30" s="796">
        <v>0</v>
      </c>
      <c r="F30" s="796">
        <f t="shared" ref="F30:F31" si="3">D30-E30</f>
        <v>2651.9639999999999</v>
      </c>
      <c r="G30" s="1254" t="s">
        <v>912</v>
      </c>
      <c r="H30" s="211">
        <f t="shared" si="2"/>
        <v>20</v>
      </c>
      <c r="J30" s="191"/>
      <c r="K30" s="191"/>
    </row>
    <row r="31" spans="1:11" s="210" customFormat="1">
      <c r="A31" s="211">
        <f t="shared" si="0"/>
        <v>21</v>
      </c>
      <c r="B31" s="1222">
        <v>569</v>
      </c>
      <c r="C31" s="191" t="s">
        <v>462</v>
      </c>
      <c r="D31" s="798">
        <v>892.56600000000003</v>
      </c>
      <c r="E31" s="798">
        <v>0</v>
      </c>
      <c r="F31" s="798">
        <f t="shared" si="3"/>
        <v>892.56600000000003</v>
      </c>
      <c r="G31" s="1254" t="s">
        <v>913</v>
      </c>
      <c r="H31" s="211">
        <f t="shared" si="2"/>
        <v>21</v>
      </c>
      <c r="J31" s="191"/>
      <c r="K31" s="191"/>
    </row>
    <row r="32" spans="1:11" s="210" customFormat="1">
      <c r="A32" s="211">
        <f t="shared" si="0"/>
        <v>22</v>
      </c>
      <c r="B32" s="1222">
        <v>569.1</v>
      </c>
      <c r="C32" s="191" t="s">
        <v>463</v>
      </c>
      <c r="D32" s="798">
        <v>1373.5160000000001</v>
      </c>
      <c r="E32" s="798">
        <v>0</v>
      </c>
      <c r="F32" s="798">
        <f>D32-E32</f>
        <v>1373.5160000000001</v>
      </c>
      <c r="G32" s="1254" t="s">
        <v>914</v>
      </c>
      <c r="H32" s="211">
        <f t="shared" si="2"/>
        <v>22</v>
      </c>
      <c r="J32" s="191"/>
      <c r="K32" s="191"/>
    </row>
    <row r="33" spans="1:11" s="210" customFormat="1">
      <c r="A33" s="211">
        <f t="shared" si="0"/>
        <v>23</v>
      </c>
      <c r="B33" s="1222">
        <v>569.20000000000005</v>
      </c>
      <c r="C33" s="191" t="s">
        <v>464</v>
      </c>
      <c r="D33" s="798">
        <v>3440.28</v>
      </c>
      <c r="E33" s="798">
        <v>0</v>
      </c>
      <c r="F33" s="798">
        <f t="shared" ref="F33:F35" si="4">D33-E33</f>
        <v>3440.28</v>
      </c>
      <c r="G33" s="1254" t="s">
        <v>915</v>
      </c>
      <c r="H33" s="211">
        <f t="shared" si="2"/>
        <v>23</v>
      </c>
      <c r="J33" s="191"/>
      <c r="K33" s="191"/>
    </row>
    <row r="34" spans="1:11" s="210" customFormat="1">
      <c r="A34" s="211">
        <f t="shared" si="0"/>
        <v>24</v>
      </c>
      <c r="B34" s="1222">
        <v>569.29999999999995</v>
      </c>
      <c r="C34" s="191" t="s">
        <v>465</v>
      </c>
      <c r="D34" s="798">
        <v>0</v>
      </c>
      <c r="E34" s="798">
        <v>0</v>
      </c>
      <c r="F34" s="798">
        <f t="shared" si="4"/>
        <v>0</v>
      </c>
      <c r="G34" s="1254" t="s">
        <v>916</v>
      </c>
      <c r="H34" s="211">
        <f t="shared" si="2"/>
        <v>24</v>
      </c>
      <c r="J34" s="191"/>
      <c r="K34" s="191"/>
    </row>
    <row r="35" spans="1:11" s="210" customFormat="1">
      <c r="A35" s="211">
        <f t="shared" si="0"/>
        <v>25</v>
      </c>
      <c r="B35" s="1222">
        <v>569.4</v>
      </c>
      <c r="C35" s="191" t="s">
        <v>466</v>
      </c>
      <c r="D35" s="798">
        <v>112.395</v>
      </c>
      <c r="E35" s="798">
        <v>0</v>
      </c>
      <c r="F35" s="798">
        <f t="shared" si="4"/>
        <v>112.395</v>
      </c>
      <c r="G35" s="1254" t="s">
        <v>917</v>
      </c>
      <c r="H35" s="211">
        <f t="shared" si="2"/>
        <v>25</v>
      </c>
      <c r="J35" s="191"/>
      <c r="K35" s="191"/>
    </row>
    <row r="36" spans="1:11" s="210" customFormat="1" ht="18.75">
      <c r="A36" s="211">
        <f t="shared" si="0"/>
        <v>26</v>
      </c>
      <c r="B36" s="1222">
        <v>570</v>
      </c>
      <c r="C36" s="191" t="s">
        <v>972</v>
      </c>
      <c r="D36" s="798">
        <v>21615.627</v>
      </c>
      <c r="E36" s="798">
        <f>E63</f>
        <v>21615.627</v>
      </c>
      <c r="F36" s="798">
        <f>D36-E36</f>
        <v>0</v>
      </c>
      <c r="G36" s="1254" t="s">
        <v>918</v>
      </c>
      <c r="H36" s="211">
        <f t="shared" si="2"/>
        <v>26</v>
      </c>
      <c r="J36" s="191"/>
      <c r="K36" s="191"/>
    </row>
    <row r="37" spans="1:11" s="210" customFormat="1" ht="18.75">
      <c r="A37" s="211">
        <f t="shared" si="0"/>
        <v>27</v>
      </c>
      <c r="B37" s="1222">
        <v>571</v>
      </c>
      <c r="C37" s="191" t="s">
        <v>467</v>
      </c>
      <c r="D37" s="798">
        <v>36071.786999999997</v>
      </c>
      <c r="E37" s="798">
        <f>E64</f>
        <v>36071.786999999997</v>
      </c>
      <c r="F37" s="798">
        <f t="shared" ref="F37:F38" si="5">D37-E37</f>
        <v>0</v>
      </c>
      <c r="G37" s="1254" t="s">
        <v>919</v>
      </c>
      <c r="H37" s="211">
        <f t="shared" si="2"/>
        <v>27</v>
      </c>
      <c r="J37" s="191"/>
      <c r="K37" s="191"/>
    </row>
    <row r="38" spans="1:11" s="210" customFormat="1" ht="18.75">
      <c r="A38" s="211">
        <f t="shared" si="0"/>
        <v>28</v>
      </c>
      <c r="B38" s="1222">
        <v>572</v>
      </c>
      <c r="C38" s="191" t="s">
        <v>468</v>
      </c>
      <c r="D38" s="798">
        <v>1151.414</v>
      </c>
      <c r="E38" s="798">
        <f>E65</f>
        <v>1151.414</v>
      </c>
      <c r="F38" s="798">
        <f t="shared" si="5"/>
        <v>0</v>
      </c>
      <c r="G38" s="1253" t="s">
        <v>920</v>
      </c>
      <c r="H38" s="211">
        <f t="shared" si="2"/>
        <v>28</v>
      </c>
      <c r="J38" s="191"/>
      <c r="K38" s="191"/>
    </row>
    <row r="39" spans="1:11" s="210" customFormat="1">
      <c r="A39" s="211">
        <f t="shared" si="0"/>
        <v>29</v>
      </c>
      <c r="B39" s="1222">
        <v>573</v>
      </c>
      <c r="C39" s="191" t="s">
        <v>469</v>
      </c>
      <c r="D39" s="974">
        <v>59.027999999999999</v>
      </c>
      <c r="E39" s="974">
        <v>0</v>
      </c>
      <c r="F39" s="974">
        <f>D39-E39</f>
        <v>59.027999999999999</v>
      </c>
      <c r="G39" s="1253" t="s">
        <v>921</v>
      </c>
      <c r="H39" s="211">
        <f t="shared" si="2"/>
        <v>29</v>
      </c>
      <c r="J39" s="191"/>
      <c r="K39" s="191"/>
    </row>
    <row r="40" spans="1:11" s="210" customFormat="1">
      <c r="A40" s="211">
        <f t="shared" si="0"/>
        <v>30</v>
      </c>
      <c r="B40" s="1222"/>
      <c r="C40" s="191"/>
      <c r="D40" s="975"/>
      <c r="E40" s="798"/>
      <c r="F40" s="975"/>
      <c r="G40" s="1253"/>
      <c r="H40" s="211">
        <f t="shared" si="2"/>
        <v>30</v>
      </c>
      <c r="J40" s="191"/>
      <c r="K40" s="191"/>
    </row>
    <row r="41" spans="1:11" s="210" customFormat="1">
      <c r="A41" s="211">
        <f t="shared" si="0"/>
        <v>31</v>
      </c>
      <c r="B41" s="1260"/>
      <c r="C41" s="1261" t="s">
        <v>470</v>
      </c>
      <c r="D41" s="796">
        <f>SUM(D30:D39)</f>
        <v>67368.577000000005</v>
      </c>
      <c r="E41" s="796">
        <f>SUM(E30:E39)</f>
        <v>58838.827999999994</v>
      </c>
      <c r="F41" s="796">
        <f>SUM(F30:F39)</f>
        <v>8529.7490000000016</v>
      </c>
      <c r="G41" s="1253" t="str">
        <f>"Sum Lines "&amp;A30&amp;" thru "&amp;A39</f>
        <v>Sum Lines 20 thru 29</v>
      </c>
      <c r="H41" s="211">
        <f t="shared" si="2"/>
        <v>31</v>
      </c>
      <c r="J41" s="191"/>
      <c r="K41" s="191"/>
    </row>
    <row r="42" spans="1:11" s="210" customFormat="1">
      <c r="A42" s="211">
        <f t="shared" si="0"/>
        <v>32</v>
      </c>
      <c r="B42" s="1260"/>
      <c r="C42" s="191"/>
      <c r="D42" s="976"/>
      <c r="E42" s="976"/>
      <c r="F42" s="976"/>
      <c r="G42" s="1253"/>
      <c r="H42" s="211">
        <f t="shared" si="2"/>
        <v>32</v>
      </c>
      <c r="J42" s="191"/>
      <c r="K42" s="191"/>
    </row>
    <row r="43" spans="1:11" s="210" customFormat="1" ht="16.5" thickBot="1">
      <c r="A43" s="211">
        <f t="shared" si="0"/>
        <v>33</v>
      </c>
      <c r="B43" s="1245"/>
      <c r="C43" s="210" t="s">
        <v>471</v>
      </c>
      <c r="D43" s="218">
        <f>D27+D41</f>
        <v>148103.89799999999</v>
      </c>
      <c r="E43" s="218">
        <f>+E27+E41</f>
        <v>88195.836299999995</v>
      </c>
      <c r="F43" s="218">
        <f>+F27+F41</f>
        <v>59908.061700000013</v>
      </c>
      <c r="G43" s="1253" t="str">
        <f>"Line "&amp;A27&amp;" + Line "&amp;A41</f>
        <v>Line 17 + Line 31</v>
      </c>
      <c r="H43" s="211">
        <f t="shared" si="2"/>
        <v>33</v>
      </c>
      <c r="J43" s="191"/>
      <c r="K43" s="191"/>
    </row>
    <row r="44" spans="1:11" s="210" customFormat="1" ht="16.5" thickTop="1">
      <c r="A44" s="211">
        <f t="shared" si="0"/>
        <v>34</v>
      </c>
      <c r="B44" s="1245"/>
      <c r="D44" s="222"/>
      <c r="E44" s="222"/>
      <c r="F44" s="222"/>
      <c r="G44" s="1253"/>
      <c r="H44" s="211">
        <f t="shared" si="2"/>
        <v>34</v>
      </c>
      <c r="J44" s="191"/>
      <c r="K44" s="191"/>
    </row>
    <row r="45" spans="1:11" s="210" customFormat="1" ht="18.75">
      <c r="A45" s="211">
        <f t="shared" si="0"/>
        <v>35</v>
      </c>
      <c r="B45" s="1222">
        <v>413</v>
      </c>
      <c r="C45" s="191" t="s">
        <v>472</v>
      </c>
      <c r="D45" s="974">
        <v>727.23095999999998</v>
      </c>
      <c r="E45" s="974">
        <v>0</v>
      </c>
      <c r="F45" s="974">
        <f>D45-E45</f>
        <v>727.23095999999998</v>
      </c>
      <c r="G45" s="248"/>
      <c r="H45" s="211">
        <f t="shared" si="2"/>
        <v>35</v>
      </c>
      <c r="J45" s="342"/>
      <c r="K45" s="191"/>
    </row>
    <row r="46" spans="1:11" s="210" customFormat="1">
      <c r="A46" s="211">
        <f t="shared" si="0"/>
        <v>36</v>
      </c>
      <c r="B46" s="1245"/>
      <c r="D46" s="222"/>
      <c r="E46" s="222"/>
      <c r="F46" s="222"/>
      <c r="G46" s="1253"/>
      <c r="H46" s="211">
        <f t="shared" si="2"/>
        <v>36</v>
      </c>
      <c r="J46" s="191"/>
      <c r="K46" s="191"/>
    </row>
    <row r="47" spans="1:11" s="210" customFormat="1" ht="16.5" thickBot="1">
      <c r="A47" s="211">
        <f t="shared" si="0"/>
        <v>37</v>
      </c>
      <c r="B47" s="1245"/>
      <c r="C47" s="210" t="s">
        <v>473</v>
      </c>
      <c r="D47" s="218">
        <f>D43+D45</f>
        <v>148831.12895999997</v>
      </c>
      <c r="E47" s="218">
        <f>E43+E45</f>
        <v>88195.836299999995</v>
      </c>
      <c r="F47" s="218">
        <f>F43+F45</f>
        <v>60635.292660000014</v>
      </c>
      <c r="G47" s="1253" t="str">
        <f>"Line "&amp;A43&amp;" + Line "&amp;A45</f>
        <v>Line 33 + Line 35</v>
      </c>
      <c r="H47" s="211">
        <f t="shared" si="2"/>
        <v>37</v>
      </c>
      <c r="J47" s="191"/>
      <c r="K47" s="191"/>
    </row>
    <row r="48" spans="1:11" ht="17.25" thickTop="1" thickBot="1">
      <c r="A48" s="211">
        <f t="shared" si="0"/>
        <v>38</v>
      </c>
      <c r="B48" s="1262"/>
      <c r="C48" s="867"/>
      <c r="D48" s="1263"/>
      <c r="E48" s="219"/>
      <c r="F48" s="1263"/>
      <c r="G48" s="220"/>
      <c r="H48" s="211">
        <f t="shared" si="2"/>
        <v>38</v>
      </c>
    </row>
    <row r="49" spans="1:10">
      <c r="A49" s="211">
        <f t="shared" si="0"/>
        <v>39</v>
      </c>
      <c r="B49" s="1264"/>
      <c r="D49" s="1265"/>
      <c r="E49" s="217"/>
      <c r="F49" s="1265"/>
      <c r="G49" s="221"/>
      <c r="H49" s="211">
        <f t="shared" si="2"/>
        <v>39</v>
      </c>
    </row>
    <row r="50" spans="1:10" s="3" customFormat="1">
      <c r="A50" s="211">
        <f t="shared" si="0"/>
        <v>40</v>
      </c>
      <c r="B50" s="1266" t="s">
        <v>474</v>
      </c>
      <c r="D50" s="10"/>
      <c r="E50" s="9"/>
      <c r="F50" s="10"/>
      <c r="G50" s="1267"/>
      <c r="H50" s="211">
        <f t="shared" si="2"/>
        <v>40</v>
      </c>
    </row>
    <row r="51" spans="1:10" s="3" customFormat="1">
      <c r="A51" s="211">
        <f t="shared" si="0"/>
        <v>41</v>
      </c>
      <c r="B51" s="1264" t="s">
        <v>475</v>
      </c>
      <c r="C51" s="191" t="s">
        <v>476</v>
      </c>
      <c r="D51" s="1265"/>
      <c r="E51" s="776">
        <v>111.42700000000001</v>
      </c>
      <c r="F51" s="10"/>
      <c r="G51" s="1267"/>
      <c r="H51" s="211">
        <f t="shared" si="2"/>
        <v>41</v>
      </c>
      <c r="J51" s="1181"/>
    </row>
    <row r="52" spans="1:10" s="3" customFormat="1">
      <c r="A52" s="211">
        <f t="shared" si="0"/>
        <v>42</v>
      </c>
      <c r="B52" s="1264" t="s">
        <v>886</v>
      </c>
      <c r="C52" s="191" t="s">
        <v>477</v>
      </c>
      <c r="D52" s="1265"/>
      <c r="E52" s="392">
        <v>2802.2510600000001</v>
      </c>
      <c r="F52" s="10"/>
      <c r="G52" s="1267"/>
      <c r="H52" s="211">
        <f t="shared" si="2"/>
        <v>42</v>
      </c>
      <c r="J52" s="700"/>
    </row>
    <row r="53" spans="1:10" s="3" customFormat="1">
      <c r="A53" s="211">
        <f t="shared" si="0"/>
        <v>43</v>
      </c>
      <c r="B53" s="1264">
        <v>561.79999999999995</v>
      </c>
      <c r="C53" s="191" t="s">
        <v>478</v>
      </c>
      <c r="D53" s="1265"/>
      <c r="E53" s="392">
        <v>1516.30691</v>
      </c>
      <c r="F53" s="10"/>
      <c r="G53" s="1267"/>
      <c r="H53" s="211">
        <f t="shared" si="2"/>
        <v>43</v>
      </c>
    </row>
    <row r="54" spans="1:10" s="3" customFormat="1" ht="18.75">
      <c r="A54" s="211">
        <f t="shared" si="0"/>
        <v>44</v>
      </c>
      <c r="B54" s="1264">
        <v>562</v>
      </c>
      <c r="C54" s="191" t="s">
        <v>454</v>
      </c>
      <c r="D54" s="1265"/>
      <c r="E54" s="392">
        <f>D20</f>
        <v>11762.996999999999</v>
      </c>
      <c r="F54" s="10"/>
      <c r="G54" s="1267"/>
      <c r="H54" s="211">
        <f t="shared" si="2"/>
        <v>44</v>
      </c>
      <c r="J54" s="700"/>
    </row>
    <row r="55" spans="1:10" s="3" customFormat="1" ht="18.75">
      <c r="A55" s="211">
        <f t="shared" si="0"/>
        <v>45</v>
      </c>
      <c r="B55" s="1264">
        <v>564</v>
      </c>
      <c r="C55" s="191" t="s">
        <v>1004</v>
      </c>
      <c r="D55" s="1265"/>
      <c r="E55" s="392">
        <f>D22</f>
        <v>16.190999999999999</v>
      </c>
      <c r="F55" s="10"/>
      <c r="G55" s="1267"/>
      <c r="H55" s="211">
        <f t="shared" si="2"/>
        <v>45</v>
      </c>
    </row>
    <row r="56" spans="1:10" s="3" customFormat="1">
      <c r="A56" s="211">
        <f t="shared" si="0"/>
        <v>46</v>
      </c>
      <c r="B56" s="1264">
        <v>565</v>
      </c>
      <c r="C56" s="191" t="s">
        <v>479</v>
      </c>
      <c r="D56" s="1265"/>
      <c r="E56" s="392">
        <v>0</v>
      </c>
      <c r="F56" s="10"/>
      <c r="G56" s="1267"/>
      <c r="H56" s="211">
        <f t="shared" si="2"/>
        <v>46</v>
      </c>
    </row>
    <row r="57" spans="1:10" s="3" customFormat="1">
      <c r="A57" s="211">
        <f t="shared" si="0"/>
        <v>47</v>
      </c>
      <c r="B57" s="1264" t="s">
        <v>887</v>
      </c>
      <c r="C57" s="3" t="s">
        <v>987</v>
      </c>
      <c r="E57" s="392"/>
      <c r="F57" s="10"/>
      <c r="G57" s="1267"/>
      <c r="H57" s="211">
        <f t="shared" si="2"/>
        <v>47</v>
      </c>
    </row>
    <row r="58" spans="1:10" s="3" customFormat="1">
      <c r="A58" s="211">
        <f t="shared" si="0"/>
        <v>48</v>
      </c>
      <c r="B58" s="1264"/>
      <c r="C58" s="191" t="s">
        <v>988</v>
      </c>
      <c r="D58" s="776">
        <v>0</v>
      </c>
      <c r="E58" s="392"/>
      <c r="F58" s="10"/>
      <c r="G58" s="1267"/>
      <c r="H58" s="211">
        <f t="shared" si="2"/>
        <v>48</v>
      </c>
    </row>
    <row r="59" spans="1:10" s="3" customFormat="1">
      <c r="A59" s="211">
        <f t="shared" si="0"/>
        <v>49</v>
      </c>
      <c r="B59" s="1264"/>
      <c r="C59" s="191" t="s">
        <v>989</v>
      </c>
      <c r="D59" s="392">
        <v>0</v>
      </c>
      <c r="E59" s="392"/>
      <c r="F59" s="10"/>
      <c r="G59" s="1267"/>
      <c r="H59" s="211">
        <f t="shared" si="2"/>
        <v>49</v>
      </c>
    </row>
    <row r="60" spans="1:10" s="3" customFormat="1">
      <c r="A60" s="211">
        <f t="shared" si="0"/>
        <v>50</v>
      </c>
      <c r="B60" s="1264"/>
      <c r="C60" s="191" t="s">
        <v>990</v>
      </c>
      <c r="D60" s="392">
        <v>628.16598999999997</v>
      </c>
      <c r="E60" s="392"/>
      <c r="F60" s="10"/>
      <c r="G60" s="1267"/>
      <c r="H60" s="211">
        <f t="shared" si="2"/>
        <v>50</v>
      </c>
    </row>
    <row r="61" spans="1:10" s="3" customFormat="1">
      <c r="A61" s="211">
        <f t="shared" si="0"/>
        <v>51</v>
      </c>
      <c r="B61" s="1264"/>
      <c r="C61" s="191" t="s">
        <v>991</v>
      </c>
      <c r="D61" s="392">
        <v>206.48020000000002</v>
      </c>
      <c r="E61" s="392"/>
      <c r="F61" s="10"/>
      <c r="G61" s="1267"/>
      <c r="H61" s="211">
        <f t="shared" si="2"/>
        <v>51</v>
      </c>
    </row>
    <row r="62" spans="1:10" s="3" customFormat="1">
      <c r="A62" s="211">
        <f t="shared" si="0"/>
        <v>52</v>
      </c>
      <c r="B62" s="1264"/>
      <c r="C62" s="191" t="s">
        <v>992</v>
      </c>
      <c r="D62" s="1279">
        <v>12313.18914</v>
      </c>
      <c r="E62" s="607">
        <f>SUM(D58:D62)</f>
        <v>13147.83533</v>
      </c>
      <c r="F62" s="10"/>
      <c r="G62" s="1267"/>
      <c r="H62" s="211">
        <f t="shared" si="2"/>
        <v>52</v>
      </c>
    </row>
    <row r="63" spans="1:10" s="3" customFormat="1" ht="18.75">
      <c r="A63" s="211">
        <f t="shared" si="0"/>
        <v>53</v>
      </c>
      <c r="B63" s="223">
        <v>570</v>
      </c>
      <c r="C63" s="1269" t="s">
        <v>889</v>
      </c>
      <c r="D63" s="392"/>
      <c r="E63" s="1268">
        <f>D36</f>
        <v>21615.627</v>
      </c>
      <c r="F63" s="10"/>
      <c r="G63" s="1267"/>
      <c r="H63" s="211">
        <f t="shared" si="2"/>
        <v>53</v>
      </c>
    </row>
    <row r="64" spans="1:10" s="3" customFormat="1" ht="18.75">
      <c r="A64" s="211">
        <f t="shared" si="0"/>
        <v>54</v>
      </c>
      <c r="B64" s="223">
        <v>571</v>
      </c>
      <c r="C64" s="1269" t="s">
        <v>467</v>
      </c>
      <c r="D64" s="392"/>
      <c r="E64" s="1268">
        <f>D37</f>
        <v>36071.786999999997</v>
      </c>
      <c r="F64" s="10"/>
      <c r="G64" s="1267"/>
      <c r="H64" s="211">
        <f t="shared" si="2"/>
        <v>54</v>
      </c>
    </row>
    <row r="65" spans="1:10" s="3" customFormat="1" ht="18.75">
      <c r="A65" s="211">
        <f t="shared" si="0"/>
        <v>55</v>
      </c>
      <c r="B65" s="223">
        <v>572</v>
      </c>
      <c r="C65" s="1270" t="s">
        <v>468</v>
      </c>
      <c r="D65" s="392"/>
      <c r="E65" s="1268">
        <f>D38</f>
        <v>1151.414</v>
      </c>
      <c r="F65" s="10"/>
      <c r="G65" s="1267"/>
      <c r="H65" s="211">
        <f t="shared" si="2"/>
        <v>55</v>
      </c>
    </row>
    <row r="66" spans="1:10" s="3" customFormat="1">
      <c r="A66" s="211">
        <f t="shared" si="0"/>
        <v>56</v>
      </c>
      <c r="B66" s="1271"/>
      <c r="D66" s="10"/>
      <c r="E66" s="1272"/>
      <c r="F66" s="10"/>
      <c r="G66" s="1267"/>
      <c r="H66" s="211">
        <f t="shared" si="2"/>
        <v>56</v>
      </c>
    </row>
    <row r="67" spans="1:10" s="3" customFormat="1" ht="16.5" thickBot="1">
      <c r="A67" s="211">
        <f t="shared" si="0"/>
        <v>57</v>
      </c>
      <c r="B67" s="1273"/>
      <c r="C67" s="1274" t="s">
        <v>480</v>
      </c>
      <c r="D67" s="10"/>
      <c r="E67" s="265">
        <f>SUM(E51:E65)</f>
        <v>88195.83630000001</v>
      </c>
      <c r="F67" s="10"/>
      <c r="G67" s="1267"/>
      <c r="H67" s="211">
        <f t="shared" si="2"/>
        <v>57</v>
      </c>
    </row>
    <row r="68" spans="1:10" s="3" customFormat="1" ht="16.5" thickTop="1">
      <c r="A68" s="211">
        <f t="shared" si="0"/>
        <v>58</v>
      </c>
      <c r="B68" s="1273"/>
      <c r="C68" s="1269"/>
      <c r="D68" s="10"/>
      <c r="E68" s="94"/>
      <c r="F68" s="10"/>
      <c r="G68" s="1267"/>
      <c r="H68" s="211">
        <f t="shared" si="2"/>
        <v>58</v>
      </c>
    </row>
    <row r="69" spans="1:10" s="3" customFormat="1" ht="18.75">
      <c r="A69" s="211">
        <f t="shared" si="0"/>
        <v>59</v>
      </c>
      <c r="B69" s="1275">
        <v>1</v>
      </c>
      <c r="C69" s="1269" t="s">
        <v>481</v>
      </c>
      <c r="D69" s="10"/>
      <c r="E69" s="8"/>
      <c r="F69" s="10"/>
      <c r="G69" s="1267"/>
      <c r="H69" s="211">
        <f t="shared" si="2"/>
        <v>59</v>
      </c>
      <c r="J69" s="700"/>
    </row>
    <row r="70" spans="1:10" s="3" customFormat="1" ht="18.75">
      <c r="A70" s="211">
        <f t="shared" si="0"/>
        <v>60</v>
      </c>
      <c r="B70" s="1275"/>
      <c r="C70" s="1269" t="s">
        <v>482</v>
      </c>
      <c r="D70" s="10"/>
      <c r="E70" s="8"/>
      <c r="F70" s="10"/>
      <c r="G70" s="1267"/>
      <c r="H70" s="211">
        <f t="shared" si="2"/>
        <v>60</v>
      </c>
      <c r="J70" s="700"/>
    </row>
    <row r="71" spans="1:10" s="3" customFormat="1" ht="18.75">
      <c r="A71" s="211">
        <f t="shared" si="0"/>
        <v>61</v>
      </c>
      <c r="B71" s="1275">
        <v>2</v>
      </c>
      <c r="C71" s="1269" t="s">
        <v>483</v>
      </c>
      <c r="E71" s="8"/>
      <c r="G71" s="1267"/>
      <c r="H71" s="211">
        <f t="shared" si="2"/>
        <v>61</v>
      </c>
    </row>
    <row r="72" spans="1:10" s="3" customFormat="1" ht="18.75">
      <c r="A72" s="211">
        <f t="shared" si="0"/>
        <v>62</v>
      </c>
      <c r="B72" s="1275">
        <v>3</v>
      </c>
      <c r="C72" s="1269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2024, which is added back to derive Total Adjusted Electric</v>
      </c>
      <c r="E72" s="8"/>
      <c r="G72" s="1267"/>
      <c r="H72" s="211">
        <f t="shared" si="2"/>
        <v>62</v>
      </c>
    </row>
    <row r="73" spans="1:10" s="3" customFormat="1" ht="18.75">
      <c r="A73" s="211">
        <f t="shared" si="0"/>
        <v>63</v>
      </c>
      <c r="B73" s="1275"/>
      <c r="C73" s="1269" t="s">
        <v>484</v>
      </c>
      <c r="E73" s="8"/>
      <c r="G73" s="1267"/>
      <c r="H73" s="211">
        <f t="shared" si="2"/>
        <v>63</v>
      </c>
    </row>
    <row r="74" spans="1:10" ht="16.5" thickBot="1">
      <c r="A74" s="211">
        <f t="shared" si="0"/>
        <v>64</v>
      </c>
      <c r="B74" s="1276"/>
      <c r="C74" s="867"/>
      <c r="D74" s="867"/>
      <c r="E74" s="1277"/>
      <c r="F74" s="867"/>
      <c r="G74" s="220"/>
      <c r="H74" s="211">
        <f t="shared" si="2"/>
        <v>64</v>
      </c>
    </row>
    <row r="75" spans="1:10">
      <c r="A75" s="211"/>
      <c r="B75" s="1278"/>
    </row>
    <row r="76" spans="1:10" ht="18.75">
      <c r="A76" s="211"/>
      <c r="B76" s="121"/>
      <c r="C76" s="3"/>
      <c r="D76" s="62"/>
      <c r="E76" s="62"/>
      <c r="F76" s="62"/>
    </row>
    <row r="77" spans="1:10" ht="18.75">
      <c r="A77" s="211"/>
      <c r="B77" s="121"/>
      <c r="C77" s="16"/>
      <c r="D77" s="62"/>
      <c r="E77" s="62"/>
      <c r="F77" s="62"/>
    </row>
    <row r="78" spans="1:10" ht="18.75">
      <c r="A78" s="211"/>
      <c r="B78" s="121"/>
      <c r="C78" s="16"/>
      <c r="D78" s="62"/>
      <c r="E78" s="62"/>
      <c r="F78" s="62"/>
    </row>
    <row r="79" spans="1:10">
      <c r="A79" s="211"/>
      <c r="B79" s="1278"/>
    </row>
    <row r="80" spans="1:10">
      <c r="A80" s="211"/>
      <c r="B80" s="1278"/>
    </row>
    <row r="81" spans="1:5">
      <c r="A81" s="211"/>
      <c r="B81" s="1278"/>
    </row>
    <row r="82" spans="1:5">
      <c r="A82" s="211"/>
      <c r="B82" s="1278"/>
    </row>
    <row r="83" spans="1:5">
      <c r="A83" s="211"/>
      <c r="B83" s="1278"/>
    </row>
    <row r="84" spans="1:5">
      <c r="A84" s="211"/>
      <c r="B84" s="1278"/>
    </row>
    <row r="85" spans="1:5">
      <c r="A85" s="211"/>
      <c r="B85" s="1278"/>
    </row>
    <row r="86" spans="1:5">
      <c r="A86" s="211"/>
      <c r="B86" s="1278"/>
    </row>
    <row r="87" spans="1:5">
      <c r="A87" s="211"/>
      <c r="B87" s="1278"/>
    </row>
    <row r="88" spans="1:5">
      <c r="A88" s="211"/>
      <c r="B88" s="1278"/>
      <c r="E88" s="191"/>
    </row>
    <row r="89" spans="1:5">
      <c r="A89" s="211"/>
      <c r="B89" s="1278"/>
      <c r="E89" s="191"/>
    </row>
    <row r="90" spans="1:5">
      <c r="A90" s="211"/>
      <c r="B90" s="1278"/>
      <c r="E90" s="191"/>
    </row>
    <row r="91" spans="1:5">
      <c r="A91" s="211"/>
      <c r="B91" s="1278"/>
      <c r="E91" s="191"/>
    </row>
    <row r="92" spans="1:5">
      <c r="A92" s="211"/>
      <c r="B92" s="1278"/>
      <c r="E92" s="191"/>
    </row>
    <row r="93" spans="1:5">
      <c r="A93" s="211"/>
      <c r="B93" s="1278"/>
      <c r="E93" s="191"/>
    </row>
    <row r="94" spans="1:5">
      <c r="A94" s="211"/>
      <c r="B94" s="1278"/>
      <c r="E94" s="191"/>
    </row>
    <row r="95" spans="1:5">
      <c r="A95" s="211"/>
      <c r="B95" s="1278"/>
      <c r="E95" s="191"/>
    </row>
    <row r="96" spans="1:5">
      <c r="A96" s="211"/>
      <c r="B96" s="1278"/>
      <c r="E96" s="191"/>
    </row>
    <row r="97" spans="1:5">
      <c r="A97" s="211"/>
      <c r="B97" s="1278"/>
      <c r="E97" s="191"/>
    </row>
    <row r="98" spans="1:5">
      <c r="A98" s="211"/>
      <c r="B98" s="1278"/>
      <c r="E98" s="191"/>
    </row>
    <row r="99" spans="1:5">
      <c r="A99" s="211"/>
      <c r="B99" s="1278"/>
      <c r="E99" s="191"/>
    </row>
    <row r="100" spans="1:5">
      <c r="A100" s="211"/>
      <c r="B100" s="1278"/>
      <c r="E100" s="191"/>
    </row>
    <row r="101" spans="1:5">
      <c r="A101" s="211"/>
      <c r="B101" s="1278"/>
      <c r="E101" s="191"/>
    </row>
    <row r="102" spans="1:5">
      <c r="B102" s="1278"/>
      <c r="E102" s="191"/>
    </row>
    <row r="103" spans="1:5">
      <c r="B103" s="1278"/>
      <c r="E103" s="191"/>
    </row>
    <row r="104" spans="1:5">
      <c r="B104" s="1278"/>
      <c r="E104" s="191"/>
    </row>
    <row r="105" spans="1:5">
      <c r="B105" s="1278"/>
      <c r="E105" s="191"/>
    </row>
    <row r="106" spans="1:5">
      <c r="B106" s="1278"/>
      <c r="E106" s="191"/>
    </row>
    <row r="107" spans="1:5">
      <c r="B107" s="1278"/>
      <c r="E107" s="191"/>
    </row>
    <row r="108" spans="1:5">
      <c r="B108" s="1278"/>
      <c r="E108" s="191"/>
    </row>
    <row r="109" spans="1:5">
      <c r="B109" s="1278"/>
      <c r="E109" s="191"/>
    </row>
    <row r="110" spans="1:5">
      <c r="B110" s="1278"/>
      <c r="E110" s="191"/>
    </row>
    <row r="111" spans="1:5">
      <c r="B111" s="1278"/>
      <c r="E111" s="191"/>
    </row>
    <row r="112" spans="1:5">
      <c r="B112" s="1278"/>
      <c r="E112" s="191"/>
    </row>
    <row r="113" spans="2:5">
      <c r="B113" s="1278"/>
      <c r="E113" s="191"/>
    </row>
    <row r="114" spans="2:5">
      <c r="B114" s="1278"/>
      <c r="E114" s="191"/>
    </row>
    <row r="115" spans="2:5">
      <c r="B115" s="1278"/>
      <c r="E115" s="191"/>
    </row>
    <row r="116" spans="2:5">
      <c r="B116" s="1278"/>
      <c r="E116" s="191"/>
    </row>
    <row r="117" spans="2:5">
      <c r="B117" s="1278"/>
      <c r="E117" s="191"/>
    </row>
    <row r="118" spans="2:5">
      <c r="B118" s="1278"/>
      <c r="E118" s="191"/>
    </row>
    <row r="119" spans="2:5">
      <c r="B119" s="1278"/>
      <c r="E119" s="191"/>
    </row>
    <row r="120" spans="2:5">
      <c r="B120" s="1278"/>
      <c r="E120" s="191"/>
    </row>
    <row r="121" spans="2:5">
      <c r="B121" s="1278"/>
      <c r="E121" s="191"/>
    </row>
    <row r="122" spans="2:5">
      <c r="B122" s="1278"/>
      <c r="E122" s="191"/>
    </row>
    <row r="123" spans="2:5">
      <c r="B123" s="1278"/>
      <c r="E123" s="191"/>
    </row>
    <row r="124" spans="2:5">
      <c r="B124" s="1278"/>
      <c r="E124" s="191"/>
    </row>
    <row r="125" spans="2:5">
      <c r="B125" s="1278"/>
      <c r="E125" s="191"/>
    </row>
    <row r="126" spans="2:5">
      <c r="B126" s="1278"/>
      <c r="E126" s="191"/>
    </row>
    <row r="127" spans="2:5">
      <c r="B127" s="1278"/>
      <c r="E127" s="191"/>
    </row>
    <row r="128" spans="2:5">
      <c r="B128" s="1278"/>
      <c r="E128" s="191"/>
    </row>
    <row r="129" spans="2:5">
      <c r="B129" s="1278"/>
      <c r="E129" s="191"/>
    </row>
    <row r="130" spans="2:5">
      <c r="B130" s="1278"/>
      <c r="E130" s="191"/>
    </row>
    <row r="131" spans="2:5">
      <c r="B131" s="1278"/>
      <c r="E131" s="191"/>
    </row>
    <row r="132" spans="2:5">
      <c r="B132" s="1278"/>
      <c r="E132" s="191"/>
    </row>
    <row r="133" spans="2:5">
      <c r="B133" s="1278"/>
      <c r="E133" s="191"/>
    </row>
    <row r="134" spans="2:5">
      <c r="B134" s="1278"/>
      <c r="E134" s="191"/>
    </row>
    <row r="135" spans="2:5">
      <c r="B135" s="1278"/>
      <c r="E135" s="191"/>
    </row>
    <row r="136" spans="2:5">
      <c r="B136" s="1278"/>
      <c r="E136" s="191"/>
    </row>
    <row r="137" spans="2:5">
      <c r="B137" s="1278"/>
      <c r="E137" s="191"/>
    </row>
    <row r="138" spans="2:5">
      <c r="B138" s="1278"/>
      <c r="E138" s="191"/>
    </row>
    <row r="139" spans="2:5">
      <c r="B139" s="1278"/>
      <c r="E139" s="191"/>
    </row>
    <row r="140" spans="2:5">
      <c r="B140" s="1278"/>
      <c r="E140" s="191"/>
    </row>
    <row r="141" spans="2:5">
      <c r="B141" s="1278"/>
      <c r="E141" s="191"/>
    </row>
    <row r="142" spans="2:5">
      <c r="B142" s="1278"/>
      <c r="E142" s="191"/>
    </row>
    <row r="143" spans="2:5">
      <c r="B143" s="1278"/>
      <c r="E143" s="191"/>
    </row>
    <row r="144" spans="2:5">
      <c r="B144" s="1278"/>
      <c r="E144" s="191"/>
    </row>
    <row r="145" spans="2:5">
      <c r="B145" s="1278"/>
      <c r="E145" s="191"/>
    </row>
    <row r="146" spans="2:5">
      <c r="B146" s="1278"/>
      <c r="E146" s="191"/>
    </row>
    <row r="147" spans="2:5">
      <c r="B147" s="1278"/>
      <c r="E147" s="191"/>
    </row>
    <row r="148" spans="2:5">
      <c r="B148" s="1278"/>
      <c r="E148" s="191"/>
    </row>
    <row r="149" spans="2:5">
      <c r="B149" s="1278"/>
      <c r="E149" s="191"/>
    </row>
    <row r="150" spans="2:5">
      <c r="B150" s="1278"/>
      <c r="E150" s="191"/>
    </row>
    <row r="151" spans="2:5">
      <c r="B151" s="1278"/>
      <c r="E151" s="191"/>
    </row>
    <row r="152" spans="2:5">
      <c r="B152" s="1278"/>
      <c r="E152" s="191"/>
    </row>
    <row r="153" spans="2:5">
      <c r="B153" s="1278"/>
      <c r="E153" s="191"/>
    </row>
    <row r="154" spans="2:5">
      <c r="B154" s="1278"/>
      <c r="E154" s="191"/>
    </row>
    <row r="155" spans="2:5">
      <c r="B155" s="1278"/>
      <c r="E155" s="191"/>
    </row>
    <row r="156" spans="2:5">
      <c r="B156" s="1278"/>
      <c r="E156" s="191"/>
    </row>
    <row r="157" spans="2:5">
      <c r="B157" s="1278"/>
      <c r="E157" s="191"/>
    </row>
    <row r="158" spans="2:5">
      <c r="B158" s="1278"/>
      <c r="E158" s="191"/>
    </row>
    <row r="159" spans="2:5">
      <c r="B159" s="1278"/>
      <c r="E159" s="191"/>
    </row>
    <row r="160" spans="2:5">
      <c r="B160" s="1278"/>
      <c r="E160" s="191"/>
    </row>
    <row r="161" spans="2:5">
      <c r="B161" s="1278"/>
      <c r="E161" s="191"/>
    </row>
    <row r="162" spans="2:5">
      <c r="B162" s="1278"/>
      <c r="E162" s="191"/>
    </row>
    <row r="163" spans="2:5">
      <c r="B163" s="1278"/>
      <c r="E163" s="191"/>
    </row>
    <row r="164" spans="2:5">
      <c r="B164" s="1278"/>
      <c r="E164" s="191"/>
    </row>
    <row r="165" spans="2:5">
      <c r="B165" s="1278"/>
      <c r="E165" s="191"/>
    </row>
    <row r="166" spans="2:5">
      <c r="B166" s="1278"/>
      <c r="E166" s="191"/>
    </row>
    <row r="167" spans="2:5">
      <c r="B167" s="1278"/>
      <c r="E167" s="191"/>
    </row>
    <row r="168" spans="2:5">
      <c r="B168" s="1278"/>
      <c r="E168" s="191"/>
    </row>
    <row r="169" spans="2:5">
      <c r="B169" s="1278"/>
      <c r="E169" s="191"/>
    </row>
    <row r="170" spans="2:5">
      <c r="B170" s="1278"/>
      <c r="E170" s="191"/>
    </row>
    <row r="171" spans="2:5">
      <c r="B171" s="1278"/>
      <c r="E171" s="191"/>
    </row>
    <row r="172" spans="2:5">
      <c r="B172" s="1278"/>
      <c r="E172" s="191"/>
    </row>
    <row r="173" spans="2:5">
      <c r="B173" s="1278"/>
      <c r="E173" s="191"/>
    </row>
    <row r="174" spans="2:5">
      <c r="B174" s="1278"/>
      <c r="E174" s="191"/>
    </row>
    <row r="175" spans="2:5">
      <c r="B175" s="1278"/>
      <c r="E175" s="191"/>
    </row>
    <row r="176" spans="2:5">
      <c r="B176" s="1278"/>
      <c r="E176" s="191"/>
    </row>
    <row r="177" spans="2:5">
      <c r="B177" s="1278"/>
      <c r="E177" s="191"/>
    </row>
    <row r="178" spans="2:5">
      <c r="B178" s="1278"/>
      <c r="E178" s="191"/>
    </row>
    <row r="179" spans="2:5">
      <c r="B179" s="1278"/>
      <c r="E179" s="191"/>
    </row>
    <row r="180" spans="2:5">
      <c r="B180" s="1278"/>
      <c r="E180" s="191"/>
    </row>
    <row r="181" spans="2:5">
      <c r="B181" s="1278"/>
      <c r="E181" s="191"/>
    </row>
    <row r="182" spans="2:5">
      <c r="B182" s="1278"/>
      <c r="E182" s="191"/>
    </row>
    <row r="183" spans="2:5">
      <c r="B183" s="1278"/>
      <c r="E183" s="191"/>
    </row>
    <row r="184" spans="2:5">
      <c r="B184" s="1278"/>
      <c r="E184" s="191"/>
    </row>
    <row r="185" spans="2:5">
      <c r="B185" s="1278"/>
      <c r="E185" s="191"/>
    </row>
    <row r="186" spans="2:5">
      <c r="B186" s="1278"/>
      <c r="E186" s="191"/>
    </row>
    <row r="187" spans="2:5">
      <c r="B187" s="1278"/>
      <c r="E187" s="191"/>
    </row>
    <row r="188" spans="2:5">
      <c r="B188" s="1278"/>
      <c r="E188" s="191"/>
    </row>
    <row r="189" spans="2:5">
      <c r="B189" s="1278"/>
      <c r="E189" s="191"/>
    </row>
    <row r="190" spans="2:5">
      <c r="B190" s="1278"/>
      <c r="E190" s="191"/>
    </row>
    <row r="191" spans="2:5">
      <c r="B191" s="1278"/>
      <c r="E191" s="191"/>
    </row>
    <row r="192" spans="2:5">
      <c r="B192" s="1278"/>
      <c r="E192" s="191"/>
    </row>
    <row r="193" spans="2:5">
      <c r="B193" s="1278"/>
      <c r="E193" s="191"/>
    </row>
    <row r="194" spans="2:5">
      <c r="B194" s="1278"/>
      <c r="E194" s="191"/>
    </row>
    <row r="195" spans="2:5">
      <c r="B195" s="1278"/>
      <c r="E195" s="191"/>
    </row>
    <row r="196" spans="2:5">
      <c r="B196" s="1278"/>
      <c r="E196" s="191"/>
    </row>
    <row r="197" spans="2:5">
      <c r="B197" s="1278"/>
      <c r="E197" s="191"/>
    </row>
    <row r="198" spans="2:5">
      <c r="B198" s="1278"/>
      <c r="E198" s="191"/>
    </row>
    <row r="199" spans="2:5">
      <c r="B199" s="1278"/>
      <c r="E199" s="191"/>
    </row>
    <row r="200" spans="2:5">
      <c r="B200" s="1278"/>
      <c r="E200" s="191"/>
    </row>
    <row r="201" spans="2:5">
      <c r="B201" s="1278"/>
      <c r="E201" s="191"/>
    </row>
    <row r="202" spans="2:5">
      <c r="B202" s="1278"/>
      <c r="E202" s="191"/>
    </row>
    <row r="203" spans="2:5">
      <c r="B203" s="1278"/>
      <c r="E203" s="191"/>
    </row>
    <row r="204" spans="2:5">
      <c r="B204" s="1278"/>
      <c r="E204" s="191"/>
    </row>
    <row r="205" spans="2:5">
      <c r="B205" s="1278"/>
      <c r="E205" s="191"/>
    </row>
    <row r="206" spans="2:5">
      <c r="B206" s="1278"/>
      <c r="E206" s="191"/>
    </row>
    <row r="207" spans="2:5">
      <c r="B207" s="1278"/>
      <c r="E207" s="191"/>
    </row>
    <row r="208" spans="2:5">
      <c r="B208" s="1278"/>
      <c r="E208" s="191"/>
    </row>
    <row r="209" spans="2:5">
      <c r="B209" s="1278"/>
      <c r="E209" s="191"/>
    </row>
    <row r="210" spans="2:5">
      <c r="B210" s="1278"/>
      <c r="E210" s="191"/>
    </row>
    <row r="211" spans="2:5">
      <c r="B211" s="1278"/>
      <c r="E211" s="191"/>
    </row>
    <row r="212" spans="2:5">
      <c r="B212" s="1278"/>
      <c r="E212" s="191"/>
    </row>
    <row r="213" spans="2:5">
      <c r="B213" s="1278"/>
      <c r="E213" s="191"/>
    </row>
    <row r="214" spans="2:5">
      <c r="B214" s="1278"/>
      <c r="E214" s="191"/>
    </row>
    <row r="215" spans="2:5">
      <c r="B215" s="1278"/>
      <c r="E215" s="191"/>
    </row>
    <row r="216" spans="2:5">
      <c r="B216" s="1278"/>
      <c r="E216" s="191"/>
    </row>
    <row r="217" spans="2:5">
      <c r="B217" s="1278"/>
      <c r="E217" s="191"/>
    </row>
    <row r="218" spans="2:5">
      <c r="B218" s="1278"/>
      <c r="E218" s="191"/>
    </row>
    <row r="219" spans="2:5">
      <c r="B219" s="1278"/>
      <c r="E219" s="191"/>
    </row>
    <row r="220" spans="2:5">
      <c r="B220" s="1278"/>
      <c r="E220" s="191"/>
    </row>
    <row r="221" spans="2:5">
      <c r="B221" s="1278"/>
      <c r="E221" s="191"/>
    </row>
    <row r="222" spans="2:5">
      <c r="B222" s="1278"/>
      <c r="E222" s="191"/>
    </row>
    <row r="223" spans="2:5">
      <c r="B223" s="1278"/>
      <c r="E223" s="191"/>
    </row>
    <row r="224" spans="2:5">
      <c r="B224" s="1278"/>
      <c r="E224" s="191"/>
    </row>
    <row r="225" spans="2:5">
      <c r="B225" s="1278"/>
      <c r="E225" s="191"/>
    </row>
    <row r="226" spans="2:5">
      <c r="B226" s="1278"/>
      <c r="E226" s="191"/>
    </row>
    <row r="227" spans="2:5">
      <c r="B227" s="1278"/>
      <c r="E227" s="191"/>
    </row>
    <row r="228" spans="2:5">
      <c r="B228" s="1278"/>
      <c r="E228" s="191"/>
    </row>
    <row r="229" spans="2:5">
      <c r="B229" s="1278"/>
      <c r="E229" s="191"/>
    </row>
    <row r="230" spans="2:5">
      <c r="B230" s="1278"/>
      <c r="E230" s="191"/>
    </row>
    <row r="231" spans="2:5">
      <c r="B231" s="1278"/>
      <c r="E231" s="191"/>
    </row>
    <row r="232" spans="2:5">
      <c r="B232" s="1278"/>
      <c r="E232" s="191"/>
    </row>
    <row r="233" spans="2:5">
      <c r="B233" s="1278"/>
      <c r="E233" s="191"/>
    </row>
    <row r="234" spans="2:5">
      <c r="B234" s="1278"/>
      <c r="E234" s="191"/>
    </row>
    <row r="235" spans="2:5">
      <c r="B235" s="1278"/>
      <c r="E235" s="191"/>
    </row>
    <row r="236" spans="2:5">
      <c r="B236" s="1278"/>
      <c r="E236" s="191"/>
    </row>
    <row r="237" spans="2:5">
      <c r="B237" s="1278"/>
      <c r="E237" s="191"/>
    </row>
    <row r="238" spans="2:5">
      <c r="B238" s="1278"/>
      <c r="E238" s="191"/>
    </row>
    <row r="239" spans="2:5">
      <c r="B239" s="1278"/>
      <c r="E239" s="191"/>
    </row>
    <row r="240" spans="2:5">
      <c r="B240" s="1278"/>
      <c r="E240" s="191"/>
    </row>
    <row r="241" spans="2:5">
      <c r="B241" s="1278"/>
      <c r="E241" s="191"/>
    </row>
    <row r="242" spans="2:5">
      <c r="B242" s="1278"/>
      <c r="E242" s="191"/>
    </row>
    <row r="243" spans="2:5">
      <c r="B243" s="1278"/>
      <c r="E243" s="191"/>
    </row>
    <row r="244" spans="2:5">
      <c r="B244" s="1278"/>
      <c r="E244" s="191"/>
    </row>
    <row r="245" spans="2:5">
      <c r="B245" s="1278"/>
      <c r="E245" s="191"/>
    </row>
    <row r="246" spans="2:5">
      <c r="B246" s="1278"/>
      <c r="E246" s="191"/>
    </row>
    <row r="247" spans="2:5">
      <c r="B247" s="1278"/>
      <c r="E247" s="191"/>
    </row>
    <row r="248" spans="2:5">
      <c r="B248" s="1278"/>
      <c r="E248" s="191"/>
    </row>
    <row r="249" spans="2:5">
      <c r="B249" s="1278"/>
      <c r="E249" s="191"/>
    </row>
    <row r="250" spans="2:5">
      <c r="B250" s="1278"/>
      <c r="E250" s="191"/>
    </row>
    <row r="251" spans="2:5">
      <c r="B251" s="1278"/>
      <c r="E251" s="191"/>
    </row>
    <row r="252" spans="2:5">
      <c r="B252" s="1278"/>
      <c r="E252" s="191"/>
    </row>
    <row r="253" spans="2:5">
      <c r="B253" s="1278"/>
      <c r="E253" s="191"/>
    </row>
    <row r="254" spans="2:5">
      <c r="B254" s="1278"/>
      <c r="E254" s="191"/>
    </row>
    <row r="255" spans="2:5">
      <c r="B255" s="1278"/>
      <c r="E255" s="191"/>
    </row>
    <row r="256" spans="2:5">
      <c r="B256" s="1278"/>
      <c r="E256" s="191"/>
    </row>
    <row r="257" spans="2:5">
      <c r="B257" s="1278"/>
      <c r="E257" s="191"/>
    </row>
    <row r="258" spans="2:5">
      <c r="B258" s="1278"/>
      <c r="E258" s="191"/>
    </row>
    <row r="259" spans="2:5">
      <c r="B259" s="1278"/>
      <c r="E259" s="191"/>
    </row>
    <row r="260" spans="2:5">
      <c r="B260" s="1278"/>
      <c r="E260" s="191"/>
    </row>
    <row r="261" spans="2:5">
      <c r="B261" s="1278"/>
      <c r="E261" s="191"/>
    </row>
    <row r="262" spans="2:5">
      <c r="B262" s="1278"/>
      <c r="E262" s="191"/>
    </row>
    <row r="263" spans="2:5">
      <c r="B263" s="1278"/>
      <c r="E263" s="191"/>
    </row>
    <row r="264" spans="2:5">
      <c r="B264" s="1278"/>
      <c r="E264" s="191"/>
    </row>
    <row r="265" spans="2:5">
      <c r="B265" s="1278"/>
      <c r="E265" s="191"/>
    </row>
    <row r="266" spans="2:5">
      <c r="B266" s="1278"/>
      <c r="E266" s="191"/>
    </row>
    <row r="267" spans="2:5">
      <c r="B267" s="1278"/>
      <c r="E267" s="191"/>
    </row>
    <row r="268" spans="2:5">
      <c r="B268" s="1278"/>
      <c r="E268" s="191"/>
    </row>
    <row r="269" spans="2:5">
      <c r="B269" s="1278"/>
      <c r="E269" s="191"/>
    </row>
    <row r="270" spans="2:5">
      <c r="B270" s="1278"/>
      <c r="E270" s="191"/>
    </row>
    <row r="271" spans="2:5">
      <c r="B271" s="1278"/>
      <c r="E271" s="191"/>
    </row>
    <row r="272" spans="2:5">
      <c r="B272" s="1278"/>
      <c r="E272" s="191"/>
    </row>
    <row r="273" spans="2:5">
      <c r="B273" s="1278"/>
      <c r="E273" s="191"/>
    </row>
    <row r="274" spans="2:5">
      <c r="B274" s="1278"/>
      <c r="E274" s="191"/>
    </row>
    <row r="275" spans="2:5">
      <c r="B275" s="1278"/>
      <c r="E275" s="191"/>
    </row>
    <row r="276" spans="2:5">
      <c r="B276" s="1278"/>
      <c r="E276" s="191"/>
    </row>
    <row r="277" spans="2:5">
      <c r="B277" s="1278"/>
      <c r="E277" s="191"/>
    </row>
    <row r="278" spans="2:5">
      <c r="B278" s="1278"/>
      <c r="E278" s="191"/>
    </row>
    <row r="279" spans="2:5">
      <c r="B279" s="1278"/>
      <c r="E279" s="191"/>
    </row>
    <row r="280" spans="2:5">
      <c r="B280" s="1278"/>
      <c r="E280" s="191"/>
    </row>
    <row r="281" spans="2:5">
      <c r="B281" s="1278"/>
      <c r="E281" s="191"/>
    </row>
    <row r="282" spans="2:5">
      <c r="B282" s="1278"/>
      <c r="E282" s="191"/>
    </row>
    <row r="283" spans="2:5">
      <c r="B283" s="1278"/>
      <c r="E283" s="191"/>
    </row>
    <row r="284" spans="2:5">
      <c r="B284" s="1278"/>
      <c r="E284" s="191"/>
    </row>
    <row r="285" spans="2:5">
      <c r="B285" s="1278"/>
      <c r="E285" s="191"/>
    </row>
    <row r="286" spans="2:5">
      <c r="B286" s="1278"/>
      <c r="E286" s="191"/>
    </row>
    <row r="287" spans="2:5">
      <c r="B287" s="1278"/>
      <c r="E287" s="191"/>
    </row>
    <row r="288" spans="2:5">
      <c r="B288" s="1278"/>
      <c r="E288" s="191"/>
    </row>
    <row r="289" spans="2:5">
      <c r="B289" s="1278"/>
      <c r="E289" s="191"/>
    </row>
    <row r="290" spans="2:5">
      <c r="B290" s="1278"/>
      <c r="E290" s="191"/>
    </row>
    <row r="291" spans="2:5">
      <c r="B291" s="1278"/>
      <c r="E291" s="191"/>
    </row>
    <row r="292" spans="2:5">
      <c r="B292" s="1278"/>
      <c r="E292" s="191"/>
    </row>
    <row r="293" spans="2:5">
      <c r="B293" s="1278"/>
      <c r="E293" s="191"/>
    </row>
    <row r="294" spans="2:5">
      <c r="B294" s="1278"/>
      <c r="E294" s="191"/>
    </row>
    <row r="295" spans="2:5">
      <c r="B295" s="1278"/>
      <c r="E295" s="191"/>
    </row>
    <row r="296" spans="2:5">
      <c r="B296" s="1278"/>
      <c r="E296" s="191"/>
    </row>
    <row r="297" spans="2:5">
      <c r="B297" s="1278"/>
      <c r="E297" s="191"/>
    </row>
    <row r="298" spans="2:5">
      <c r="B298" s="1278"/>
      <c r="E298" s="191"/>
    </row>
    <row r="299" spans="2:5">
      <c r="B299" s="1278"/>
      <c r="E299" s="191"/>
    </row>
    <row r="300" spans="2:5">
      <c r="B300" s="1278"/>
      <c r="E300" s="191"/>
    </row>
    <row r="301" spans="2:5">
      <c r="B301" s="1278"/>
      <c r="E301" s="191"/>
    </row>
    <row r="302" spans="2:5">
      <c r="B302" s="1278"/>
      <c r="E302" s="191"/>
    </row>
    <row r="303" spans="2:5">
      <c r="B303" s="1278"/>
      <c r="E303" s="191"/>
    </row>
    <row r="304" spans="2:5">
      <c r="B304" s="1278"/>
      <c r="E304" s="191"/>
    </row>
    <row r="305" spans="2:5">
      <c r="B305" s="1278"/>
      <c r="E305" s="191"/>
    </row>
    <row r="306" spans="2:5">
      <c r="B306" s="1278"/>
      <c r="E306" s="191"/>
    </row>
    <row r="307" spans="2:5">
      <c r="B307" s="1278"/>
      <c r="E307" s="191"/>
    </row>
    <row r="308" spans="2:5">
      <c r="B308" s="1278"/>
      <c r="E308" s="191"/>
    </row>
    <row r="309" spans="2:5">
      <c r="B309" s="1278"/>
      <c r="E309" s="191"/>
    </row>
    <row r="310" spans="2:5">
      <c r="B310" s="1278"/>
      <c r="E310" s="191"/>
    </row>
    <row r="311" spans="2:5">
      <c r="B311" s="1278"/>
      <c r="E311" s="191"/>
    </row>
    <row r="312" spans="2:5">
      <c r="B312" s="1278"/>
      <c r="E312" s="191"/>
    </row>
    <row r="313" spans="2:5">
      <c r="B313" s="1278"/>
      <c r="E313" s="191"/>
    </row>
    <row r="314" spans="2:5">
      <c r="B314" s="1278"/>
      <c r="E314" s="191"/>
    </row>
    <row r="315" spans="2:5">
      <c r="B315" s="1278"/>
      <c r="E315" s="191"/>
    </row>
    <row r="316" spans="2:5">
      <c r="B316" s="1278"/>
      <c r="E316" s="191"/>
    </row>
    <row r="317" spans="2:5">
      <c r="B317" s="1278"/>
      <c r="E317" s="191"/>
    </row>
    <row r="318" spans="2:5">
      <c r="B318" s="1278"/>
      <c r="E318" s="191"/>
    </row>
    <row r="319" spans="2:5">
      <c r="B319" s="1278"/>
      <c r="E319" s="191"/>
    </row>
    <row r="320" spans="2:5">
      <c r="B320" s="1278"/>
      <c r="E320" s="191"/>
    </row>
    <row r="321" spans="2:5">
      <c r="B321" s="1278"/>
      <c r="E321" s="191"/>
    </row>
    <row r="322" spans="2:5">
      <c r="B322" s="1278"/>
      <c r="E322" s="191"/>
    </row>
    <row r="323" spans="2:5">
      <c r="B323" s="1278"/>
      <c r="E323" s="191"/>
    </row>
    <row r="324" spans="2:5">
      <c r="B324" s="1278"/>
      <c r="E324" s="191"/>
    </row>
    <row r="325" spans="2:5">
      <c r="B325" s="1278"/>
      <c r="E325" s="191"/>
    </row>
    <row r="326" spans="2:5">
      <c r="B326" s="1278"/>
      <c r="E326" s="191"/>
    </row>
    <row r="327" spans="2:5">
      <c r="B327" s="1278"/>
      <c r="E327" s="191"/>
    </row>
    <row r="328" spans="2:5">
      <c r="B328" s="1278"/>
      <c r="E328" s="191"/>
    </row>
    <row r="329" spans="2:5">
      <c r="B329" s="1278"/>
      <c r="E329" s="191"/>
    </row>
    <row r="330" spans="2:5">
      <c r="B330" s="1278"/>
      <c r="E330" s="191"/>
    </row>
    <row r="331" spans="2:5">
      <c r="B331" s="1278"/>
      <c r="E331" s="191"/>
    </row>
    <row r="332" spans="2:5">
      <c r="B332" s="1278"/>
      <c r="E332" s="191"/>
    </row>
    <row r="333" spans="2:5">
      <c r="B333" s="1278"/>
      <c r="E333" s="191"/>
    </row>
    <row r="334" spans="2:5">
      <c r="B334" s="1278"/>
      <c r="E334" s="191"/>
    </row>
    <row r="335" spans="2:5">
      <c r="B335" s="1278"/>
      <c r="E335" s="191"/>
    </row>
    <row r="336" spans="2:5">
      <c r="B336" s="1278"/>
      <c r="E336" s="191"/>
    </row>
    <row r="337" spans="2:5">
      <c r="B337" s="1278"/>
      <c r="E337" s="191"/>
    </row>
    <row r="338" spans="2:5">
      <c r="B338" s="1278"/>
      <c r="E338" s="191"/>
    </row>
    <row r="339" spans="2:5">
      <c r="B339" s="1278"/>
      <c r="E339" s="191"/>
    </row>
    <row r="340" spans="2:5">
      <c r="B340" s="1278"/>
      <c r="E340" s="191"/>
    </row>
    <row r="341" spans="2:5">
      <c r="B341" s="1278"/>
      <c r="E341" s="191"/>
    </row>
    <row r="342" spans="2:5">
      <c r="B342" s="1278"/>
      <c r="E342" s="191"/>
    </row>
    <row r="343" spans="2:5">
      <c r="B343" s="1278"/>
      <c r="E343" s="191"/>
    </row>
    <row r="344" spans="2:5">
      <c r="B344" s="1278"/>
      <c r="E344" s="191"/>
    </row>
    <row r="345" spans="2:5">
      <c r="B345" s="1278"/>
      <c r="E345" s="191"/>
    </row>
    <row r="346" spans="2:5">
      <c r="B346" s="1278"/>
      <c r="E346" s="191"/>
    </row>
    <row r="347" spans="2:5">
      <c r="B347" s="1278"/>
      <c r="E347" s="191"/>
    </row>
    <row r="348" spans="2:5">
      <c r="B348" s="1278"/>
      <c r="E348" s="191"/>
    </row>
    <row r="349" spans="2:5">
      <c r="B349" s="1278"/>
      <c r="E349" s="191"/>
    </row>
    <row r="350" spans="2:5">
      <c r="B350" s="1278"/>
      <c r="E350" s="191"/>
    </row>
    <row r="351" spans="2:5">
      <c r="B351" s="1278"/>
      <c r="E351" s="191"/>
    </row>
    <row r="352" spans="2:5">
      <c r="B352" s="1278"/>
      <c r="E352" s="191"/>
    </row>
    <row r="353" spans="2:5">
      <c r="B353" s="1278"/>
      <c r="E353" s="191"/>
    </row>
    <row r="354" spans="2:5">
      <c r="B354" s="1278"/>
      <c r="E354" s="191"/>
    </row>
    <row r="355" spans="2:5">
      <c r="B355" s="1278"/>
      <c r="E355" s="191"/>
    </row>
    <row r="356" spans="2:5">
      <c r="B356" s="1278"/>
      <c r="E356" s="191"/>
    </row>
    <row r="357" spans="2:5">
      <c r="B357" s="1278"/>
      <c r="E357" s="191"/>
    </row>
    <row r="358" spans="2:5">
      <c r="B358" s="1278"/>
      <c r="E358" s="191"/>
    </row>
    <row r="359" spans="2:5">
      <c r="B359" s="1278"/>
      <c r="E359" s="191"/>
    </row>
    <row r="360" spans="2:5">
      <c r="B360" s="1278"/>
      <c r="E360" s="191"/>
    </row>
    <row r="361" spans="2:5">
      <c r="B361" s="1278"/>
      <c r="E361" s="191"/>
    </row>
    <row r="362" spans="2:5">
      <c r="B362" s="1278"/>
      <c r="E362" s="191"/>
    </row>
    <row r="363" spans="2:5">
      <c r="B363" s="1278"/>
      <c r="E363" s="191"/>
    </row>
    <row r="364" spans="2:5">
      <c r="B364" s="1278"/>
      <c r="E364" s="191"/>
    </row>
    <row r="365" spans="2:5">
      <c r="B365" s="1278"/>
      <c r="E365" s="191"/>
    </row>
    <row r="366" spans="2:5">
      <c r="B366" s="1278"/>
      <c r="E366" s="191"/>
    </row>
    <row r="367" spans="2:5">
      <c r="B367" s="1278"/>
      <c r="E367" s="191"/>
    </row>
    <row r="368" spans="2:5">
      <c r="B368" s="1278"/>
      <c r="E368" s="191"/>
    </row>
    <row r="369" spans="2:5">
      <c r="B369" s="1278"/>
      <c r="E369" s="191"/>
    </row>
    <row r="370" spans="2:5">
      <c r="B370" s="1278"/>
      <c r="E370" s="191"/>
    </row>
    <row r="371" spans="2:5">
      <c r="B371" s="1278"/>
      <c r="E371" s="191"/>
    </row>
    <row r="372" spans="2:5">
      <c r="B372" s="1278"/>
      <c r="E372" s="191"/>
    </row>
    <row r="373" spans="2:5">
      <c r="B373" s="1278"/>
      <c r="E373" s="191"/>
    </row>
    <row r="374" spans="2:5">
      <c r="B374" s="1278"/>
      <c r="E374" s="191"/>
    </row>
    <row r="375" spans="2:5">
      <c r="B375" s="1278"/>
      <c r="E375" s="191"/>
    </row>
    <row r="376" spans="2:5">
      <c r="B376" s="1278"/>
      <c r="E376" s="191"/>
    </row>
    <row r="377" spans="2:5">
      <c r="B377" s="1278"/>
      <c r="E377" s="191"/>
    </row>
    <row r="378" spans="2:5">
      <c r="B378" s="1278"/>
      <c r="E378" s="191"/>
    </row>
    <row r="379" spans="2:5">
      <c r="B379" s="1278"/>
      <c r="E379" s="191"/>
    </row>
    <row r="380" spans="2:5">
      <c r="B380" s="1278"/>
      <c r="E380" s="191"/>
    </row>
    <row r="381" spans="2:5">
      <c r="B381" s="1278"/>
      <c r="E381" s="191"/>
    </row>
    <row r="382" spans="2:5">
      <c r="B382" s="1278"/>
      <c r="E382" s="191"/>
    </row>
    <row r="383" spans="2:5">
      <c r="B383" s="1278"/>
      <c r="E383" s="191"/>
    </row>
    <row r="384" spans="2:5">
      <c r="B384" s="1278"/>
      <c r="E384" s="191"/>
    </row>
    <row r="385" spans="2:5">
      <c r="B385" s="1278"/>
      <c r="E385" s="191"/>
    </row>
    <row r="386" spans="2:5">
      <c r="B386" s="1278"/>
      <c r="E386" s="191"/>
    </row>
    <row r="387" spans="2:5">
      <c r="B387" s="1278"/>
      <c r="E387" s="191"/>
    </row>
    <row r="388" spans="2:5">
      <c r="B388" s="1278"/>
      <c r="E388" s="191"/>
    </row>
    <row r="389" spans="2:5">
      <c r="B389" s="1278"/>
      <c r="E389" s="191"/>
    </row>
    <row r="390" spans="2:5">
      <c r="B390" s="1278"/>
      <c r="E390" s="191"/>
    </row>
    <row r="391" spans="2:5">
      <c r="B391" s="1278"/>
      <c r="E391" s="191"/>
    </row>
    <row r="392" spans="2:5">
      <c r="B392" s="1278"/>
      <c r="E392" s="191"/>
    </row>
    <row r="393" spans="2:5">
      <c r="B393" s="1278"/>
      <c r="E393" s="191"/>
    </row>
    <row r="394" spans="2:5">
      <c r="B394" s="1278"/>
      <c r="E394" s="191"/>
    </row>
    <row r="395" spans="2:5">
      <c r="B395" s="1278"/>
      <c r="E395" s="191"/>
    </row>
    <row r="396" spans="2:5">
      <c r="B396" s="1278"/>
      <c r="E396" s="191"/>
    </row>
    <row r="397" spans="2:5">
      <c r="B397" s="1278"/>
      <c r="E397" s="191"/>
    </row>
    <row r="398" spans="2:5">
      <c r="B398" s="1278"/>
      <c r="E398" s="191"/>
    </row>
    <row r="399" spans="2:5">
      <c r="B399" s="1278"/>
      <c r="E399" s="191"/>
    </row>
    <row r="400" spans="2:5">
      <c r="B400" s="1278"/>
      <c r="E400" s="191"/>
    </row>
    <row r="401" spans="2:5">
      <c r="B401" s="1278"/>
      <c r="E401" s="191"/>
    </row>
    <row r="402" spans="2:5">
      <c r="B402" s="1278"/>
      <c r="E402" s="191"/>
    </row>
    <row r="403" spans="2:5">
      <c r="B403" s="1278"/>
      <c r="E403" s="191"/>
    </row>
    <row r="404" spans="2:5">
      <c r="B404" s="1278"/>
      <c r="E404" s="191"/>
    </row>
    <row r="405" spans="2:5">
      <c r="B405" s="1278"/>
      <c r="E405" s="191"/>
    </row>
    <row r="406" spans="2:5">
      <c r="B406" s="1278"/>
      <c r="E406" s="191"/>
    </row>
    <row r="407" spans="2:5">
      <c r="B407" s="1278"/>
      <c r="E407" s="191"/>
    </row>
    <row r="408" spans="2:5">
      <c r="B408" s="1278"/>
      <c r="E408" s="191"/>
    </row>
    <row r="409" spans="2:5">
      <c r="B409" s="1278"/>
      <c r="E409" s="191"/>
    </row>
    <row r="410" spans="2:5">
      <c r="B410" s="1278"/>
      <c r="E410" s="191"/>
    </row>
    <row r="411" spans="2:5">
      <c r="B411" s="1278"/>
      <c r="E411" s="191"/>
    </row>
    <row r="412" spans="2:5">
      <c r="B412" s="1278"/>
      <c r="E412" s="191"/>
    </row>
    <row r="413" spans="2:5">
      <c r="B413" s="1278"/>
      <c r="E413" s="191"/>
    </row>
    <row r="414" spans="2:5">
      <c r="B414" s="1278"/>
      <c r="E414" s="191"/>
    </row>
    <row r="415" spans="2:5">
      <c r="B415" s="1278"/>
      <c r="E415" s="191"/>
    </row>
    <row r="416" spans="2:5">
      <c r="B416" s="1278"/>
      <c r="E416" s="191"/>
    </row>
    <row r="417" spans="2:5">
      <c r="B417" s="1278"/>
      <c r="E417" s="191"/>
    </row>
    <row r="418" spans="2:5">
      <c r="B418" s="1278"/>
      <c r="E418" s="191"/>
    </row>
    <row r="419" spans="2:5">
      <c r="B419" s="1278"/>
      <c r="E419" s="191"/>
    </row>
    <row r="420" spans="2:5">
      <c r="B420" s="1278"/>
      <c r="E420" s="191"/>
    </row>
    <row r="421" spans="2:5">
      <c r="B421" s="1278"/>
      <c r="E421" s="191"/>
    </row>
    <row r="422" spans="2:5">
      <c r="B422" s="1278"/>
      <c r="E422" s="191"/>
    </row>
    <row r="423" spans="2:5">
      <c r="B423" s="1278"/>
      <c r="E423" s="191"/>
    </row>
    <row r="424" spans="2:5">
      <c r="B424" s="1278"/>
      <c r="E424" s="191"/>
    </row>
    <row r="425" spans="2:5">
      <c r="B425" s="1278"/>
      <c r="E425" s="191"/>
    </row>
    <row r="426" spans="2:5">
      <c r="B426" s="1278"/>
      <c r="E426" s="191"/>
    </row>
    <row r="427" spans="2:5">
      <c r="B427" s="1278"/>
      <c r="E427" s="191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72"/>
  <sheetViews>
    <sheetView zoomScale="80" zoomScaleNormal="80" zoomScalePageLayoutView="80" workbookViewId="0">
      <selection activeCell="F39" sqref="F39"/>
    </sheetView>
  </sheetViews>
  <sheetFormatPr defaultColWidth="9.140625" defaultRowHeight="15.75"/>
  <cols>
    <col min="1" max="1" width="5.140625" style="228" customWidth="1"/>
    <col min="2" max="2" width="8.5703125" style="224" customWidth="1"/>
    <col min="3" max="3" width="68.5703125" style="224" customWidth="1"/>
    <col min="4" max="6" width="16.85546875" style="224" customWidth="1"/>
    <col min="7" max="7" width="48.42578125" style="224" customWidth="1"/>
    <col min="8" max="8" width="5.140625" style="228" customWidth="1"/>
    <col min="9" max="9" width="4" style="224" customWidth="1"/>
    <col min="10" max="10" width="13.42578125" style="224" bestFit="1" customWidth="1"/>
    <col min="11" max="11" width="9.140625" style="224"/>
    <col min="12" max="12" width="9.5703125" style="224" customWidth="1"/>
    <col min="13" max="13" width="10" style="224" customWidth="1"/>
    <col min="14" max="16384" width="9.140625" style="224"/>
  </cols>
  <sheetData>
    <row r="2" spans="1:12">
      <c r="B2" s="1319" t="s">
        <v>0</v>
      </c>
      <c r="C2" s="1319"/>
      <c r="D2" s="1319"/>
      <c r="E2" s="1319"/>
      <c r="F2" s="1319"/>
      <c r="G2" s="1319"/>
      <c r="H2" s="225"/>
    </row>
    <row r="3" spans="1:12">
      <c r="B3" s="1319" t="s">
        <v>485</v>
      </c>
      <c r="C3" s="1319"/>
      <c r="D3" s="1319"/>
      <c r="E3" s="1319"/>
      <c r="F3" s="1319"/>
      <c r="G3" s="1319"/>
      <c r="H3" s="225"/>
      <c r="J3"/>
      <c r="K3"/>
      <c r="L3"/>
    </row>
    <row r="4" spans="1:12">
      <c r="B4" s="1319" t="str">
        <f>" 12 Months Ending December 31, "&amp;Automation!$B$3</f>
        <v xml:space="preserve"> 12 Months Ending December 31, 2024</v>
      </c>
      <c r="C4" s="1319"/>
      <c r="D4" s="1319"/>
      <c r="E4" s="1319"/>
      <c r="F4" s="1319"/>
      <c r="G4" s="1319"/>
      <c r="H4" s="225"/>
      <c r="J4" s="1192"/>
    </row>
    <row r="5" spans="1:12">
      <c r="B5" s="1320" t="s">
        <v>3</v>
      </c>
      <c r="C5" s="1320"/>
      <c r="D5" s="1320"/>
      <c r="E5" s="1320"/>
      <c r="F5" s="1320"/>
      <c r="G5" s="1320"/>
      <c r="H5" s="225"/>
    </row>
    <row r="6" spans="1:12" ht="16.5" thickBot="1">
      <c r="D6" s="887"/>
      <c r="E6" s="887"/>
      <c r="F6" s="887"/>
      <c r="G6" s="887"/>
      <c r="J6" s="191"/>
    </row>
    <row r="7" spans="1:12">
      <c r="A7" s="225"/>
      <c r="B7" s="888"/>
      <c r="C7" s="226"/>
      <c r="D7" s="889" t="s">
        <v>77</v>
      </c>
      <c r="E7" s="227" t="s">
        <v>78</v>
      </c>
      <c r="F7" s="886" t="s">
        <v>857</v>
      </c>
      <c r="G7" s="890"/>
      <c r="H7" s="225"/>
    </row>
    <row r="8" spans="1:12">
      <c r="A8" s="228" t="s">
        <v>4</v>
      </c>
      <c r="B8" s="229" t="s">
        <v>374</v>
      </c>
      <c r="C8" s="230"/>
      <c r="D8" s="231" t="s">
        <v>80</v>
      </c>
      <c r="E8" s="225" t="s">
        <v>439</v>
      </c>
      <c r="F8" s="231" t="s">
        <v>80</v>
      </c>
      <c r="G8" s="232"/>
      <c r="H8" s="228" t="s">
        <v>4</v>
      </c>
    </row>
    <row r="9" spans="1:12" ht="16.5" thickBot="1">
      <c r="A9" s="228" t="s">
        <v>5</v>
      </c>
      <c r="B9" s="233" t="s">
        <v>440</v>
      </c>
      <c r="C9" s="891" t="s">
        <v>258</v>
      </c>
      <c r="D9" s="234" t="s">
        <v>441</v>
      </c>
      <c r="E9" s="891" t="s">
        <v>442</v>
      </c>
      <c r="F9" s="234" t="s">
        <v>443</v>
      </c>
      <c r="G9" s="235" t="s">
        <v>8</v>
      </c>
      <c r="H9" s="228" t="s">
        <v>5</v>
      </c>
      <c r="I9" s="228"/>
    </row>
    <row r="10" spans="1:12">
      <c r="B10" s="236"/>
      <c r="C10" s="237" t="s">
        <v>486</v>
      </c>
      <c r="D10" s="661"/>
      <c r="E10" s="1140"/>
      <c r="F10" s="238"/>
      <c r="G10" s="239"/>
    </row>
    <row r="11" spans="1:12">
      <c r="A11" s="228">
        <v>1</v>
      </c>
      <c r="B11" s="236">
        <v>920</v>
      </c>
      <c r="C11" s="240" t="s">
        <v>487</v>
      </c>
      <c r="D11" s="796">
        <v>58483.286459999996</v>
      </c>
      <c r="E11" s="796"/>
      <c r="F11" s="796">
        <f>D11-E11</f>
        <v>58483.286459999996</v>
      </c>
      <c r="G11" s="213" t="s">
        <v>922</v>
      </c>
      <c r="H11" s="228">
        <f>A11</f>
        <v>1</v>
      </c>
      <c r="I11" s="224" t="s">
        <v>183</v>
      </c>
      <c r="J11" s="149"/>
    </row>
    <row r="12" spans="1:12">
      <c r="A12" s="228">
        <f t="shared" ref="A12:A52" si="0">A11+1</f>
        <v>2</v>
      </c>
      <c r="B12" s="236">
        <v>921</v>
      </c>
      <c r="C12" s="240" t="s">
        <v>488</v>
      </c>
      <c r="D12" s="798">
        <v>30611.345249999995</v>
      </c>
      <c r="E12" s="798"/>
      <c r="F12" s="798">
        <f>D12-E12</f>
        <v>30611.345249999995</v>
      </c>
      <c r="G12" s="213" t="s">
        <v>923</v>
      </c>
      <c r="H12" s="228">
        <f t="shared" ref="H12:H52" si="1">H11+1</f>
        <v>2</v>
      </c>
      <c r="J12" s="149"/>
      <c r="K12" s="241"/>
    </row>
    <row r="13" spans="1:12">
      <c r="A13" s="228">
        <f t="shared" si="0"/>
        <v>3</v>
      </c>
      <c r="B13" s="236">
        <v>922</v>
      </c>
      <c r="C13" s="240" t="s">
        <v>489</v>
      </c>
      <c r="D13" s="798">
        <v>-12725.965599999998</v>
      </c>
      <c r="E13" s="798"/>
      <c r="F13" s="798">
        <f t="shared" ref="F13:F23" si="2">D13-E13</f>
        <v>-12725.965599999998</v>
      </c>
      <c r="G13" s="213" t="s">
        <v>924</v>
      </c>
      <c r="H13" s="228">
        <f t="shared" si="1"/>
        <v>3</v>
      </c>
      <c r="J13" s="149"/>
    </row>
    <row r="14" spans="1:12">
      <c r="A14" s="228">
        <f t="shared" si="0"/>
        <v>4</v>
      </c>
      <c r="B14" s="236">
        <v>923</v>
      </c>
      <c r="C14" s="240" t="s">
        <v>490</v>
      </c>
      <c r="D14" s="798">
        <v>114138.62359999999</v>
      </c>
      <c r="E14" s="798"/>
      <c r="F14" s="798">
        <f t="shared" si="2"/>
        <v>114138.62359999999</v>
      </c>
      <c r="G14" s="213" t="s">
        <v>925</v>
      </c>
      <c r="H14" s="228">
        <f t="shared" si="1"/>
        <v>4</v>
      </c>
      <c r="J14" s="149"/>
    </row>
    <row r="15" spans="1:12">
      <c r="A15" s="228">
        <f t="shared" si="0"/>
        <v>5</v>
      </c>
      <c r="B15" s="236">
        <v>924</v>
      </c>
      <c r="C15" s="240" t="s">
        <v>491</v>
      </c>
      <c r="D15" s="798">
        <v>10420.114649999998</v>
      </c>
      <c r="E15" s="798"/>
      <c r="F15" s="798">
        <f t="shared" si="2"/>
        <v>10420.114649999998</v>
      </c>
      <c r="G15" s="213" t="s">
        <v>926</v>
      </c>
      <c r="H15" s="228">
        <f t="shared" si="1"/>
        <v>5</v>
      </c>
      <c r="J15" s="149"/>
    </row>
    <row r="16" spans="1:12">
      <c r="A16" s="228">
        <f t="shared" si="0"/>
        <v>6</v>
      </c>
      <c r="B16" s="236">
        <v>925</v>
      </c>
      <c r="C16" s="240" t="s">
        <v>492</v>
      </c>
      <c r="D16" s="798">
        <v>186590.78707000002</v>
      </c>
      <c r="E16" s="798">
        <f>E34</f>
        <v>360.47882601000003</v>
      </c>
      <c r="F16" s="798">
        <f t="shared" si="2"/>
        <v>186230.30824399003</v>
      </c>
      <c r="G16" s="213" t="s">
        <v>927</v>
      </c>
      <c r="H16" s="228">
        <f t="shared" si="1"/>
        <v>6</v>
      </c>
      <c r="J16" s="149"/>
    </row>
    <row r="17" spans="1:10">
      <c r="A17" s="228">
        <f t="shared" si="0"/>
        <v>7</v>
      </c>
      <c r="B17" s="236">
        <v>926</v>
      </c>
      <c r="C17" s="240" t="s">
        <v>493</v>
      </c>
      <c r="D17" s="798">
        <v>50516.891340000002</v>
      </c>
      <c r="E17" s="798">
        <f>E35</f>
        <v>733.28385583300008</v>
      </c>
      <c r="F17" s="798">
        <f t="shared" si="2"/>
        <v>49783.607484167005</v>
      </c>
      <c r="G17" s="213" t="s">
        <v>928</v>
      </c>
      <c r="H17" s="228">
        <f t="shared" si="1"/>
        <v>7</v>
      </c>
      <c r="J17" s="1190"/>
    </row>
    <row r="18" spans="1:10">
      <c r="A18" s="228">
        <f t="shared" si="0"/>
        <v>8</v>
      </c>
      <c r="B18" s="236">
        <v>927</v>
      </c>
      <c r="C18" s="240" t="s">
        <v>494</v>
      </c>
      <c r="D18" s="798">
        <v>112800.96351999999</v>
      </c>
      <c r="E18" s="798">
        <f>E36</f>
        <v>112800.96351999999</v>
      </c>
      <c r="F18" s="798">
        <f t="shared" si="2"/>
        <v>0</v>
      </c>
      <c r="G18" s="213" t="s">
        <v>929</v>
      </c>
      <c r="H18" s="228">
        <f t="shared" si="1"/>
        <v>8</v>
      </c>
      <c r="J18" s="242"/>
    </row>
    <row r="19" spans="1:10">
      <c r="A19" s="228">
        <f t="shared" si="0"/>
        <v>9</v>
      </c>
      <c r="B19" s="236">
        <v>928</v>
      </c>
      <c r="C19" s="240" t="s">
        <v>495</v>
      </c>
      <c r="D19" s="798">
        <v>31806.921970000003</v>
      </c>
      <c r="E19" s="798">
        <f>E41</f>
        <v>18977.245729999999</v>
      </c>
      <c r="F19" s="798">
        <f t="shared" si="2"/>
        <v>12829.676240000004</v>
      </c>
      <c r="G19" s="213" t="s">
        <v>930</v>
      </c>
      <c r="H19" s="228">
        <f t="shared" si="1"/>
        <v>9</v>
      </c>
      <c r="J19" s="242"/>
    </row>
    <row r="20" spans="1:10">
      <c r="A20" s="228">
        <f t="shared" si="0"/>
        <v>10</v>
      </c>
      <c r="B20" s="236">
        <v>929</v>
      </c>
      <c r="C20" s="240" t="s">
        <v>496</v>
      </c>
      <c r="D20" s="798">
        <v>-10043.44311</v>
      </c>
      <c r="E20" s="798">
        <f>E42</f>
        <v>0</v>
      </c>
      <c r="F20" s="798">
        <f t="shared" si="2"/>
        <v>-10043.44311</v>
      </c>
      <c r="G20" s="213" t="s">
        <v>931</v>
      </c>
      <c r="H20" s="228">
        <f t="shared" si="1"/>
        <v>10</v>
      </c>
      <c r="J20" s="149"/>
    </row>
    <row r="21" spans="1:10">
      <c r="A21" s="228">
        <f t="shared" si="0"/>
        <v>11</v>
      </c>
      <c r="B21" s="243">
        <v>930.1</v>
      </c>
      <c r="C21" s="240" t="s">
        <v>497</v>
      </c>
      <c r="D21" s="798">
        <v>31.128819999999994</v>
      </c>
      <c r="E21" s="798">
        <f>E43</f>
        <v>31.128819999999994</v>
      </c>
      <c r="F21" s="798">
        <f t="shared" si="2"/>
        <v>0</v>
      </c>
      <c r="G21" s="213" t="s">
        <v>932</v>
      </c>
      <c r="H21" s="228">
        <f t="shared" si="1"/>
        <v>11</v>
      </c>
      <c r="J21" s="149"/>
    </row>
    <row r="22" spans="1:10">
      <c r="A22" s="228">
        <f t="shared" si="0"/>
        <v>12</v>
      </c>
      <c r="B22" s="243">
        <v>930.2</v>
      </c>
      <c r="C22" s="240" t="s">
        <v>498</v>
      </c>
      <c r="D22" s="798">
        <v>1708.9586399999987</v>
      </c>
      <c r="E22" s="798">
        <f>E44</f>
        <v>278.70775000000003</v>
      </c>
      <c r="F22" s="798">
        <f t="shared" si="2"/>
        <v>1430.2508899999987</v>
      </c>
      <c r="G22" s="213" t="s">
        <v>933</v>
      </c>
      <c r="H22" s="228">
        <f t="shared" si="1"/>
        <v>12</v>
      </c>
      <c r="J22" s="244"/>
    </row>
    <row r="23" spans="1:10">
      <c r="A23" s="228">
        <f t="shared" si="0"/>
        <v>13</v>
      </c>
      <c r="B23" s="236">
        <v>931</v>
      </c>
      <c r="C23" s="240" t="s">
        <v>458</v>
      </c>
      <c r="D23" s="798">
        <v>14689.00957</v>
      </c>
      <c r="E23" s="798"/>
      <c r="F23" s="798">
        <f t="shared" si="2"/>
        <v>14689.00957</v>
      </c>
      <c r="G23" s="213" t="s">
        <v>934</v>
      </c>
      <c r="H23" s="228">
        <f t="shared" si="1"/>
        <v>13</v>
      </c>
      <c r="J23" s="149"/>
    </row>
    <row r="24" spans="1:10">
      <c r="A24" s="228">
        <f t="shared" si="0"/>
        <v>14</v>
      </c>
      <c r="B24" s="236">
        <v>935</v>
      </c>
      <c r="C24" s="240" t="s">
        <v>499</v>
      </c>
      <c r="D24" s="974">
        <v>19795.886430000002</v>
      </c>
      <c r="E24" s="974">
        <f>E45</f>
        <v>0</v>
      </c>
      <c r="F24" s="974">
        <f>D24-E24</f>
        <v>19795.886430000002</v>
      </c>
      <c r="G24" s="892" t="s">
        <v>935</v>
      </c>
      <c r="H24" s="228">
        <f t="shared" si="1"/>
        <v>14</v>
      </c>
      <c r="I24" s="224" t="s">
        <v>183</v>
      </c>
      <c r="J24" s="149"/>
    </row>
    <row r="25" spans="1:10">
      <c r="A25" s="228">
        <f t="shared" si="0"/>
        <v>15</v>
      </c>
      <c r="B25" s="236"/>
      <c r="D25" s="245"/>
      <c r="E25" s="245"/>
      <c r="F25" s="245"/>
      <c r="G25" s="246"/>
      <c r="H25" s="228">
        <f t="shared" si="1"/>
        <v>15</v>
      </c>
    </row>
    <row r="26" spans="1:10" ht="16.5" thickBot="1">
      <c r="A26" s="228">
        <f t="shared" si="0"/>
        <v>16</v>
      </c>
      <c r="B26" s="236"/>
      <c r="C26" s="230" t="s">
        <v>500</v>
      </c>
      <c r="D26" s="247">
        <f>SUM(D11:D24)</f>
        <v>608824.5086099999</v>
      </c>
      <c r="E26" s="218">
        <f>SUM(E11:E24)</f>
        <v>133181.80850184301</v>
      </c>
      <c r="F26" s="218">
        <f>SUM(F11:F24)</f>
        <v>475642.70010815701</v>
      </c>
      <c r="G26" s="248" t="str">
        <f>"Sum Lines "&amp;A11&amp;" thru "&amp;A24</f>
        <v>Sum Lines 1 thru 14</v>
      </c>
      <c r="H26" s="228">
        <f t="shared" si="1"/>
        <v>16</v>
      </c>
    </row>
    <row r="27" spans="1:10" ht="16.5" thickTop="1">
      <c r="A27" s="228">
        <f t="shared" si="0"/>
        <v>17</v>
      </c>
      <c r="B27" s="236"/>
      <c r="C27" s="230"/>
      <c r="D27" s="209"/>
      <c r="E27" s="137"/>
      <c r="F27" s="222"/>
      <c r="G27" s="248"/>
      <c r="H27" s="228">
        <f t="shared" si="1"/>
        <v>17</v>
      </c>
    </row>
    <row r="28" spans="1:10" ht="18.75">
      <c r="A28" s="228">
        <f t="shared" si="0"/>
        <v>18</v>
      </c>
      <c r="B28" s="236">
        <v>413</v>
      </c>
      <c r="C28" s="224" t="s">
        <v>501</v>
      </c>
      <c r="D28" s="974">
        <v>797.13216</v>
      </c>
      <c r="E28" s="977">
        <v>0</v>
      </c>
      <c r="F28" s="974">
        <f>D28-E28</f>
        <v>797.13216</v>
      </c>
      <c r="G28" s="248"/>
      <c r="H28" s="228">
        <f t="shared" si="1"/>
        <v>18</v>
      </c>
      <c r="J28" s="1181"/>
    </row>
    <row r="29" spans="1:10">
      <c r="A29" s="228">
        <f t="shared" si="0"/>
        <v>19</v>
      </c>
      <c r="B29" s="236"/>
      <c r="C29" s="230"/>
      <c r="D29" s="209"/>
      <c r="E29" s="137"/>
      <c r="F29" s="222"/>
      <c r="G29" s="248"/>
      <c r="H29" s="228">
        <f t="shared" si="1"/>
        <v>19</v>
      </c>
    </row>
    <row r="30" spans="1:10" ht="16.5" thickBot="1">
      <c r="A30" s="228">
        <f t="shared" si="0"/>
        <v>20</v>
      </c>
      <c r="B30" s="236"/>
      <c r="C30" s="230" t="s">
        <v>502</v>
      </c>
      <c r="D30" s="247">
        <f>D26+D28</f>
        <v>609621.64076999994</v>
      </c>
      <c r="E30" s="137">
        <f>E26+E28</f>
        <v>133181.80850184301</v>
      </c>
      <c r="F30" s="222">
        <f>F26+F28</f>
        <v>476439.83226815698</v>
      </c>
      <c r="G30" s="248" t="str">
        <f>"Line "&amp;A26&amp;" + Line "&amp;A28</f>
        <v>Line 16 + Line 18</v>
      </c>
      <c r="H30" s="228">
        <f t="shared" si="1"/>
        <v>20</v>
      </c>
    </row>
    <row r="31" spans="1:10" ht="17.25" thickTop="1" thickBot="1">
      <c r="A31" s="228">
        <f t="shared" si="0"/>
        <v>21</v>
      </c>
      <c r="B31" s="249"/>
      <c r="C31" s="887"/>
      <c r="D31" s="250"/>
      <c r="E31" s="251"/>
      <c r="F31" s="251"/>
      <c r="G31" s="252"/>
      <c r="H31" s="228">
        <f t="shared" si="1"/>
        <v>21</v>
      </c>
    </row>
    <row r="32" spans="1:10">
      <c r="A32" s="228">
        <f t="shared" si="0"/>
        <v>22</v>
      </c>
      <c r="B32" s="253"/>
      <c r="D32" s="254"/>
      <c r="E32" s="255"/>
      <c r="F32" s="254"/>
      <c r="G32" s="246"/>
      <c r="H32" s="228">
        <f t="shared" si="1"/>
        <v>22</v>
      </c>
    </row>
    <row r="33" spans="1:22">
      <c r="A33" s="228">
        <f t="shared" si="0"/>
        <v>23</v>
      </c>
      <c r="B33" s="256" t="s">
        <v>503</v>
      </c>
      <c r="C33" s="228"/>
      <c r="D33" s="228"/>
      <c r="E33" s="228"/>
      <c r="F33" s="228"/>
      <c r="G33" s="246"/>
      <c r="H33" s="228">
        <f t="shared" si="1"/>
        <v>23</v>
      </c>
    </row>
    <row r="34" spans="1:22">
      <c r="A34" s="228">
        <f t="shared" si="0"/>
        <v>24</v>
      </c>
      <c r="B34" s="264">
        <v>925</v>
      </c>
      <c r="C34" s="240" t="s">
        <v>875</v>
      </c>
      <c r="D34" s="620"/>
      <c r="E34" s="1207">
        <v>360.47882601000003</v>
      </c>
      <c r="F34" s="228"/>
      <c r="G34" s="246"/>
      <c r="H34" s="228">
        <f t="shared" si="1"/>
        <v>24</v>
      </c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>
      <c r="A35" s="228">
        <f t="shared" si="0"/>
        <v>25</v>
      </c>
      <c r="B35" s="264">
        <v>926</v>
      </c>
      <c r="C35" s="788" t="s">
        <v>875</v>
      </c>
      <c r="D35"/>
      <c r="E35" s="1207">
        <v>733.28385583300008</v>
      </c>
      <c r="F35" s="228"/>
      <c r="G35" s="246"/>
      <c r="H35" s="228">
        <f t="shared" si="1"/>
        <v>25</v>
      </c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>
      <c r="A36" s="228">
        <f t="shared" si="0"/>
        <v>26</v>
      </c>
      <c r="B36" s="1183">
        <v>927</v>
      </c>
      <c r="C36" s="788" t="s">
        <v>494</v>
      </c>
      <c r="D36" s="1182"/>
      <c r="E36" s="1207">
        <v>112800.96351999999</v>
      </c>
      <c r="F36" s="228"/>
      <c r="G36" s="246"/>
      <c r="H36" s="228">
        <f t="shared" si="1"/>
        <v>26</v>
      </c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>
      <c r="A37" s="228">
        <f t="shared" si="0"/>
        <v>27</v>
      </c>
      <c r="B37" s="264">
        <v>928</v>
      </c>
      <c r="C37" s="240" t="s">
        <v>986</v>
      </c>
      <c r="D37" s="1182">
        <v>17282.341769999999</v>
      </c>
      <c r="E37" s="228"/>
      <c r="F37" s="228"/>
      <c r="G37" s="246"/>
      <c r="H37" s="228">
        <f t="shared" si="1"/>
        <v>27</v>
      </c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28">
        <f t="shared" si="0"/>
        <v>28</v>
      </c>
      <c r="B38" s="264"/>
      <c r="C38" s="240" t="s">
        <v>506</v>
      </c>
      <c r="D38" s="1182">
        <v>0</v>
      </c>
      <c r="E38" s="228"/>
      <c r="F38" s="228"/>
      <c r="G38" s="246"/>
      <c r="H38" s="228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28">
        <f t="shared" si="0"/>
        <v>29</v>
      </c>
      <c r="B39" s="264"/>
      <c r="C39" s="240" t="s">
        <v>875</v>
      </c>
      <c r="D39" s="1182">
        <v>526.86321999999996</v>
      </c>
      <c r="E39" s="228"/>
      <c r="F39" s="228"/>
      <c r="G39" s="246"/>
      <c r="H39" s="228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28">
        <f t="shared" si="0"/>
        <v>30</v>
      </c>
      <c r="B40" s="264"/>
      <c r="C40" s="787" t="s">
        <v>504</v>
      </c>
      <c r="D40" s="1210">
        <v>0</v>
      </c>
      <c r="E40" s="228"/>
      <c r="F40" s="228"/>
      <c r="G40" s="246"/>
      <c r="H40" s="228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28">
        <f t="shared" si="0"/>
        <v>31</v>
      </c>
      <c r="B41" s="264"/>
      <c r="C41" s="787" t="s">
        <v>505</v>
      </c>
      <c r="D41" s="1206">
        <v>1168.0407399999999</v>
      </c>
      <c r="E41" s="1182">
        <f>SUM(D37:D41)</f>
        <v>18977.245729999999</v>
      </c>
      <c r="F41" s="228"/>
      <c r="G41" s="246"/>
      <c r="H41" s="228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28">
        <f t="shared" si="0"/>
        <v>32</v>
      </c>
      <c r="B42" s="264">
        <v>929</v>
      </c>
      <c r="C42" s="787" t="s">
        <v>993</v>
      </c>
      <c r="D42" s="1182"/>
      <c r="E42" s="1182">
        <v>0</v>
      </c>
      <c r="F42" s="228"/>
      <c r="G42" s="246"/>
      <c r="H42" s="228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28">
        <f t="shared" si="0"/>
        <v>33</v>
      </c>
      <c r="B43" s="1184">
        <v>930.1</v>
      </c>
      <c r="C43" s="787" t="s">
        <v>497</v>
      </c>
      <c r="D43" s="1182"/>
      <c r="E43" s="1207">
        <v>31.128819999999994</v>
      </c>
      <c r="F43" s="228"/>
      <c r="G43" s="246"/>
      <c r="H43" s="228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28">
        <f t="shared" si="0"/>
        <v>34</v>
      </c>
      <c r="B44" s="1145">
        <v>930.2</v>
      </c>
      <c r="C44" s="788" t="s">
        <v>507</v>
      </c>
      <c r="D44" s="1207"/>
      <c r="E44" s="224">
        <v>278.70775000000003</v>
      </c>
      <c r="F44" s="228"/>
      <c r="G44" s="246"/>
      <c r="H44" s="228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28">
        <f t="shared" si="0"/>
        <v>35</v>
      </c>
      <c r="B45" s="264">
        <v>935</v>
      </c>
      <c r="C45" s="240" t="s">
        <v>508</v>
      </c>
      <c r="D45" s="1182"/>
      <c r="E45" s="1208">
        <v>0</v>
      </c>
      <c r="F45" s="228"/>
      <c r="G45" s="246"/>
      <c r="H45" s="228">
        <f t="shared" si="1"/>
        <v>35</v>
      </c>
    </row>
    <row r="46" spans="1:22">
      <c r="A46" s="228">
        <f t="shared" si="0"/>
        <v>36</v>
      </c>
      <c r="B46" s="264"/>
      <c r="C46" s="1185"/>
      <c r="D46" s="1186"/>
      <c r="E46" s="392"/>
      <c r="F46" s="228"/>
      <c r="G46" s="246"/>
      <c r="H46" s="228">
        <f t="shared" si="1"/>
        <v>36</v>
      </c>
    </row>
    <row r="47" spans="1:22" ht="16.5" thickBot="1">
      <c r="A47" s="228">
        <f t="shared" si="0"/>
        <v>37</v>
      </c>
      <c r="B47" s="253"/>
      <c r="C47" s="1187" t="s">
        <v>480</v>
      </c>
      <c r="D47" s="1188"/>
      <c r="E47" s="1189">
        <f>SUM(E34:E45)</f>
        <v>133181.80850184301</v>
      </c>
      <c r="F47" s="228"/>
      <c r="G47" s="246"/>
      <c r="H47" s="228">
        <f t="shared" si="1"/>
        <v>37</v>
      </c>
    </row>
    <row r="48" spans="1:22" ht="16.5" thickTop="1">
      <c r="A48" s="228">
        <f t="shared" si="0"/>
        <v>38</v>
      </c>
      <c r="B48" s="256"/>
      <c r="C48" s="228"/>
      <c r="D48" s="228"/>
      <c r="E48" s="228"/>
      <c r="F48" s="228"/>
      <c r="G48" s="246"/>
      <c r="H48" s="228">
        <f t="shared" si="1"/>
        <v>38</v>
      </c>
    </row>
    <row r="49" spans="1:8">
      <c r="A49" s="228">
        <f t="shared" si="0"/>
        <v>39</v>
      </c>
      <c r="B49" s="256"/>
      <c r="C49" s="228"/>
      <c r="D49" s="228"/>
      <c r="E49" s="228"/>
      <c r="F49" s="228"/>
      <c r="G49" s="246"/>
      <c r="H49" s="228">
        <f t="shared" si="1"/>
        <v>39</v>
      </c>
    </row>
    <row r="50" spans="1:8" ht="18.75">
      <c r="A50" s="228">
        <f t="shared" si="0"/>
        <v>40</v>
      </c>
      <c r="B50" s="1209">
        <v>1</v>
      </c>
      <c r="C50" s="191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2024, which is added back to derive Total Adjusted A&amp;G Expenses in SAP</v>
      </c>
      <c r="E50" s="342"/>
      <c r="F50" s="210"/>
      <c r="G50" s="246"/>
      <c r="H50" s="228">
        <f t="shared" si="1"/>
        <v>40</v>
      </c>
    </row>
    <row r="51" spans="1:8" ht="18.75">
      <c r="A51" s="228">
        <f t="shared" si="0"/>
        <v>41</v>
      </c>
      <c r="B51" s="1209"/>
      <c r="C51" s="191" t="s">
        <v>509</v>
      </c>
      <c r="E51" s="342"/>
      <c r="F51" s="210"/>
      <c r="G51" s="246"/>
      <c r="H51" s="228">
        <f t="shared" si="1"/>
        <v>41</v>
      </c>
    </row>
    <row r="52" spans="1:8" ht="16.5" thickBot="1">
      <c r="A52" s="228">
        <f t="shared" si="0"/>
        <v>42</v>
      </c>
      <c r="B52" s="259"/>
      <c r="C52" s="893"/>
      <c r="D52" s="887"/>
      <c r="E52" s="887"/>
      <c r="F52" s="887"/>
      <c r="G52" s="252"/>
      <c r="H52" s="228">
        <f t="shared" si="1"/>
        <v>42</v>
      </c>
    </row>
    <row r="53" spans="1:8">
      <c r="C53" s="240"/>
    </row>
    <row r="54" spans="1:8">
      <c r="A54" s="225"/>
      <c r="C54" s="240"/>
      <c r="D54" s="260"/>
      <c r="E54" s="260"/>
    </row>
    <row r="55" spans="1:8" ht="18.75">
      <c r="A55" s="261"/>
      <c r="B55" s="121"/>
      <c r="C55" s="3"/>
      <c r="D55" s="62"/>
      <c r="E55" s="62"/>
      <c r="F55" s="62"/>
    </row>
    <row r="56" spans="1:8" ht="18.75">
      <c r="A56" s="261"/>
      <c r="B56" s="121"/>
      <c r="C56" s="16"/>
      <c r="D56" s="62"/>
      <c r="E56" s="62"/>
      <c r="F56" s="62"/>
    </row>
    <row r="57" spans="1:8" ht="18.75">
      <c r="A57" s="261"/>
      <c r="B57" s="211"/>
      <c r="C57" s="3"/>
      <c r="D57" s="3"/>
      <c r="E57" s="3"/>
      <c r="F57" s="3"/>
    </row>
    <row r="58" spans="1:8" ht="18.75">
      <c r="A58" s="261"/>
      <c r="C58" s="240"/>
    </row>
    <row r="59" spans="1:8" ht="18.75">
      <c r="A59" s="261"/>
      <c r="C59" s="240"/>
    </row>
    <row r="60" spans="1:8" ht="18.75">
      <c r="A60" s="261"/>
      <c r="C60" s="240"/>
    </row>
    <row r="61" spans="1:8">
      <c r="A61" s="225"/>
      <c r="C61" s="240"/>
    </row>
    <row r="62" spans="1:8" ht="18.75">
      <c r="A62" s="261"/>
      <c r="C62" s="240"/>
    </row>
    <row r="63" spans="1:8">
      <c r="A63" s="225"/>
      <c r="C63" s="240"/>
    </row>
    <row r="64" spans="1:8" ht="18.75">
      <c r="A64" s="261"/>
      <c r="C64" s="240"/>
    </row>
    <row r="65" spans="1:3">
      <c r="A65" s="225"/>
      <c r="C65" s="240"/>
    </row>
    <row r="66" spans="1:3" ht="18.75">
      <c r="A66" s="261"/>
      <c r="C66" s="240"/>
    </row>
    <row r="67" spans="1:3" ht="18.75">
      <c r="A67" s="261"/>
      <c r="B67" s="240"/>
    </row>
    <row r="68" spans="1:3" ht="18.75">
      <c r="A68" s="261"/>
      <c r="B68" s="240"/>
    </row>
    <row r="69" spans="1:3">
      <c r="B69" s="240"/>
    </row>
    <row r="70" spans="1:3" ht="18.75">
      <c r="A70" s="261"/>
      <c r="B70" s="240"/>
    </row>
    <row r="71" spans="1:3">
      <c r="A71" s="262"/>
      <c r="B71" s="263"/>
    </row>
    <row r="72" spans="1:3">
      <c r="B72" s="240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>
      <selection activeCell="G33" sqref="G33"/>
    </sheetView>
  </sheetViews>
  <sheetFormatPr defaultColWidth="8.85546875" defaultRowHeight="15.75"/>
  <cols>
    <col min="1" max="1" width="5.42578125" style="211" customWidth="1"/>
    <col min="2" max="2" width="64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2">
      <c r="A1" s="471"/>
      <c r="E1" s="326"/>
      <c r="F1" s="325"/>
      <c r="G1" s="211"/>
      <c r="H1" s="211"/>
    </row>
    <row r="2" spans="1:12">
      <c r="B2" s="1303" t="s">
        <v>0</v>
      </c>
      <c r="C2" s="1303"/>
      <c r="D2" s="1303"/>
      <c r="E2" s="1303"/>
      <c r="F2" s="1303"/>
      <c r="G2" s="1303"/>
      <c r="H2" s="211"/>
    </row>
    <row r="3" spans="1:12">
      <c r="B3" s="1303" t="s">
        <v>510</v>
      </c>
      <c r="C3" s="1303"/>
      <c r="D3" s="1303"/>
      <c r="E3" s="1303"/>
      <c r="F3" s="1303"/>
      <c r="G3" s="1303"/>
      <c r="H3" s="211"/>
    </row>
    <row r="4" spans="1:12">
      <c r="B4" s="1303" t="s">
        <v>511</v>
      </c>
      <c r="C4" s="1303"/>
      <c r="D4" s="1303"/>
      <c r="E4" s="1303"/>
      <c r="F4" s="1303"/>
      <c r="G4" s="1303"/>
      <c r="H4" s="211"/>
    </row>
    <row r="5" spans="1:12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  <c r="J5" s="342"/>
    </row>
    <row r="6" spans="1:12">
      <c r="B6" s="1312" t="s">
        <v>3</v>
      </c>
      <c r="C6" s="1309"/>
      <c r="D6" s="1309"/>
      <c r="E6" s="1309"/>
      <c r="F6" s="1309"/>
      <c r="G6" s="1309"/>
      <c r="H6" s="211"/>
    </row>
    <row r="7" spans="1:12">
      <c r="B7" s="211"/>
      <c r="C7" s="211"/>
      <c r="D7" s="211"/>
      <c r="E7" s="211"/>
      <c r="F7" s="471"/>
      <c r="G7" s="211"/>
      <c r="H7" s="211"/>
      <c r="J7"/>
      <c r="K7"/>
      <c r="L7"/>
    </row>
    <row r="8" spans="1:12">
      <c r="A8" s="211" t="s">
        <v>4</v>
      </c>
      <c r="B8" s="471"/>
      <c r="C8" s="211" t="s">
        <v>186</v>
      </c>
      <c r="D8" s="471"/>
      <c r="E8" s="471"/>
      <c r="F8" s="471"/>
      <c r="G8" s="211"/>
      <c r="H8" s="211" t="s">
        <v>4</v>
      </c>
      <c r="J8"/>
      <c r="K8"/>
      <c r="L8"/>
    </row>
    <row r="9" spans="1:12">
      <c r="A9" s="211" t="s">
        <v>5</v>
      </c>
      <c r="C9" s="845" t="s">
        <v>188</v>
      </c>
      <c r="E9" s="862" t="s">
        <v>7</v>
      </c>
      <c r="F9" s="211"/>
      <c r="G9" s="845" t="s">
        <v>8</v>
      </c>
      <c r="H9" s="211" t="s">
        <v>5</v>
      </c>
    </row>
    <row r="10" spans="1:12">
      <c r="F10" s="211"/>
      <c r="G10" s="1134"/>
      <c r="H10" s="211"/>
    </row>
    <row r="11" spans="1:12">
      <c r="A11" s="211">
        <v>1</v>
      </c>
      <c r="B11" s="3" t="s">
        <v>512</v>
      </c>
      <c r="C11" s="5" t="s">
        <v>936</v>
      </c>
      <c r="E11" s="324">
        <v>14390.282999999999</v>
      </c>
      <c r="F11" s="325"/>
      <c r="G11" s="5"/>
      <c r="H11" s="211">
        <f>A11</f>
        <v>1</v>
      </c>
      <c r="K11" s="323"/>
    </row>
    <row r="12" spans="1:12">
      <c r="A12" s="211">
        <f>+A11+1</f>
        <v>2</v>
      </c>
      <c r="B12" s="3"/>
      <c r="C12" s="323"/>
      <c r="E12" s="326"/>
      <c r="F12" s="325"/>
      <c r="G12" s="5"/>
      <c r="H12" s="211">
        <f>+H11+1</f>
        <v>2</v>
      </c>
      <c r="K12" s="323"/>
    </row>
    <row r="13" spans="1:12" ht="18.75">
      <c r="A13" s="211">
        <f t="shared" ref="A13:A27" si="0">+A12+1</f>
        <v>3</v>
      </c>
      <c r="B13" s="3" t="s">
        <v>513</v>
      </c>
      <c r="C13" s="323"/>
      <c r="E13" s="327">
        <f>33112.169-E15</f>
        <v>17815.777000000002</v>
      </c>
      <c r="F13" s="325"/>
      <c r="G13" s="5" t="str">
        <f>"AI-1; Line "&amp;'AI-1'!A59</f>
        <v>AI-1; Line 50</v>
      </c>
      <c r="H13" s="211">
        <f t="shared" ref="H13:H27" si="1">+H12+1</f>
        <v>3</v>
      </c>
      <c r="J13" s="342"/>
      <c r="K13" s="323"/>
    </row>
    <row r="14" spans="1:12">
      <c r="A14" s="211">
        <f t="shared" si="0"/>
        <v>4</v>
      </c>
      <c r="B14" s="3"/>
      <c r="C14" s="323"/>
      <c r="E14" s="328"/>
      <c r="F14" s="325"/>
      <c r="G14" s="5"/>
      <c r="H14" s="211">
        <f t="shared" si="1"/>
        <v>4</v>
      </c>
      <c r="K14" s="323"/>
    </row>
    <row r="15" spans="1:12" ht="18.75">
      <c r="A15" s="211">
        <f t="shared" si="0"/>
        <v>5</v>
      </c>
      <c r="B15" s="3" t="s">
        <v>514</v>
      </c>
      <c r="C15" s="323"/>
      <c r="E15" s="327">
        <f>'AI-1'!E57</f>
        <v>15296.392000000002</v>
      </c>
      <c r="F15" s="325"/>
      <c r="G15" s="5" t="str">
        <f>"AI-1; Line "&amp;'AI-1'!A57</f>
        <v>AI-1; Line 48</v>
      </c>
      <c r="H15" s="211">
        <f t="shared" si="1"/>
        <v>5</v>
      </c>
      <c r="J15" s="392"/>
      <c r="K15" s="323"/>
    </row>
    <row r="16" spans="1:12">
      <c r="A16" s="211">
        <f t="shared" si="0"/>
        <v>6</v>
      </c>
      <c r="B16" s="3"/>
      <c r="C16" s="323"/>
      <c r="E16" s="328"/>
      <c r="F16" s="325"/>
      <c r="G16" s="5"/>
      <c r="H16" s="211">
        <f t="shared" si="1"/>
        <v>6</v>
      </c>
      <c r="K16" s="323"/>
    </row>
    <row r="17" spans="1:11">
      <c r="A17" s="211">
        <f t="shared" si="0"/>
        <v>7</v>
      </c>
      <c r="B17" s="3" t="s">
        <v>515</v>
      </c>
      <c r="C17" s="5" t="s">
        <v>937</v>
      </c>
      <c r="E17" s="327">
        <v>82510.224000000002</v>
      </c>
      <c r="F17" s="325"/>
      <c r="G17" s="5"/>
      <c r="H17" s="211">
        <f t="shared" si="1"/>
        <v>7</v>
      </c>
      <c r="K17" s="323"/>
    </row>
    <row r="18" spans="1:11">
      <c r="A18" s="211">
        <f t="shared" si="0"/>
        <v>8</v>
      </c>
      <c r="B18" s="3"/>
      <c r="C18" s="5"/>
      <c r="E18" s="328"/>
      <c r="F18" s="325"/>
      <c r="G18" s="5"/>
      <c r="H18" s="211">
        <f t="shared" si="1"/>
        <v>8</v>
      </c>
      <c r="K18" s="323"/>
    </row>
    <row r="19" spans="1:11">
      <c r="A19" s="211">
        <f t="shared" si="0"/>
        <v>9</v>
      </c>
      <c r="B19" s="3" t="s">
        <v>516</v>
      </c>
      <c r="C19" s="5" t="s">
        <v>938</v>
      </c>
      <c r="E19" s="327">
        <v>12389.382</v>
      </c>
      <c r="F19" s="325"/>
      <c r="G19" s="5"/>
      <c r="H19" s="211">
        <f t="shared" si="1"/>
        <v>9</v>
      </c>
      <c r="K19" s="323"/>
    </row>
    <row r="20" spans="1:11">
      <c r="A20" s="211">
        <f t="shared" si="0"/>
        <v>10</v>
      </c>
      <c r="B20" s="3"/>
      <c r="C20" s="5"/>
      <c r="E20" s="329"/>
      <c r="F20" s="325"/>
      <c r="G20" s="5"/>
      <c r="H20" s="211">
        <f t="shared" si="1"/>
        <v>10</v>
      </c>
      <c r="K20" s="323"/>
    </row>
    <row r="21" spans="1:11">
      <c r="A21" s="211">
        <f t="shared" si="0"/>
        <v>11</v>
      </c>
      <c r="B21" s="3" t="s">
        <v>517</v>
      </c>
      <c r="C21" s="5" t="s">
        <v>939</v>
      </c>
      <c r="E21" s="279">
        <v>17676.364000000001</v>
      </c>
      <c r="F21" s="325"/>
      <c r="G21" s="5"/>
      <c r="H21" s="211">
        <f t="shared" si="1"/>
        <v>11</v>
      </c>
      <c r="K21" s="323"/>
    </row>
    <row r="22" spans="1:11">
      <c r="A22" s="211">
        <f t="shared" si="0"/>
        <v>12</v>
      </c>
      <c r="B22" s="3"/>
      <c r="C22" s="5"/>
      <c r="E22" s="326"/>
      <c r="F22" s="325"/>
      <c r="G22" s="5"/>
      <c r="H22" s="211">
        <f t="shared" si="1"/>
        <v>12</v>
      </c>
    </row>
    <row r="23" spans="1:11">
      <c r="A23" s="211">
        <f t="shared" si="0"/>
        <v>13</v>
      </c>
      <c r="B23" s="3" t="s">
        <v>518</v>
      </c>
      <c r="C23" s="5" t="s">
        <v>940</v>
      </c>
      <c r="E23" s="1071">
        <v>0</v>
      </c>
      <c r="F23" s="325"/>
      <c r="G23" s="5"/>
      <c r="H23" s="211">
        <f t="shared" si="1"/>
        <v>13</v>
      </c>
    </row>
    <row r="24" spans="1:11">
      <c r="A24" s="211">
        <f t="shared" si="0"/>
        <v>14</v>
      </c>
      <c r="B24" s="3"/>
      <c r="E24" s="330"/>
      <c r="F24" s="325"/>
      <c r="G24" s="5"/>
      <c r="H24" s="211">
        <f t="shared" si="1"/>
        <v>14</v>
      </c>
    </row>
    <row r="25" spans="1:11" ht="16.5" thickBot="1">
      <c r="A25" s="211">
        <f t="shared" si="0"/>
        <v>15</v>
      </c>
      <c r="B25" s="3" t="s">
        <v>519</v>
      </c>
      <c r="E25" s="978">
        <f>SUM(E11:E23)</f>
        <v>160078.42200000002</v>
      </c>
      <c r="F25" s="325"/>
      <c r="G25" s="65" t="str">
        <f>"Sum Lines "&amp;A11&amp;" thru "&amp;A23</f>
        <v>Sum Lines 1 thru 13</v>
      </c>
      <c r="H25" s="211">
        <f t="shared" si="1"/>
        <v>15</v>
      </c>
    </row>
    <row r="26" spans="1:11" ht="16.5" thickTop="1">
      <c r="A26" s="211">
        <f t="shared" si="0"/>
        <v>16</v>
      </c>
      <c r="B26" s="3"/>
      <c r="E26" s="330"/>
      <c r="F26" s="325"/>
      <c r="G26" s="65"/>
      <c r="H26" s="211">
        <f t="shared" si="1"/>
        <v>16</v>
      </c>
    </row>
    <row r="27" spans="1:11" ht="16.5" thickBot="1">
      <c r="A27" s="211">
        <f t="shared" si="0"/>
        <v>17</v>
      </c>
      <c r="B27" s="191" t="s">
        <v>195</v>
      </c>
      <c r="E27" s="979">
        <f>E13/E25</f>
        <v>0.11129405685920617</v>
      </c>
      <c r="F27" s="332"/>
      <c r="G27" s="4" t="str">
        <f>"Line "&amp;A13&amp;" / Line "&amp;A25</f>
        <v>Line 3 / Line 15</v>
      </c>
      <c r="H27" s="211">
        <f t="shared" si="1"/>
        <v>17</v>
      </c>
    </row>
    <row r="28" spans="1:11" ht="16.5" thickTop="1">
      <c r="E28" s="333"/>
      <c r="F28" s="332"/>
      <c r="G28" s="211"/>
      <c r="H28" s="211"/>
    </row>
    <row r="29" spans="1:11">
      <c r="E29" s="333"/>
      <c r="F29" s="332"/>
      <c r="G29" s="331"/>
      <c r="H29" s="211"/>
    </row>
    <row r="30" spans="1:11" ht="18.75">
      <c r="A30" s="334">
        <v>1</v>
      </c>
      <c r="B30" s="3" t="s">
        <v>520</v>
      </c>
      <c r="E30" s="333"/>
      <c r="F30" s="332"/>
      <c r="G30" s="211"/>
      <c r="H30" s="211"/>
    </row>
    <row r="31" spans="1:11" ht="18.75">
      <c r="A31" s="334">
        <v>2</v>
      </c>
      <c r="B31" s="3" t="s">
        <v>521</v>
      </c>
    </row>
    <row r="32" spans="1:11" ht="18.75">
      <c r="A32" s="66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6"/>
  <sheetViews>
    <sheetView topLeftCell="A27" zoomScale="80" zoomScaleNormal="80" workbookViewId="0">
      <selection activeCell="E27" sqref="E27"/>
    </sheetView>
  </sheetViews>
  <sheetFormatPr defaultColWidth="8.5703125" defaultRowHeight="15.75"/>
  <cols>
    <col min="1" max="1" width="5.42578125" style="90" bestFit="1" customWidth="1"/>
    <col min="2" max="2" width="11.140625" style="13" customWidth="1"/>
    <col min="3" max="3" width="69.42578125" style="13" customWidth="1"/>
    <col min="4" max="5" width="18.5703125" style="13" customWidth="1"/>
    <col min="6" max="6" width="5.42578125" style="90" bestFit="1" customWidth="1"/>
    <col min="7" max="7" width="11.5703125" style="13" bestFit="1" customWidth="1"/>
    <col min="8" max="16384" width="8.5703125" style="13"/>
  </cols>
  <sheetData>
    <row r="2" spans="1:11">
      <c r="B2" s="1308" t="s">
        <v>0</v>
      </c>
      <c r="C2" s="1308"/>
      <c r="D2" s="1308"/>
      <c r="E2" s="1308"/>
      <c r="F2" s="96"/>
    </row>
    <row r="3" spans="1:11">
      <c r="B3" s="1303" t="s">
        <v>510</v>
      </c>
      <c r="C3" s="1303"/>
      <c r="D3" s="1303"/>
      <c r="E3" s="1303"/>
      <c r="F3" s="210"/>
      <c r="G3" s="210"/>
    </row>
    <row r="4" spans="1:11">
      <c r="B4" s="1290" t="s">
        <v>522</v>
      </c>
      <c r="C4" s="1290"/>
      <c r="D4" s="1290"/>
      <c r="E4" s="1290"/>
    </row>
    <row r="5" spans="1:11">
      <c r="B5" s="1290" t="str">
        <f>" 12 Months Ending December 31, "&amp;Automation!$B$3</f>
        <v xml:space="preserve"> 12 Months Ending December 31, 2024</v>
      </c>
      <c r="C5" s="1290"/>
      <c r="D5" s="1290"/>
      <c r="E5" s="1290"/>
      <c r="H5" s="700"/>
    </row>
    <row r="6" spans="1:11">
      <c r="B6" s="1312" t="s">
        <v>3</v>
      </c>
      <c r="C6" s="1312"/>
      <c r="D6" s="1312"/>
      <c r="E6" s="1312"/>
      <c r="F6" s="96"/>
      <c r="G6" s="96"/>
      <c r="H6"/>
      <c r="I6"/>
      <c r="J6"/>
      <c r="K6"/>
    </row>
    <row r="7" spans="1:11" ht="16.5" thickBot="1">
      <c r="B7" s="76"/>
      <c r="C7" s="76"/>
      <c r="D7" s="76"/>
    </row>
    <row r="8" spans="1:11">
      <c r="A8" s="499" t="s">
        <v>4</v>
      </c>
      <c r="B8" s="1225" t="s">
        <v>523</v>
      </c>
      <c r="C8" s="1226"/>
      <c r="D8" s="1227"/>
      <c r="E8" s="1228"/>
      <c r="F8" s="499" t="s">
        <v>4</v>
      </c>
      <c r="H8" s="700"/>
    </row>
    <row r="9" spans="1:11" ht="18.75">
      <c r="A9" s="499" t="s">
        <v>5</v>
      </c>
      <c r="B9" s="1072" t="s">
        <v>257</v>
      </c>
      <c r="C9" s="980" t="s">
        <v>258</v>
      </c>
      <c r="D9" s="981" t="s">
        <v>524</v>
      </c>
      <c r="E9" s="1229" t="s">
        <v>525</v>
      </c>
      <c r="F9" s="499" t="s">
        <v>5</v>
      </c>
    </row>
    <row r="10" spans="1:11">
      <c r="A10" s="499">
        <v>1</v>
      </c>
      <c r="B10" s="1142" t="s">
        <v>853</v>
      </c>
      <c r="C10" s="1143" t="s">
        <v>854</v>
      </c>
      <c r="D10" s="1156">
        <v>4.5037000000000003</v>
      </c>
      <c r="E10" s="1141"/>
      <c r="F10" s="499">
        <v>1</v>
      </c>
      <c r="H10" s="700"/>
    </row>
    <row r="11" spans="1:11">
      <c r="A11" s="499">
        <f>A10+1</f>
        <v>2</v>
      </c>
      <c r="B11" s="335" t="s">
        <v>526</v>
      </c>
      <c r="C11" s="82" t="s">
        <v>527</v>
      </c>
      <c r="D11" s="214">
        <v>4718.4032999999999</v>
      </c>
      <c r="E11" s="894"/>
      <c r="F11" s="499">
        <f>F10+1</f>
        <v>2</v>
      </c>
      <c r="G11" s="792"/>
      <c r="H11" s="773"/>
      <c r="I11" s="773"/>
    </row>
    <row r="12" spans="1:11">
      <c r="A12" s="499">
        <f>A11+1</f>
        <v>3</v>
      </c>
      <c r="B12" s="335" t="s">
        <v>528</v>
      </c>
      <c r="C12" s="82" t="s">
        <v>529</v>
      </c>
      <c r="D12" s="549">
        <v>421.54129999999998</v>
      </c>
      <c r="E12" s="894"/>
      <c r="F12" s="499">
        <f>F11+1</f>
        <v>3</v>
      </c>
      <c r="H12" s="773"/>
      <c r="I12" s="773"/>
    </row>
    <row r="13" spans="1:11">
      <c r="A13" s="499">
        <f t="shared" ref="A13:A60" si="0">A12+1</f>
        <v>4</v>
      </c>
      <c r="B13" s="335" t="s">
        <v>530</v>
      </c>
      <c r="C13" s="82" t="s">
        <v>531</v>
      </c>
      <c r="D13" s="549">
        <v>1502.0640000000001</v>
      </c>
      <c r="E13" s="894"/>
      <c r="F13" s="499">
        <f t="shared" ref="F13:F60" si="1">F12+1</f>
        <v>4</v>
      </c>
      <c r="H13" s="773"/>
      <c r="I13" s="773"/>
    </row>
    <row r="14" spans="1:11">
      <c r="A14" s="499">
        <f t="shared" si="0"/>
        <v>5</v>
      </c>
      <c r="B14" s="335" t="s">
        <v>532</v>
      </c>
      <c r="C14" s="82" t="s">
        <v>533</v>
      </c>
      <c r="D14" s="549">
        <v>432.3451</v>
      </c>
      <c r="E14" s="894"/>
      <c r="F14" s="499">
        <f t="shared" si="1"/>
        <v>5</v>
      </c>
      <c r="H14" s="773"/>
      <c r="I14" s="773"/>
    </row>
    <row r="15" spans="1:11">
      <c r="A15" s="499">
        <f t="shared" si="0"/>
        <v>6</v>
      </c>
      <c r="B15" s="336" t="s">
        <v>534</v>
      </c>
      <c r="C15" s="82" t="s">
        <v>535</v>
      </c>
      <c r="D15" s="549">
        <v>1126.9893999999999</v>
      </c>
      <c r="E15" s="894"/>
      <c r="F15" s="499">
        <f t="shared" si="1"/>
        <v>6</v>
      </c>
      <c r="H15" s="774"/>
      <c r="I15" s="774"/>
    </row>
    <row r="16" spans="1:11">
      <c r="A16" s="499">
        <f t="shared" si="0"/>
        <v>7</v>
      </c>
      <c r="B16" s="336" t="s">
        <v>536</v>
      </c>
      <c r="C16" s="82" t="s">
        <v>537</v>
      </c>
      <c r="D16" s="549">
        <v>257.1662</v>
      </c>
      <c r="E16" s="894"/>
      <c r="F16" s="499">
        <f t="shared" si="1"/>
        <v>7</v>
      </c>
      <c r="H16" s="774"/>
      <c r="I16" s="774"/>
    </row>
    <row r="17" spans="1:9">
      <c r="A17" s="499">
        <f t="shared" si="0"/>
        <v>8</v>
      </c>
      <c r="B17" s="336" t="s">
        <v>538</v>
      </c>
      <c r="C17" s="82" t="s">
        <v>539</v>
      </c>
      <c r="D17" s="549">
        <v>0</v>
      </c>
      <c r="E17" s="894"/>
      <c r="F17" s="499">
        <f t="shared" si="1"/>
        <v>8</v>
      </c>
      <c r="H17" s="774"/>
      <c r="I17" s="774"/>
    </row>
    <row r="18" spans="1:9">
      <c r="A18" s="499">
        <f t="shared" si="0"/>
        <v>9</v>
      </c>
      <c r="B18" s="335" t="s">
        <v>540</v>
      </c>
      <c r="C18" s="82" t="s">
        <v>541</v>
      </c>
      <c r="D18" s="549">
        <v>70.938600000000008</v>
      </c>
      <c r="E18" s="895"/>
      <c r="F18" s="499">
        <f t="shared" si="1"/>
        <v>9</v>
      </c>
      <c r="H18" s="773"/>
      <c r="I18" s="773"/>
    </row>
    <row r="19" spans="1:9">
      <c r="A19" s="499">
        <f t="shared" si="0"/>
        <v>10</v>
      </c>
      <c r="B19" s="336" t="s">
        <v>542</v>
      </c>
      <c r="C19" s="82" t="s">
        <v>543</v>
      </c>
      <c r="D19" s="549">
        <v>0</v>
      </c>
      <c r="E19" s="1223"/>
      <c r="F19" s="499">
        <f t="shared" si="1"/>
        <v>10</v>
      </c>
      <c r="H19" s="774"/>
      <c r="I19" s="774"/>
    </row>
    <row r="20" spans="1:9">
      <c r="A20" s="499">
        <f t="shared" si="0"/>
        <v>11</v>
      </c>
      <c r="B20" s="336" t="s">
        <v>544</v>
      </c>
      <c r="C20" s="82" t="s">
        <v>545</v>
      </c>
      <c r="D20" s="549">
        <v>0</v>
      </c>
      <c r="E20" s="791"/>
      <c r="F20" s="499">
        <f t="shared" si="1"/>
        <v>11</v>
      </c>
      <c r="H20" s="774"/>
      <c r="I20" s="774"/>
    </row>
    <row r="21" spans="1:9">
      <c r="A21" s="499">
        <f t="shared" si="0"/>
        <v>12</v>
      </c>
      <c r="B21" s="335" t="s">
        <v>546</v>
      </c>
      <c r="C21" s="82" t="s">
        <v>547</v>
      </c>
      <c r="D21" s="549">
        <v>747.70600000000002</v>
      </c>
      <c r="E21" s="1230"/>
      <c r="F21" s="499">
        <f t="shared" si="1"/>
        <v>12</v>
      </c>
      <c r="H21" s="773"/>
      <c r="I21" s="773"/>
    </row>
    <row r="22" spans="1:9">
      <c r="A22" s="499">
        <f t="shared" si="0"/>
        <v>13</v>
      </c>
      <c r="B22" s="335" t="s">
        <v>548</v>
      </c>
      <c r="C22" s="82" t="s">
        <v>549</v>
      </c>
      <c r="D22" s="549">
        <v>145.89089999999999</v>
      </c>
      <c r="E22" s="896">
        <f>D22</f>
        <v>145.89089999999999</v>
      </c>
      <c r="F22" s="499">
        <f t="shared" si="1"/>
        <v>13</v>
      </c>
      <c r="H22" s="773"/>
      <c r="I22" s="773"/>
    </row>
    <row r="23" spans="1:9">
      <c r="A23" s="499">
        <f t="shared" si="0"/>
        <v>14</v>
      </c>
      <c r="B23" s="335" t="s">
        <v>550</v>
      </c>
      <c r="C23" s="82" t="s">
        <v>551</v>
      </c>
      <c r="D23" s="549">
        <v>2240.3987999999999</v>
      </c>
      <c r="E23" s="791">
        <f>D23</f>
        <v>2240.3987999999999</v>
      </c>
      <c r="F23" s="499">
        <f t="shared" si="1"/>
        <v>14</v>
      </c>
      <c r="H23" s="773"/>
      <c r="I23" s="773"/>
    </row>
    <row r="24" spans="1:9">
      <c r="A24" s="499">
        <f t="shared" si="0"/>
        <v>15</v>
      </c>
      <c r="B24" s="335" t="s">
        <v>552</v>
      </c>
      <c r="C24" s="82" t="s">
        <v>553</v>
      </c>
      <c r="D24" s="549">
        <v>0</v>
      </c>
      <c r="E24" s="791"/>
      <c r="F24" s="499">
        <f t="shared" si="1"/>
        <v>15</v>
      </c>
      <c r="H24" s="773"/>
      <c r="I24" s="773"/>
    </row>
    <row r="25" spans="1:9">
      <c r="A25" s="499">
        <f t="shared" si="0"/>
        <v>16</v>
      </c>
      <c r="B25" s="336" t="s">
        <v>554</v>
      </c>
      <c r="C25" s="82" t="s">
        <v>555</v>
      </c>
      <c r="D25" s="549">
        <v>1088.0515</v>
      </c>
      <c r="E25" s="791"/>
      <c r="F25" s="499">
        <f t="shared" si="1"/>
        <v>16</v>
      </c>
      <c r="H25" s="774"/>
      <c r="I25" s="774"/>
    </row>
    <row r="26" spans="1:9">
      <c r="A26" s="499">
        <f t="shared" si="0"/>
        <v>17</v>
      </c>
      <c r="B26" s="335" t="s">
        <v>556</v>
      </c>
      <c r="C26" s="82" t="s">
        <v>557</v>
      </c>
      <c r="D26" s="549">
        <v>0</v>
      </c>
      <c r="E26" s="894"/>
      <c r="F26" s="499">
        <f t="shared" si="1"/>
        <v>17</v>
      </c>
      <c r="H26" s="773"/>
      <c r="I26" s="773"/>
    </row>
    <row r="27" spans="1:9">
      <c r="A27" s="499">
        <f t="shared" si="0"/>
        <v>18</v>
      </c>
      <c r="B27" s="335" t="s">
        <v>558</v>
      </c>
      <c r="C27" s="82" t="s">
        <v>559</v>
      </c>
      <c r="D27" s="549">
        <v>3.4596999999999998</v>
      </c>
      <c r="E27" s="791">
        <f>D27</f>
        <v>3.4596999999999998</v>
      </c>
      <c r="F27" s="499">
        <f t="shared" si="1"/>
        <v>18</v>
      </c>
      <c r="H27" s="773"/>
      <c r="I27" s="773"/>
    </row>
    <row r="28" spans="1:9">
      <c r="A28" s="499">
        <f t="shared" si="0"/>
        <v>19</v>
      </c>
      <c r="B28" s="335" t="s">
        <v>560</v>
      </c>
      <c r="C28" s="82" t="s">
        <v>561</v>
      </c>
      <c r="D28" s="549">
        <v>3876.8897000000002</v>
      </c>
      <c r="E28" s="894"/>
      <c r="F28" s="499">
        <f t="shared" si="1"/>
        <v>19</v>
      </c>
      <c r="H28" s="773"/>
      <c r="I28" s="773"/>
    </row>
    <row r="29" spans="1:9">
      <c r="A29" s="499">
        <f t="shared" si="0"/>
        <v>20</v>
      </c>
      <c r="B29" s="335" t="s">
        <v>562</v>
      </c>
      <c r="C29" s="82" t="s">
        <v>563</v>
      </c>
      <c r="D29" s="549">
        <v>0</v>
      </c>
      <c r="E29" s="894"/>
      <c r="F29" s="499">
        <f t="shared" si="1"/>
        <v>20</v>
      </c>
      <c r="H29" s="773"/>
      <c r="I29" s="773"/>
    </row>
    <row r="30" spans="1:9">
      <c r="A30" s="499">
        <f t="shared" si="0"/>
        <v>21</v>
      </c>
      <c r="B30" s="336" t="s">
        <v>564</v>
      </c>
      <c r="C30" s="82" t="s">
        <v>565</v>
      </c>
      <c r="D30" s="549">
        <v>0</v>
      </c>
      <c r="E30" s="894"/>
      <c r="F30" s="499">
        <f t="shared" si="1"/>
        <v>21</v>
      </c>
      <c r="H30" s="774"/>
      <c r="I30" s="774"/>
    </row>
    <row r="31" spans="1:9">
      <c r="A31" s="499">
        <f t="shared" si="0"/>
        <v>22</v>
      </c>
      <c r="B31" s="335" t="s">
        <v>566</v>
      </c>
      <c r="C31" s="82" t="s">
        <v>567</v>
      </c>
      <c r="D31" s="549">
        <v>1247.2889</v>
      </c>
      <c r="E31" s="791"/>
      <c r="F31" s="499">
        <f t="shared" si="1"/>
        <v>22</v>
      </c>
      <c r="H31" s="773"/>
      <c r="I31" s="773"/>
    </row>
    <row r="32" spans="1:9">
      <c r="A32" s="499">
        <f t="shared" si="0"/>
        <v>23</v>
      </c>
      <c r="B32" s="335" t="s">
        <v>568</v>
      </c>
      <c r="C32" s="82" t="s">
        <v>569</v>
      </c>
      <c r="D32" s="549">
        <v>129.92689999999999</v>
      </c>
      <c r="E32" s="791"/>
      <c r="F32" s="499">
        <f t="shared" si="1"/>
        <v>23</v>
      </c>
      <c r="H32" s="773"/>
      <c r="I32" s="773"/>
    </row>
    <row r="33" spans="1:9">
      <c r="A33" s="499">
        <f t="shared" si="0"/>
        <v>24</v>
      </c>
      <c r="B33" s="335" t="s">
        <v>570</v>
      </c>
      <c r="C33" s="82" t="s">
        <v>571</v>
      </c>
      <c r="D33" s="549">
        <v>49.502099999999999</v>
      </c>
      <c r="E33" s="895"/>
      <c r="F33" s="499">
        <f t="shared" si="1"/>
        <v>24</v>
      </c>
      <c r="H33" s="773"/>
      <c r="I33" s="773"/>
    </row>
    <row r="34" spans="1:9">
      <c r="A34" s="499">
        <f t="shared" si="0"/>
        <v>25</v>
      </c>
      <c r="B34" s="335" t="s">
        <v>572</v>
      </c>
      <c r="C34" s="82" t="s">
        <v>573</v>
      </c>
      <c r="D34" s="549">
        <v>767.50959999999998</v>
      </c>
      <c r="E34" s="791"/>
      <c r="F34" s="499">
        <f t="shared" si="1"/>
        <v>25</v>
      </c>
      <c r="H34" s="773"/>
      <c r="I34" s="773"/>
    </row>
    <row r="35" spans="1:9">
      <c r="A35" s="499">
        <f t="shared" si="0"/>
        <v>26</v>
      </c>
      <c r="B35" s="335" t="s">
        <v>574</v>
      </c>
      <c r="C35" s="82" t="s">
        <v>575</v>
      </c>
      <c r="D35" s="549">
        <v>904.36109999999996</v>
      </c>
      <c r="E35" s="791"/>
      <c r="F35" s="499">
        <f t="shared" si="1"/>
        <v>26</v>
      </c>
      <c r="H35" s="773"/>
      <c r="I35" s="773"/>
    </row>
    <row r="36" spans="1:9">
      <c r="A36" s="499">
        <f t="shared" si="0"/>
        <v>27</v>
      </c>
      <c r="B36" s="335" t="s">
        <v>576</v>
      </c>
      <c r="C36" s="82" t="s">
        <v>577</v>
      </c>
      <c r="D36" s="549">
        <v>0</v>
      </c>
      <c r="E36" s="791"/>
      <c r="F36" s="499">
        <f t="shared" si="1"/>
        <v>27</v>
      </c>
      <c r="H36" s="773"/>
      <c r="I36" s="773"/>
    </row>
    <row r="37" spans="1:9">
      <c r="A37" s="499">
        <f t="shared" si="0"/>
        <v>28</v>
      </c>
      <c r="B37" s="335" t="s">
        <v>578</v>
      </c>
      <c r="C37" s="82" t="s">
        <v>579</v>
      </c>
      <c r="D37" s="549">
        <v>16.036100000000001</v>
      </c>
      <c r="E37" s="791"/>
      <c r="F37" s="499">
        <f t="shared" si="1"/>
        <v>28</v>
      </c>
      <c r="H37" s="773"/>
      <c r="I37" s="773"/>
    </row>
    <row r="38" spans="1:9">
      <c r="A38" s="499">
        <f t="shared" si="0"/>
        <v>29</v>
      </c>
      <c r="B38" s="335" t="s">
        <v>580</v>
      </c>
      <c r="C38" s="82" t="s">
        <v>581</v>
      </c>
      <c r="D38" s="549">
        <v>1024.7245</v>
      </c>
      <c r="E38" s="791">
        <f>D38</f>
        <v>1024.7245</v>
      </c>
      <c r="F38" s="499">
        <f t="shared" si="1"/>
        <v>29</v>
      </c>
      <c r="H38" s="773"/>
      <c r="I38" s="773"/>
    </row>
    <row r="39" spans="1:9">
      <c r="A39" s="499">
        <f t="shared" si="0"/>
        <v>30</v>
      </c>
      <c r="B39" s="335" t="s">
        <v>582</v>
      </c>
      <c r="C39" s="82" t="s">
        <v>583</v>
      </c>
      <c r="D39" s="549">
        <v>7668.2124000000003</v>
      </c>
      <c r="E39" s="791">
        <f>D39</f>
        <v>7668.2124000000003</v>
      </c>
      <c r="F39" s="499">
        <f t="shared" si="1"/>
        <v>30</v>
      </c>
      <c r="H39" s="773"/>
      <c r="I39" s="773"/>
    </row>
    <row r="40" spans="1:9">
      <c r="A40" s="499">
        <f t="shared" si="0"/>
        <v>31</v>
      </c>
      <c r="B40" s="335" t="s">
        <v>584</v>
      </c>
      <c r="C40" s="82" t="s">
        <v>585</v>
      </c>
      <c r="D40" s="549">
        <v>284.4717</v>
      </c>
      <c r="E40" s="791"/>
      <c r="F40" s="499">
        <f t="shared" si="1"/>
        <v>31</v>
      </c>
      <c r="H40" s="773"/>
      <c r="I40" s="773"/>
    </row>
    <row r="41" spans="1:9">
      <c r="A41" s="499">
        <f t="shared" si="0"/>
        <v>32</v>
      </c>
      <c r="B41" s="335" t="s">
        <v>586</v>
      </c>
      <c r="C41" s="82" t="s">
        <v>587</v>
      </c>
      <c r="D41" s="549">
        <v>168.91399999999999</v>
      </c>
      <c r="E41" s="791"/>
      <c r="F41" s="499">
        <f t="shared" si="1"/>
        <v>32</v>
      </c>
      <c r="H41" s="773"/>
      <c r="I41" s="773"/>
    </row>
    <row r="42" spans="1:9">
      <c r="A42" s="499">
        <f t="shared" si="0"/>
        <v>33</v>
      </c>
      <c r="B42" s="335" t="s">
        <v>588</v>
      </c>
      <c r="C42" s="82" t="s">
        <v>589</v>
      </c>
      <c r="D42" s="549">
        <v>219.1593</v>
      </c>
      <c r="E42" s="791">
        <f t="shared" ref="E42:E45" si="2">D42</f>
        <v>219.1593</v>
      </c>
      <c r="F42" s="499">
        <f t="shared" si="1"/>
        <v>33</v>
      </c>
      <c r="H42" s="773"/>
      <c r="I42" s="773"/>
    </row>
    <row r="43" spans="1:9">
      <c r="A43" s="499">
        <f t="shared" si="0"/>
        <v>34</v>
      </c>
      <c r="B43" s="335" t="s">
        <v>590</v>
      </c>
      <c r="C43" s="82" t="s">
        <v>591</v>
      </c>
      <c r="D43" s="549">
        <v>281.29259999999999</v>
      </c>
      <c r="E43" s="791">
        <f t="shared" si="2"/>
        <v>281.29259999999999</v>
      </c>
      <c r="F43" s="499">
        <f t="shared" si="1"/>
        <v>34</v>
      </c>
      <c r="H43" s="773"/>
      <c r="I43" s="773"/>
    </row>
    <row r="44" spans="1:9">
      <c r="A44" s="499">
        <f t="shared" si="0"/>
        <v>35</v>
      </c>
      <c r="B44" s="335" t="s">
        <v>592</v>
      </c>
      <c r="C44" s="82" t="s">
        <v>593</v>
      </c>
      <c r="D44" s="549">
        <v>74.052499999999995</v>
      </c>
      <c r="E44" s="791">
        <f t="shared" si="2"/>
        <v>74.052499999999995</v>
      </c>
      <c r="F44" s="499">
        <f t="shared" si="1"/>
        <v>35</v>
      </c>
      <c r="H44" s="773"/>
      <c r="I44" s="773"/>
    </row>
    <row r="45" spans="1:9">
      <c r="A45" s="499">
        <f t="shared" si="0"/>
        <v>36</v>
      </c>
      <c r="B45" s="335" t="s">
        <v>594</v>
      </c>
      <c r="C45" s="1224" t="s">
        <v>595</v>
      </c>
      <c r="D45" s="549">
        <v>1361.2539999999999</v>
      </c>
      <c r="E45" s="1231">
        <f t="shared" si="2"/>
        <v>1361.2539999999999</v>
      </c>
      <c r="F45" s="499">
        <f t="shared" si="1"/>
        <v>36</v>
      </c>
      <c r="H45" s="773"/>
      <c r="I45" s="773"/>
    </row>
    <row r="46" spans="1:9">
      <c r="A46" s="499">
        <f t="shared" si="0"/>
        <v>37</v>
      </c>
      <c r="B46" s="335" t="s">
        <v>596</v>
      </c>
      <c r="C46" s="773" t="s">
        <v>597</v>
      </c>
      <c r="D46" s="549">
        <v>1009.0404</v>
      </c>
      <c r="E46" s="1231">
        <f t="shared" ref="E46:E54" si="3">D46</f>
        <v>1009.0404</v>
      </c>
      <c r="F46" s="499">
        <f t="shared" si="1"/>
        <v>37</v>
      </c>
      <c r="H46" s="773"/>
      <c r="I46" s="773"/>
    </row>
    <row r="47" spans="1:9">
      <c r="A47" s="499">
        <f t="shared" si="0"/>
        <v>38</v>
      </c>
      <c r="B47" s="335" t="s">
        <v>598</v>
      </c>
      <c r="C47" s="773" t="s">
        <v>599</v>
      </c>
      <c r="D47" s="549">
        <v>9.9993999999999996</v>
      </c>
      <c r="E47" s="1231">
        <f t="shared" si="3"/>
        <v>9.9993999999999996</v>
      </c>
      <c r="F47" s="499">
        <f t="shared" si="1"/>
        <v>38</v>
      </c>
      <c r="H47" s="773"/>
      <c r="I47" s="773"/>
    </row>
    <row r="48" spans="1:9">
      <c r="A48" s="499">
        <f t="shared" si="0"/>
        <v>39</v>
      </c>
      <c r="B48" s="335" t="s">
        <v>600</v>
      </c>
      <c r="C48" s="773" t="s">
        <v>601</v>
      </c>
      <c r="D48" s="549">
        <v>150.7723</v>
      </c>
      <c r="E48" s="1231">
        <f t="shared" si="3"/>
        <v>150.7723</v>
      </c>
      <c r="F48" s="499">
        <f t="shared" si="1"/>
        <v>39</v>
      </c>
      <c r="H48" s="773"/>
      <c r="I48" s="773"/>
    </row>
    <row r="49" spans="1:9">
      <c r="A49" s="499">
        <f t="shared" si="0"/>
        <v>40</v>
      </c>
      <c r="B49" s="335" t="s">
        <v>602</v>
      </c>
      <c r="C49" s="773" t="s">
        <v>603</v>
      </c>
      <c r="D49" s="549">
        <v>391.80779999999999</v>
      </c>
      <c r="E49" s="1231">
        <f t="shared" si="3"/>
        <v>391.80779999999999</v>
      </c>
      <c r="F49" s="499">
        <f t="shared" si="1"/>
        <v>40</v>
      </c>
      <c r="H49" s="773"/>
      <c r="I49" s="773"/>
    </row>
    <row r="50" spans="1:9">
      <c r="A50" s="499">
        <f t="shared" si="0"/>
        <v>41</v>
      </c>
      <c r="B50" s="335" t="s">
        <v>604</v>
      </c>
      <c r="C50" s="773" t="s">
        <v>605</v>
      </c>
      <c r="D50" s="549">
        <v>165.29420000000002</v>
      </c>
      <c r="E50" s="1231">
        <f t="shared" si="3"/>
        <v>165.29420000000002</v>
      </c>
      <c r="F50" s="499">
        <f t="shared" si="1"/>
        <v>41</v>
      </c>
      <c r="H50" s="773"/>
      <c r="I50" s="773"/>
    </row>
    <row r="51" spans="1:9">
      <c r="A51" s="499">
        <f t="shared" si="0"/>
        <v>42</v>
      </c>
      <c r="B51" s="335" t="s">
        <v>606</v>
      </c>
      <c r="C51" s="773" t="s">
        <v>607</v>
      </c>
      <c r="D51" s="549">
        <v>0</v>
      </c>
      <c r="E51" s="1231">
        <f t="shared" si="3"/>
        <v>0</v>
      </c>
      <c r="F51" s="499">
        <f t="shared" si="1"/>
        <v>42</v>
      </c>
      <c r="H51" s="773"/>
      <c r="I51" s="773"/>
    </row>
    <row r="52" spans="1:9">
      <c r="A52" s="499">
        <f t="shared" si="0"/>
        <v>43</v>
      </c>
      <c r="B52" s="335" t="s">
        <v>608</v>
      </c>
      <c r="C52" s="773" t="s">
        <v>609</v>
      </c>
      <c r="D52" s="549">
        <v>0.15369999999999998</v>
      </c>
      <c r="E52" s="1231">
        <f t="shared" si="3"/>
        <v>0.15369999999999998</v>
      </c>
      <c r="F52" s="499">
        <f t="shared" si="1"/>
        <v>43</v>
      </c>
      <c r="H52" s="773"/>
      <c r="I52" s="773"/>
    </row>
    <row r="53" spans="1:9">
      <c r="A53" s="499">
        <f t="shared" si="0"/>
        <v>44</v>
      </c>
      <c r="B53" s="335" t="s">
        <v>610</v>
      </c>
      <c r="C53" s="773" t="s">
        <v>611</v>
      </c>
      <c r="D53" s="549">
        <v>0.39439999999999997</v>
      </c>
      <c r="E53" s="1231">
        <f t="shared" si="3"/>
        <v>0.39439999999999997</v>
      </c>
      <c r="F53" s="499">
        <f t="shared" si="1"/>
        <v>44</v>
      </c>
      <c r="H53" s="773"/>
      <c r="I53" s="773"/>
    </row>
    <row r="54" spans="1:9">
      <c r="A54" s="499">
        <f t="shared" si="0"/>
        <v>45</v>
      </c>
      <c r="B54" s="335" t="s">
        <v>612</v>
      </c>
      <c r="C54" s="773" t="s">
        <v>613</v>
      </c>
      <c r="D54" s="549">
        <v>550.48509999999999</v>
      </c>
      <c r="E54" s="1231">
        <f t="shared" si="3"/>
        <v>550.48509999999999</v>
      </c>
      <c r="F54" s="499">
        <f t="shared" si="1"/>
        <v>45</v>
      </c>
      <c r="H54" s="773"/>
      <c r="I54" s="773"/>
    </row>
    <row r="55" spans="1:9">
      <c r="A55" s="499">
        <f t="shared" si="0"/>
        <v>46</v>
      </c>
      <c r="B55" s="335" t="s">
        <v>614</v>
      </c>
      <c r="C55" s="773" t="s">
        <v>615</v>
      </c>
      <c r="D55" s="982">
        <v>0.78339999999999999</v>
      </c>
      <c r="E55" s="1232"/>
      <c r="F55" s="499">
        <f t="shared" si="1"/>
        <v>46</v>
      </c>
      <c r="H55" s="773"/>
      <c r="I55" s="773"/>
    </row>
    <row r="56" spans="1:9">
      <c r="A56" s="499">
        <f t="shared" si="0"/>
        <v>47</v>
      </c>
      <c r="B56" s="337"/>
      <c r="C56" s="339"/>
      <c r="D56" s="1233"/>
      <c r="E56" s="897"/>
      <c r="F56" s="499">
        <f t="shared" si="1"/>
        <v>47</v>
      </c>
    </row>
    <row r="57" spans="1:9" ht="16.5" thickBot="1">
      <c r="A57" s="499">
        <f t="shared" si="0"/>
        <v>48</v>
      </c>
      <c r="B57" s="337" t="s">
        <v>616</v>
      </c>
      <c r="C57" s="83"/>
      <c r="D57" s="983">
        <f>SUM(D10:D55)</f>
        <v>33111.784600000006</v>
      </c>
      <c r="E57" s="550">
        <f>SUM(E11:E54)</f>
        <v>15296.392000000002</v>
      </c>
      <c r="F57" s="499">
        <f t="shared" si="1"/>
        <v>48</v>
      </c>
    </row>
    <row r="58" spans="1:9" ht="16.5" thickTop="1">
      <c r="A58" s="499">
        <f t="shared" si="0"/>
        <v>49</v>
      </c>
      <c r="B58" s="337"/>
      <c r="C58" s="339"/>
      <c r="D58" s="1233"/>
      <c r="E58" s="897"/>
      <c r="F58" s="499">
        <f t="shared" si="1"/>
        <v>49</v>
      </c>
    </row>
    <row r="59" spans="1:9" ht="16.5" thickBot="1">
      <c r="A59" s="499">
        <f t="shared" si="0"/>
        <v>50</v>
      </c>
      <c r="B59" s="337" t="s">
        <v>617</v>
      </c>
      <c r="C59" s="83"/>
      <c r="D59" s="1234"/>
      <c r="E59" s="551">
        <f>D57-E57</f>
        <v>17815.392600000006</v>
      </c>
      <c r="F59" s="499">
        <f t="shared" si="1"/>
        <v>50</v>
      </c>
    </row>
    <row r="60" spans="1:9" ht="17.25" thickTop="1" thickBot="1">
      <c r="A60" s="499">
        <f t="shared" si="0"/>
        <v>51</v>
      </c>
      <c r="B60" s="338"/>
      <c r="C60" s="340"/>
      <c r="D60" s="898"/>
      <c r="E60" s="552"/>
      <c r="F60" s="499">
        <f t="shared" si="1"/>
        <v>51</v>
      </c>
    </row>
    <row r="61" spans="1:9">
      <c r="A61" s="499"/>
      <c r="B61" s="79"/>
      <c r="C61" s="79"/>
      <c r="D61" s="80"/>
      <c r="E61" s="81"/>
      <c r="F61" s="499"/>
    </row>
    <row r="62" spans="1:9">
      <c r="A62" s="663"/>
      <c r="B62" s="664"/>
      <c r="C62" s="664"/>
      <c r="D62" s="80"/>
      <c r="E62" s="81"/>
      <c r="F62" s="499"/>
    </row>
    <row r="63" spans="1:9" ht="18.75">
      <c r="A63" s="665">
        <v>1</v>
      </c>
      <c r="B63" s="666" t="s">
        <v>618</v>
      </c>
      <c r="C63" s="664"/>
      <c r="D63" s="79"/>
      <c r="E63" s="79"/>
      <c r="F63" s="499"/>
    </row>
    <row r="64" spans="1:9" ht="18.75">
      <c r="A64" s="665">
        <v>2</v>
      </c>
      <c r="B64" s="666" t="s">
        <v>619</v>
      </c>
      <c r="C64" s="664"/>
      <c r="D64" s="79"/>
      <c r="E64" s="79"/>
      <c r="F64" s="499"/>
    </row>
    <row r="65" spans="1:3" ht="18.75">
      <c r="A65" s="667"/>
      <c r="B65" s="3"/>
      <c r="C65" s="3"/>
    </row>
    <row r="66" spans="1:3">
      <c r="A66" s="211"/>
      <c r="B66" s="3"/>
      <c r="C66" s="3"/>
    </row>
  </sheetData>
  <mergeCells count="5">
    <mergeCell ref="B4:E4"/>
    <mergeCell ref="B5:E5"/>
    <mergeCell ref="B2:E2"/>
    <mergeCell ref="B3:E3"/>
    <mergeCell ref="B6:E6"/>
  </mergeCells>
  <conditionalFormatting sqref="H11:I55">
    <cfRule type="duplicateValues" dxfId="0" priority="3"/>
  </conditionalFormatting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>
      <selection activeCell="I33" sqref="I33"/>
    </sheetView>
  </sheetViews>
  <sheetFormatPr defaultColWidth="8.85546875" defaultRowHeight="15.75"/>
  <cols>
    <col min="1" max="1" width="5.140625" style="211" customWidth="1"/>
    <col min="2" max="2" width="69.140625" style="122" bestFit="1" customWidth="1"/>
    <col min="3" max="3" width="21.140625" style="284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140625" style="105" customWidth="1"/>
    <col min="9" max="9" width="20.42578125" style="122" bestFit="1" customWidth="1"/>
    <col min="10" max="16384" width="8.85546875" style="122"/>
  </cols>
  <sheetData>
    <row r="1" spans="1:9">
      <c r="B1" s="18"/>
      <c r="E1" s="276"/>
      <c r="F1" s="289"/>
      <c r="G1" s="105"/>
    </row>
    <row r="2" spans="1:9">
      <c r="B2" s="1308" t="s">
        <v>0</v>
      </c>
      <c r="C2" s="1308"/>
      <c r="D2" s="1308"/>
      <c r="E2" s="1308"/>
      <c r="F2" s="1308"/>
      <c r="G2" s="1308"/>
    </row>
    <row r="3" spans="1:9">
      <c r="B3" s="1308" t="s">
        <v>620</v>
      </c>
      <c r="C3" s="1308"/>
      <c r="D3" s="1308"/>
      <c r="E3" s="1308"/>
      <c r="F3" s="1308"/>
      <c r="G3" s="1308"/>
    </row>
    <row r="4" spans="1:9">
      <c r="B4" s="1308" t="s">
        <v>621</v>
      </c>
      <c r="C4" s="1308"/>
      <c r="D4" s="1308"/>
      <c r="E4" s="1308"/>
      <c r="F4" s="1308"/>
      <c r="G4" s="1308"/>
    </row>
    <row r="5" spans="1:9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I5" s="112"/>
    </row>
    <row r="6" spans="1:9" ht="15.75" customHeight="1">
      <c r="B6" s="1321">
        <v>-1000</v>
      </c>
      <c r="C6" s="1321"/>
      <c r="D6" s="1321"/>
      <c r="E6" s="1321"/>
      <c r="F6" s="1321"/>
      <c r="G6" s="1321"/>
    </row>
    <row r="7" spans="1:9">
      <c r="B7" s="105"/>
      <c r="D7" s="105"/>
      <c r="E7" s="105"/>
      <c r="F7" s="95"/>
      <c r="G7" s="105"/>
    </row>
    <row r="8" spans="1:9">
      <c r="A8" s="105" t="s">
        <v>4</v>
      </c>
      <c r="B8" s="95"/>
      <c r="C8" s="211" t="s">
        <v>186</v>
      </c>
      <c r="D8" s="95"/>
      <c r="E8" s="317"/>
      <c r="F8" s="95"/>
      <c r="G8" s="105"/>
      <c r="H8" s="105" t="s">
        <v>4</v>
      </c>
    </row>
    <row r="9" spans="1:9">
      <c r="A9" s="105" t="s">
        <v>5</v>
      </c>
      <c r="B9" s="95"/>
      <c r="C9" s="845" t="s">
        <v>188</v>
      </c>
      <c r="D9" s="95"/>
      <c r="E9" s="848" t="s">
        <v>7</v>
      </c>
      <c r="F9" s="95"/>
      <c r="G9" s="849" t="s">
        <v>8</v>
      </c>
      <c r="H9" s="105" t="s">
        <v>5</v>
      </c>
    </row>
    <row r="10" spans="1:9">
      <c r="A10" s="105"/>
      <c r="B10" s="95"/>
      <c r="C10" s="312"/>
      <c r="D10" s="95"/>
      <c r="E10" s="105"/>
      <c r="F10" s="95"/>
      <c r="G10" s="105"/>
    </row>
    <row r="11" spans="1:9">
      <c r="A11" s="211">
        <v>1</v>
      </c>
      <c r="B11" s="16" t="s">
        <v>622</v>
      </c>
      <c r="C11" s="105"/>
      <c r="D11" s="105"/>
      <c r="E11" s="759">
        <v>0</v>
      </c>
      <c r="F11" s="105"/>
      <c r="G11" s="288" t="s">
        <v>303</v>
      </c>
      <c r="H11" s="211">
        <f>A11</f>
        <v>1</v>
      </c>
    </row>
    <row r="12" spans="1:9">
      <c r="A12" s="211">
        <v>2</v>
      </c>
      <c r="B12" s="16"/>
      <c r="E12" s="318"/>
      <c r="F12" s="286"/>
      <c r="G12" s="288"/>
      <c r="H12" s="211">
        <f>H11+1</f>
        <v>2</v>
      </c>
    </row>
    <row r="13" spans="1:9">
      <c r="A13" s="211">
        <v>3</v>
      </c>
      <c r="B13" s="16" t="s">
        <v>623</v>
      </c>
      <c r="C13" s="105" t="s">
        <v>943</v>
      </c>
      <c r="E13" s="760">
        <v>0</v>
      </c>
      <c r="F13" s="286"/>
      <c r="G13" s="288" t="s">
        <v>303</v>
      </c>
      <c r="H13" s="211">
        <f t="shared" ref="H13:H33" si="0">H12+1</f>
        <v>3</v>
      </c>
    </row>
    <row r="14" spans="1:9">
      <c r="A14" s="211">
        <v>4</v>
      </c>
      <c r="C14" s="105"/>
      <c r="E14" s="318"/>
      <c r="F14" s="286"/>
      <c r="G14" s="288"/>
      <c r="H14" s="211">
        <f t="shared" si="0"/>
        <v>4</v>
      </c>
    </row>
    <row r="15" spans="1:9">
      <c r="A15" s="105">
        <v>5</v>
      </c>
      <c r="B15" s="16" t="s">
        <v>876</v>
      </c>
      <c r="C15" s="105" t="s">
        <v>941</v>
      </c>
      <c r="E15" s="757">
        <f>'AJ-1'!C15</f>
        <v>28495.457340000001</v>
      </c>
      <c r="F15" s="289"/>
      <c r="G15" s="288" t="str">
        <f>"AJ-1; Line "&amp;'AJ-1'!A15</f>
        <v>AJ-1; Line 1</v>
      </c>
      <c r="H15" s="211">
        <f t="shared" si="0"/>
        <v>5</v>
      </c>
    </row>
    <row r="16" spans="1:9">
      <c r="A16" s="105">
        <v>6</v>
      </c>
      <c r="B16" s="170"/>
      <c r="E16" s="295"/>
      <c r="F16" s="289"/>
      <c r="G16" s="288"/>
      <c r="H16" s="211">
        <f t="shared" si="0"/>
        <v>6</v>
      </c>
    </row>
    <row r="17" spans="1:8">
      <c r="A17" s="105">
        <v>7</v>
      </c>
      <c r="B17" s="122" t="s">
        <v>624</v>
      </c>
      <c r="C17" s="105" t="s">
        <v>942</v>
      </c>
      <c r="E17" s="320">
        <f>'AJ-2'!D15</f>
        <v>178983.4169632</v>
      </c>
      <c r="F17" s="105"/>
      <c r="G17" s="288" t="str">
        <f>"AJ-2; Line "&amp;'AJ-2'!A15</f>
        <v>AJ-2; Line 3</v>
      </c>
      <c r="H17" s="211">
        <f t="shared" si="0"/>
        <v>7</v>
      </c>
    </row>
    <row r="18" spans="1:8">
      <c r="A18" s="211">
        <v>8</v>
      </c>
      <c r="B18" s="701"/>
      <c r="E18" s="290"/>
      <c r="H18" s="211">
        <f t="shared" si="0"/>
        <v>8</v>
      </c>
    </row>
    <row r="19" spans="1:8">
      <c r="A19" s="211">
        <v>9</v>
      </c>
      <c r="B19" s="122" t="s">
        <v>195</v>
      </c>
      <c r="C19" s="105"/>
      <c r="E19" s="859">
        <f>'Stmt AI'!E27</f>
        <v>0.11129405685920617</v>
      </c>
      <c r="G19" s="211" t="str">
        <f>"Statement AI; Line "&amp;'Stmt AI'!A27</f>
        <v>Statement AI; Line 17</v>
      </c>
      <c r="H19" s="211">
        <f t="shared" si="0"/>
        <v>9</v>
      </c>
    </row>
    <row r="20" spans="1:8">
      <c r="A20" s="211">
        <v>10</v>
      </c>
      <c r="E20" s="758"/>
      <c r="H20" s="211">
        <f t="shared" si="0"/>
        <v>10</v>
      </c>
    </row>
    <row r="21" spans="1:8">
      <c r="A21" s="211">
        <v>11</v>
      </c>
      <c r="B21" s="122" t="s">
        <v>625</v>
      </c>
      <c r="E21" s="806">
        <f>E13*$E$19</f>
        <v>0</v>
      </c>
      <c r="G21" s="375" t="str">
        <f>"Line "&amp;A13&amp;" x Line "&amp;A19</f>
        <v>Line 3 x Line 9</v>
      </c>
      <c r="H21" s="211">
        <f t="shared" si="0"/>
        <v>11</v>
      </c>
    </row>
    <row r="22" spans="1:8">
      <c r="A22" s="211">
        <v>12</v>
      </c>
      <c r="E22" s="807"/>
      <c r="G22" s="366"/>
      <c r="H22" s="211">
        <f t="shared" si="0"/>
        <v>12</v>
      </c>
    </row>
    <row r="23" spans="1:8">
      <c r="A23" s="211">
        <v>13</v>
      </c>
      <c r="B23" s="122" t="s">
        <v>873</v>
      </c>
      <c r="E23" s="806">
        <f>E15*$E$19</f>
        <v>3171.3750494270439</v>
      </c>
      <c r="G23" s="375" t="str">
        <f>"Line "&amp;A15&amp;" x Line "&amp;A19</f>
        <v>Line 5 x Line 9</v>
      </c>
      <c r="H23" s="211">
        <f t="shared" si="0"/>
        <v>13</v>
      </c>
    </row>
    <row r="24" spans="1:8">
      <c r="A24" s="211">
        <v>14</v>
      </c>
      <c r="B24" s="122" t="s">
        <v>183</v>
      </c>
      <c r="E24" s="808"/>
      <c r="G24" s="366"/>
      <c r="H24" s="211">
        <f t="shared" si="0"/>
        <v>14</v>
      </c>
    </row>
    <row r="25" spans="1:8">
      <c r="A25" s="211">
        <v>15</v>
      </c>
      <c r="B25" s="122" t="s">
        <v>626</v>
      </c>
      <c r="E25" s="877">
        <f>E17*$E$19</f>
        <v>19919.790584357386</v>
      </c>
      <c r="G25" s="375" t="str">
        <f>"Line "&amp;A17&amp;" x Line "&amp;A19</f>
        <v>Line 7 x Line 9</v>
      </c>
      <c r="H25" s="211">
        <f t="shared" si="0"/>
        <v>15</v>
      </c>
    </row>
    <row r="26" spans="1:8">
      <c r="A26" s="211">
        <v>16</v>
      </c>
      <c r="E26" s="321"/>
      <c r="H26" s="211">
        <f t="shared" si="0"/>
        <v>16</v>
      </c>
    </row>
    <row r="27" spans="1:8" ht="16.5" thickBot="1">
      <c r="A27" s="211">
        <v>17</v>
      </c>
      <c r="B27" s="122" t="s">
        <v>627</v>
      </c>
      <c r="E27" s="984">
        <f>E11+E21+E23+E25</f>
        <v>23091.165633784429</v>
      </c>
      <c r="G27" s="288" t="str">
        <f>"Line "&amp;A11&amp;" + (Sum Lines "&amp;A21&amp;" thru "&amp;A25&amp;")"</f>
        <v>Line 1 + (Sum Lines 11 thru 15)</v>
      </c>
      <c r="H27" s="211">
        <f t="shared" si="0"/>
        <v>17</v>
      </c>
    </row>
    <row r="28" spans="1:8" ht="16.5" thickTop="1">
      <c r="A28" s="211">
        <v>18</v>
      </c>
      <c r="E28" s="285"/>
      <c r="H28" s="211">
        <f t="shared" si="0"/>
        <v>18</v>
      </c>
    </row>
    <row r="29" spans="1:8" ht="16.5" thickBot="1">
      <c r="A29" s="211">
        <v>19</v>
      </c>
      <c r="B29" s="122" t="s">
        <v>628</v>
      </c>
      <c r="E29" s="755">
        <v>0</v>
      </c>
      <c r="G29" s="105" t="s">
        <v>303</v>
      </c>
      <c r="H29" s="211">
        <f t="shared" si="0"/>
        <v>19</v>
      </c>
    </row>
    <row r="30" spans="1:8" ht="16.5" thickTop="1">
      <c r="A30" s="211">
        <v>20</v>
      </c>
      <c r="H30" s="211">
        <f t="shared" si="0"/>
        <v>20</v>
      </c>
    </row>
    <row r="31" spans="1:8" ht="19.5" thickBot="1">
      <c r="A31" s="211">
        <v>21</v>
      </c>
      <c r="B31" s="122" t="s">
        <v>970</v>
      </c>
      <c r="E31" s="985">
        <v>0</v>
      </c>
      <c r="G31" s="105" t="str">
        <f>"Not Applicable to "&amp;Automation!B3&amp;" Base Period"</f>
        <v>Not Applicable to 2024 Base Period</v>
      </c>
      <c r="H31" s="211">
        <f t="shared" si="0"/>
        <v>21</v>
      </c>
    </row>
    <row r="32" spans="1:8" ht="16.5" thickTop="1">
      <c r="A32" s="211">
        <v>22</v>
      </c>
      <c r="E32" s="295"/>
      <c r="H32" s="211">
        <f t="shared" si="0"/>
        <v>22</v>
      </c>
    </row>
    <row r="33" spans="1:9" ht="16.5" thickBot="1">
      <c r="A33" s="211">
        <v>23</v>
      </c>
      <c r="B33" s="122" t="s">
        <v>629</v>
      </c>
      <c r="E33" s="755">
        <v>0</v>
      </c>
      <c r="G33" s="105" t="s">
        <v>303</v>
      </c>
      <c r="H33" s="211">
        <f t="shared" si="0"/>
        <v>23</v>
      </c>
    </row>
    <row r="34" spans="1:9" ht="16.5" thickTop="1"/>
    <row r="36" spans="1:9" ht="18.75">
      <c r="A36" s="405">
        <v>1</v>
      </c>
      <c r="B36" s="122" t="s">
        <v>630</v>
      </c>
      <c r="I36" s="17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1" orientation="portrait" r:id="rId1"/>
  <headerFooter scaleWithDoc="0">
    <oddFooter>&amp;C&amp;"Times New Roman,Regular"&amp;10AJ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>
      <selection activeCell="C15" sqref="C15"/>
    </sheetView>
  </sheetViews>
  <sheetFormatPr defaultColWidth="9.140625" defaultRowHeight="15.75"/>
  <cols>
    <col min="1" max="1" width="5.140625" style="95" customWidth="1"/>
    <col min="2" max="2" width="32.42578125" style="96" customWidth="1"/>
    <col min="3" max="3" width="21" style="96" customWidth="1"/>
    <col min="4" max="4" width="61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631</v>
      </c>
      <c r="C3" s="1308"/>
      <c r="D3" s="1308"/>
    </row>
    <row r="4" spans="1:9">
      <c r="B4" s="1308" t="s">
        <v>632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B8" s="1308" t="s">
        <v>288</v>
      </c>
      <c r="C8" s="1308"/>
      <c r="D8" s="1308"/>
    </row>
    <row r="10" spans="1:9">
      <c r="B10" s="940"/>
      <c r="C10" s="959" t="s">
        <v>374</v>
      </c>
      <c r="D10" s="955"/>
      <c r="E10" s="105"/>
    </row>
    <row r="11" spans="1:9">
      <c r="A11" s="105"/>
      <c r="B11" s="102"/>
      <c r="C11" s="102" t="s">
        <v>633</v>
      </c>
      <c r="D11" s="104"/>
      <c r="E11" s="105"/>
    </row>
    <row r="12" spans="1:9">
      <c r="A12" s="105" t="s">
        <v>4</v>
      </c>
      <c r="B12" s="102"/>
      <c r="C12" s="102" t="s">
        <v>235</v>
      </c>
      <c r="D12" s="104"/>
      <c r="E12" s="105" t="s">
        <v>4</v>
      </c>
    </row>
    <row r="13" spans="1:9">
      <c r="A13" s="105" t="s">
        <v>5</v>
      </c>
      <c r="B13" s="986" t="s">
        <v>123</v>
      </c>
      <c r="C13" s="986" t="s">
        <v>634</v>
      </c>
      <c r="D13" s="986" t="s">
        <v>8</v>
      </c>
      <c r="E13" s="105" t="s">
        <v>5</v>
      </c>
    </row>
    <row r="14" spans="1:9">
      <c r="A14" s="105"/>
      <c r="B14" s="106"/>
      <c r="C14" s="172"/>
      <c r="D14" s="178"/>
      <c r="E14" s="105"/>
    </row>
    <row r="15" spans="1:9">
      <c r="A15" s="105">
        <v>1</v>
      </c>
      <c r="B15" s="266" t="str">
        <f>"Dec-"&amp;RIGHT(Automation!$B$3,2)</f>
        <v>Dec-24</v>
      </c>
      <c r="C15" s="801">
        <v>28495.457340000001</v>
      </c>
      <c r="D15" s="143" t="s">
        <v>944</v>
      </c>
      <c r="E15" s="105">
        <f>A15</f>
        <v>1</v>
      </c>
      <c r="F15" s="170"/>
      <c r="H15" s="347"/>
      <c r="I15" s="1148"/>
    </row>
    <row r="16" spans="1:9">
      <c r="A16" s="105">
        <f>A15+1</f>
        <v>2</v>
      </c>
      <c r="B16" s="987"/>
      <c r="C16" s="988"/>
      <c r="D16" s="988"/>
      <c r="E16" s="105">
        <f>E15+1</f>
        <v>2</v>
      </c>
    </row>
    <row r="17" spans="1:6">
      <c r="A17" s="105"/>
      <c r="B17" s="122"/>
      <c r="C17" s="177"/>
      <c r="D17" s="122"/>
      <c r="E17" s="105"/>
    </row>
    <row r="18" spans="1:6">
      <c r="B18" s="122"/>
      <c r="C18" s="122"/>
      <c r="D18" s="122"/>
    </row>
    <row r="19" spans="1:6" ht="18.75">
      <c r="A19" s="121"/>
      <c r="B19" s="122"/>
      <c r="C19" s="122"/>
      <c r="D19" s="122"/>
      <c r="F19" s="170"/>
    </row>
    <row r="20" spans="1:6">
      <c r="B20" s="122"/>
      <c r="C20" s="122"/>
      <c r="D20" s="122"/>
    </row>
    <row r="21" spans="1:6">
      <c r="B21" s="122"/>
      <c r="C21" s="122"/>
      <c r="D21" s="122"/>
    </row>
    <row r="22" spans="1:6">
      <c r="B22" s="122"/>
      <c r="C22" s="122"/>
      <c r="D22" s="122"/>
      <c r="F22" s="170"/>
    </row>
    <row r="23" spans="1:6">
      <c r="B23" s="122"/>
      <c r="C23" s="122"/>
      <c r="D23" s="122"/>
      <c r="F23" s="170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 s="122" customFormat="1">
      <c r="A31" s="105"/>
      <c r="E31" s="105"/>
    </row>
    <row r="32" spans="1:6" s="122" customFormat="1">
      <c r="A32" s="105"/>
      <c r="E32" s="105"/>
    </row>
    <row r="33" spans="1:5" s="122" customFormat="1">
      <c r="A33" s="105"/>
      <c r="E33" s="105"/>
    </row>
    <row r="34" spans="1:5" s="122" customFormat="1">
      <c r="A34" s="105"/>
      <c r="E34" s="105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>
      <selection activeCell="E32" sqref="E32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631</v>
      </c>
      <c r="C3" s="1308"/>
      <c r="D3" s="1308"/>
      <c r="E3" s="1308"/>
    </row>
    <row r="4" spans="1:7">
      <c r="B4" s="1308" t="s">
        <v>632</v>
      </c>
      <c r="C4" s="1308"/>
      <c r="D4" s="1308"/>
      <c r="E4" s="1308"/>
    </row>
    <row r="5" spans="1:7">
      <c r="B5" s="1322" t="str">
        <f>"BASE PERIOD / TRUE UP PERIOD - 12/31/"&amp;Automation!$B$3&amp;" PER BOOK"</f>
        <v>BASE PERIOD / TRUE UP PERIOD - 12/31/2024 PER BOOK</v>
      </c>
      <c r="C5" s="1322"/>
      <c r="D5" s="1322"/>
      <c r="E5" s="1322"/>
      <c r="F5" s="1108"/>
    </row>
    <row r="6" spans="1:7">
      <c r="B6" s="1323" t="s">
        <v>3</v>
      </c>
      <c r="C6" s="1323"/>
      <c r="D6" s="1323"/>
      <c r="E6" s="1323"/>
      <c r="F6" s="1108"/>
      <c r="G6"/>
    </row>
    <row r="7" spans="1:7">
      <c r="B7" s="454"/>
      <c r="C7" s="454"/>
      <c r="D7" s="454"/>
      <c r="E7" s="454"/>
      <c r="F7" s="1108"/>
    </row>
    <row r="8" spans="1:7">
      <c r="B8" s="1322" t="s">
        <v>290</v>
      </c>
      <c r="C8" s="1322"/>
      <c r="D8" s="1322"/>
      <c r="E8" s="1322"/>
      <c r="F8" s="1108"/>
    </row>
    <row r="9" spans="1:7">
      <c r="B9" s="453"/>
      <c r="C9" s="453"/>
      <c r="D9" s="453"/>
      <c r="E9" s="453"/>
      <c r="F9" s="1108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956"/>
      <c r="E12" s="793"/>
      <c r="F12" s="500"/>
    </row>
    <row r="13" spans="1:7">
      <c r="A13" s="105">
        <v>1</v>
      </c>
      <c r="B13" s="952" t="str">
        <f>"Dec-"&amp;RIGHT(Automation!$B$3,2)</f>
        <v>Dec-24</v>
      </c>
      <c r="C13" s="952" t="s">
        <v>291</v>
      </c>
      <c r="D13" s="1202">
        <v>242295.136</v>
      </c>
      <c r="E13" s="793" t="s">
        <v>1041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0.73870000000000002</v>
      </c>
      <c r="E14" s="459" t="s">
        <v>1042</v>
      </c>
      <c r="F14" s="105">
        <f>F13+1</f>
        <v>2</v>
      </c>
    </row>
    <row r="15" spans="1:7">
      <c r="A15" s="105">
        <f t="shared" ref="A15:A16" si="0">A14+1</f>
        <v>3</v>
      </c>
      <c r="B15" s="952"/>
      <c r="C15" s="952" t="s">
        <v>635</v>
      </c>
      <c r="D15" s="455">
        <f>D13*D14</f>
        <v>178983.4169632</v>
      </c>
      <c r="E15" s="143" t="s">
        <v>945</v>
      </c>
      <c r="F15" s="105">
        <f t="shared" ref="F15:F16" si="1">F14+1</f>
        <v>3</v>
      </c>
    </row>
    <row r="16" spans="1:7">
      <c r="A16" s="105">
        <f t="shared" si="0"/>
        <v>4</v>
      </c>
      <c r="B16" s="991"/>
      <c r="C16" s="989"/>
      <c r="D16" s="991"/>
      <c r="E16" s="992"/>
      <c r="F16" s="105">
        <f t="shared" si="1"/>
        <v>4</v>
      </c>
    </row>
    <row r="17" spans="1:6">
      <c r="A17" s="105"/>
      <c r="B17" s="122"/>
      <c r="C17" s="122"/>
      <c r="D17" s="145"/>
      <c r="E17" s="122"/>
      <c r="F17" s="105"/>
    </row>
    <row r="18" spans="1:6">
      <c r="B18" s="122"/>
      <c r="C18" s="122"/>
      <c r="D18" s="122"/>
      <c r="E18" s="122"/>
      <c r="F18" s="105"/>
    </row>
    <row r="19" spans="1:6">
      <c r="B19" s="122"/>
      <c r="C19" s="122"/>
      <c r="D19" s="122"/>
      <c r="E19" s="122"/>
    </row>
    <row r="20" spans="1:6">
      <c r="B20" s="122"/>
      <c r="C20" s="122"/>
      <c r="D20" s="122"/>
      <c r="E20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>
      <selection activeCell="I39" sqref="I39"/>
    </sheetView>
  </sheetViews>
  <sheetFormatPr defaultColWidth="8.85546875" defaultRowHeight="15.75"/>
  <cols>
    <col min="1" max="1" width="5.42578125" style="105" bestFit="1" customWidth="1"/>
    <col min="2" max="2" width="62.42578125" style="122" customWidth="1"/>
    <col min="3" max="3" width="25.85546875" style="122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bestFit="1" customWidth="1"/>
    <col min="9" max="9" width="8.85546875" style="122"/>
    <col min="10" max="10" width="19.42578125" style="122" customWidth="1"/>
    <col min="11" max="11" width="17.85546875" style="122" customWidth="1"/>
    <col min="12" max="12" width="17.5703125" style="122" customWidth="1"/>
    <col min="13" max="16384" width="8.85546875" style="122"/>
  </cols>
  <sheetData>
    <row r="1" spans="1:11">
      <c r="A1" s="105" t="s">
        <v>183</v>
      </c>
      <c r="G1" s="105"/>
      <c r="H1" s="105"/>
    </row>
    <row r="2" spans="1:11">
      <c r="B2" s="1308" t="s">
        <v>0</v>
      </c>
      <c r="C2" s="1308"/>
      <c r="D2" s="1308"/>
      <c r="E2" s="1308"/>
      <c r="F2" s="1308"/>
      <c r="G2" s="1308"/>
      <c r="H2" s="105"/>
    </row>
    <row r="3" spans="1:11">
      <c r="B3" s="1308" t="s">
        <v>636</v>
      </c>
      <c r="C3" s="1308"/>
      <c r="D3" s="1308"/>
      <c r="E3" s="1308"/>
      <c r="F3" s="1308"/>
      <c r="G3" s="1308"/>
      <c r="H3" s="105"/>
    </row>
    <row r="4" spans="1:11">
      <c r="B4" s="1308" t="s">
        <v>637</v>
      </c>
      <c r="C4" s="1308"/>
      <c r="D4" s="1308"/>
      <c r="E4" s="1308"/>
      <c r="F4" s="1308"/>
      <c r="G4" s="1308"/>
      <c r="H4" s="105"/>
    </row>
    <row r="5" spans="1:11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05"/>
      <c r="J5" s="112"/>
    </row>
    <row r="6" spans="1:11">
      <c r="B6" s="1312" t="s">
        <v>3</v>
      </c>
      <c r="C6" s="1309"/>
      <c r="D6" s="1309"/>
      <c r="E6" s="1309"/>
      <c r="F6" s="1309"/>
      <c r="G6" s="1309"/>
      <c r="H6" s="105"/>
    </row>
    <row r="7" spans="1:11">
      <c r="B7" s="105"/>
      <c r="C7" s="105"/>
      <c r="D7" s="105"/>
      <c r="E7" s="105"/>
      <c r="F7" s="105"/>
      <c r="G7" s="105"/>
      <c r="H7" s="105"/>
    </row>
    <row r="8" spans="1:11">
      <c r="A8" s="105" t="s">
        <v>4</v>
      </c>
      <c r="B8" s="95"/>
      <c r="C8" s="211" t="s">
        <v>186</v>
      </c>
      <c r="D8" s="95"/>
      <c r="E8" s="95"/>
      <c r="F8" s="95"/>
      <c r="G8" s="105"/>
      <c r="H8" s="105" t="s">
        <v>4</v>
      </c>
    </row>
    <row r="9" spans="1:11">
      <c r="A9" s="105" t="s">
        <v>5</v>
      </c>
      <c r="B9" s="95"/>
      <c r="C9" s="845" t="s">
        <v>188</v>
      </c>
      <c r="D9" s="95"/>
      <c r="E9" s="848" t="s">
        <v>7</v>
      </c>
      <c r="F9" s="95"/>
      <c r="G9" s="849" t="s">
        <v>8</v>
      </c>
      <c r="H9" s="105" t="s">
        <v>5</v>
      </c>
    </row>
    <row r="10" spans="1:11">
      <c r="B10" s="105"/>
      <c r="C10" s="105"/>
      <c r="D10" s="105"/>
      <c r="E10" s="105"/>
      <c r="F10" s="95"/>
      <c r="G10" s="105"/>
      <c r="H10" s="105"/>
    </row>
    <row r="11" spans="1:11" ht="18.75">
      <c r="A11" s="105">
        <v>1</v>
      </c>
      <c r="B11" s="122" t="s">
        <v>638</v>
      </c>
      <c r="C11" s="211" t="s">
        <v>946</v>
      </c>
      <c r="E11" s="287">
        <v>204816.72831999999</v>
      </c>
      <c r="F11" s="95"/>
      <c r="G11" s="288"/>
      <c r="H11" s="105">
        <f>A11</f>
        <v>1</v>
      </c>
      <c r="K11" s="148"/>
    </row>
    <row r="12" spans="1:11" ht="16.350000000000001" customHeight="1">
      <c r="A12" s="105">
        <f>+A11+1</f>
        <v>2</v>
      </c>
      <c r="E12" s="307"/>
      <c r="F12" s="95"/>
      <c r="G12" s="308"/>
      <c r="H12" s="105">
        <f>+H11+1</f>
        <v>2</v>
      </c>
    </row>
    <row r="13" spans="1:11" ht="18.75">
      <c r="A13" s="105">
        <f t="shared" ref="A13:A38" si="0">+A12+1</f>
        <v>3</v>
      </c>
      <c r="B13" s="122" t="s">
        <v>639</v>
      </c>
      <c r="C13" s="211"/>
      <c r="E13" s="875">
        <v>0</v>
      </c>
      <c r="F13" s="95"/>
      <c r="G13" s="288" t="str">
        <f>"Not Applicable to "&amp;Automation!B3&amp;" Base Period"</f>
        <v>Not Applicable to 2024 Base Period</v>
      </c>
      <c r="H13" s="105">
        <f t="shared" ref="H13:H38" si="1">+H12+1</f>
        <v>3</v>
      </c>
    </row>
    <row r="14" spans="1:11">
      <c r="A14" s="105">
        <f t="shared" si="0"/>
        <v>4</v>
      </c>
      <c r="E14" s="309"/>
      <c r="F14" s="95"/>
      <c r="H14" s="105">
        <f t="shared" si="1"/>
        <v>4</v>
      </c>
      <c r="K14" s="804"/>
    </row>
    <row r="15" spans="1:11">
      <c r="A15" s="105">
        <f t="shared" si="0"/>
        <v>5</v>
      </c>
      <c r="B15" s="122" t="s">
        <v>640</v>
      </c>
      <c r="E15" s="307">
        <f>E11+E13</f>
        <v>204816.72831999999</v>
      </c>
      <c r="F15" s="95"/>
      <c r="G15" s="288" t="str">
        <f>"Line "&amp;A11&amp;" + Line "&amp;A13</f>
        <v>Line 1 + Line 3</v>
      </c>
      <c r="H15" s="105">
        <f t="shared" si="1"/>
        <v>5</v>
      </c>
    </row>
    <row r="16" spans="1:11">
      <c r="A16" s="105">
        <f t="shared" si="0"/>
        <v>6</v>
      </c>
      <c r="E16" s="307"/>
      <c r="F16" s="95"/>
      <c r="G16" s="288"/>
      <c r="H16" s="105">
        <f t="shared" si="1"/>
        <v>6</v>
      </c>
    </row>
    <row r="17" spans="1:10">
      <c r="A17" s="105">
        <f t="shared" si="0"/>
        <v>7</v>
      </c>
      <c r="B17" s="315" t="s">
        <v>641</v>
      </c>
      <c r="C17" s="211" t="s">
        <v>1006</v>
      </c>
      <c r="E17" s="1071">
        <v>940.81899999999996</v>
      </c>
      <c r="F17" s="95"/>
      <c r="G17" s="5"/>
      <c r="H17" s="105">
        <f t="shared" si="1"/>
        <v>7</v>
      </c>
      <c r="J17" s="170"/>
    </row>
    <row r="18" spans="1:10">
      <c r="A18" s="105">
        <f t="shared" si="0"/>
        <v>8</v>
      </c>
      <c r="B18" s="315"/>
      <c r="E18" s="316"/>
      <c r="F18" s="95"/>
      <c r="G18" s="288"/>
      <c r="H18" s="105">
        <f t="shared" si="1"/>
        <v>8</v>
      </c>
      <c r="J18" s="170"/>
    </row>
    <row r="19" spans="1:10">
      <c r="A19" s="105">
        <f t="shared" si="0"/>
        <v>9</v>
      </c>
      <c r="B19" s="16" t="s">
        <v>642</v>
      </c>
      <c r="E19" s="316">
        <f>E15+E17</f>
        <v>205757.54731999998</v>
      </c>
      <c r="F19" s="95"/>
      <c r="G19" s="288" t="str">
        <f>"Line "&amp;A15&amp;" + Line "&amp;A17</f>
        <v>Line 5 + Line 7</v>
      </c>
      <c r="H19" s="105">
        <f t="shared" si="1"/>
        <v>9</v>
      </c>
      <c r="J19" s="170"/>
    </row>
    <row r="20" spans="1:10">
      <c r="A20" s="105">
        <f t="shared" si="0"/>
        <v>10</v>
      </c>
      <c r="E20" s="307"/>
      <c r="F20" s="95"/>
      <c r="H20" s="105">
        <f t="shared" si="1"/>
        <v>10</v>
      </c>
    </row>
    <row r="21" spans="1:10" ht="18.75">
      <c r="A21" s="105">
        <f t="shared" si="0"/>
        <v>11</v>
      </c>
      <c r="B21" s="122" t="s">
        <v>643</v>
      </c>
      <c r="C21" s="211"/>
      <c r="E21" s="875">
        <v>0</v>
      </c>
      <c r="F21" s="95"/>
      <c r="G21" s="288" t="str">
        <f>G13</f>
        <v>Not Applicable to 2024 Base Period</v>
      </c>
      <c r="H21" s="105">
        <f t="shared" si="1"/>
        <v>11</v>
      </c>
      <c r="J21" s="310"/>
    </row>
    <row r="22" spans="1:10">
      <c r="A22" s="105">
        <f t="shared" si="0"/>
        <v>12</v>
      </c>
      <c r="E22" s="1135"/>
      <c r="F22" s="95"/>
      <c r="G22" s="288"/>
      <c r="H22" s="105">
        <f t="shared" si="1"/>
        <v>12</v>
      </c>
    </row>
    <row r="23" spans="1:10" ht="16.5" thickBot="1">
      <c r="A23" s="105">
        <f t="shared" si="0"/>
        <v>13</v>
      </c>
      <c r="B23" s="122" t="s">
        <v>644</v>
      </c>
      <c r="C23" s="211"/>
      <c r="D23" s="177"/>
      <c r="E23" s="993">
        <f>E19+E21</f>
        <v>205757.54731999998</v>
      </c>
      <c r="F23" s="95"/>
      <c r="G23" s="288" t="str">
        <f>"Line "&amp;A19&amp;" + Line "&amp;A21</f>
        <v>Line 9 + Line 11</v>
      </c>
      <c r="H23" s="105">
        <f t="shared" si="1"/>
        <v>13</v>
      </c>
      <c r="J23" s="311"/>
    </row>
    <row r="24" spans="1:10" ht="16.5" thickTop="1">
      <c r="A24" s="105">
        <f t="shared" si="0"/>
        <v>14</v>
      </c>
      <c r="C24" s="177"/>
      <c r="D24" s="177"/>
      <c r="F24" s="95"/>
      <c r="G24" s="105"/>
      <c r="H24" s="105">
        <f t="shared" si="1"/>
        <v>14</v>
      </c>
    </row>
    <row r="25" spans="1:10">
      <c r="A25" s="105">
        <f t="shared" si="0"/>
        <v>15</v>
      </c>
      <c r="B25" s="17" t="s">
        <v>645</v>
      </c>
      <c r="C25" s="177"/>
      <c r="D25" s="177"/>
      <c r="E25" s="1073">
        <f>'Stmt AH'!E68</f>
        <v>0.36938893455511451</v>
      </c>
      <c r="F25" s="95"/>
      <c r="G25" s="69" t="str">
        <f>"Statement AH; Line "&amp;'Stmt AH'!A68</f>
        <v>Statement AH; Line 58</v>
      </c>
      <c r="H25" s="105">
        <f t="shared" si="1"/>
        <v>15</v>
      </c>
    </row>
    <row r="26" spans="1:10">
      <c r="A26" s="105">
        <f t="shared" si="0"/>
        <v>16</v>
      </c>
      <c r="B26" s="697"/>
      <c r="C26" s="177"/>
      <c r="D26" s="177"/>
      <c r="E26" s="373"/>
      <c r="F26" s="95"/>
      <c r="G26" s="69"/>
      <c r="H26" s="105">
        <f t="shared" si="1"/>
        <v>16</v>
      </c>
    </row>
    <row r="27" spans="1:10" ht="16.5" thickBot="1">
      <c r="A27" s="105">
        <f t="shared" si="0"/>
        <v>17</v>
      </c>
      <c r="B27" s="16" t="s">
        <v>646</v>
      </c>
      <c r="C27" s="177"/>
      <c r="D27" s="177"/>
      <c r="E27" s="994">
        <f>E23*E25</f>
        <v>76004.561181208352</v>
      </c>
      <c r="G27" s="5" t="str">
        <f>"Line "&amp;A23&amp;" x Line "&amp;A25</f>
        <v>Line 13 x Line 15</v>
      </c>
      <c r="H27" s="105">
        <f t="shared" si="1"/>
        <v>17</v>
      </c>
    </row>
    <row r="28" spans="1:10" ht="17.25" thickTop="1" thickBot="1">
      <c r="A28" s="105">
        <f t="shared" si="0"/>
        <v>18</v>
      </c>
      <c r="B28" s="899"/>
      <c r="C28" s="900"/>
      <c r="D28" s="900"/>
      <c r="E28" s="901"/>
      <c r="F28" s="902"/>
      <c r="G28" s="903"/>
      <c r="H28" s="105">
        <f t="shared" si="1"/>
        <v>18</v>
      </c>
    </row>
    <row r="29" spans="1:10">
      <c r="A29" s="105">
        <f t="shared" si="0"/>
        <v>19</v>
      </c>
      <c r="C29" s="177"/>
      <c r="D29" s="177"/>
      <c r="H29" s="105">
        <f t="shared" si="1"/>
        <v>19</v>
      </c>
    </row>
    <row r="30" spans="1:10" ht="18.75">
      <c r="A30" s="105">
        <f t="shared" si="0"/>
        <v>20</v>
      </c>
      <c r="B30" s="122" t="s">
        <v>647</v>
      </c>
      <c r="C30" s="211" t="s">
        <v>947</v>
      </c>
      <c r="E30" s="287">
        <v>19902.717280000001</v>
      </c>
      <c r="F30" s="95"/>
      <c r="G30" s="4"/>
      <c r="H30" s="105">
        <f t="shared" si="1"/>
        <v>20</v>
      </c>
    </row>
    <row r="31" spans="1:10">
      <c r="A31" s="105">
        <f t="shared" si="0"/>
        <v>21</v>
      </c>
      <c r="E31" s="276"/>
      <c r="F31" s="95"/>
      <c r="G31" s="4"/>
      <c r="H31" s="105">
        <f t="shared" si="1"/>
        <v>21</v>
      </c>
    </row>
    <row r="32" spans="1:10">
      <c r="A32" s="105">
        <f t="shared" si="0"/>
        <v>22</v>
      </c>
      <c r="B32" s="315" t="s">
        <v>648</v>
      </c>
      <c r="C32" s="211" t="s">
        <v>1003</v>
      </c>
      <c r="E32" s="1071">
        <v>25.9</v>
      </c>
      <c r="F32" s="95"/>
      <c r="G32" s="5"/>
      <c r="H32" s="105">
        <f t="shared" si="1"/>
        <v>22</v>
      </c>
      <c r="J32" s="170"/>
    </row>
    <row r="33" spans="1:10">
      <c r="A33" s="105">
        <f t="shared" si="0"/>
        <v>23</v>
      </c>
      <c r="B33" s="315"/>
      <c r="E33" s="60"/>
      <c r="F33" s="95"/>
      <c r="G33" s="4"/>
      <c r="H33" s="105">
        <f t="shared" si="1"/>
        <v>23</v>
      </c>
      <c r="J33" s="170"/>
    </row>
    <row r="34" spans="1:10">
      <c r="A34" s="105">
        <f t="shared" si="0"/>
        <v>24</v>
      </c>
      <c r="B34" s="315" t="s">
        <v>649</v>
      </c>
      <c r="E34" s="60">
        <f>E30+E32</f>
        <v>19928.617280000002</v>
      </c>
      <c r="F34" s="95"/>
      <c r="G34" s="4" t="str">
        <f>"Line "&amp;A30&amp;" + Line "&amp;A32</f>
        <v>Line 20 + Line 22</v>
      </c>
      <c r="H34" s="105">
        <f t="shared" si="1"/>
        <v>24</v>
      </c>
      <c r="J34" s="170"/>
    </row>
    <row r="35" spans="1:10">
      <c r="A35" s="105">
        <f t="shared" si="0"/>
        <v>25</v>
      </c>
      <c r="E35" s="276"/>
      <c r="F35" s="95"/>
      <c r="G35" s="4"/>
      <c r="H35" s="105">
        <f t="shared" si="1"/>
        <v>25</v>
      </c>
    </row>
    <row r="36" spans="1:10">
      <c r="A36" s="105">
        <f t="shared" si="0"/>
        <v>26</v>
      </c>
      <c r="B36" s="122" t="s">
        <v>195</v>
      </c>
      <c r="E36" s="851">
        <f>'Stmt AI'!E27</f>
        <v>0.11129405685920617</v>
      </c>
      <c r="F36" s="95"/>
      <c r="G36" s="4" t="str">
        <f>"Statement AI; Line "&amp;'Stmt AI'!A27</f>
        <v>Statement AI; Line 17</v>
      </c>
      <c r="H36" s="105">
        <f t="shared" si="1"/>
        <v>26</v>
      </c>
    </row>
    <row r="37" spans="1:10">
      <c r="A37" s="105">
        <f t="shared" si="0"/>
        <v>27</v>
      </c>
      <c r="E37" s="313"/>
      <c r="F37" s="95"/>
      <c r="G37" s="4"/>
      <c r="H37" s="105">
        <f t="shared" si="1"/>
        <v>27</v>
      </c>
    </row>
    <row r="38" spans="1:10" ht="16.5" thickBot="1">
      <c r="A38" s="105">
        <f t="shared" si="0"/>
        <v>28</v>
      </c>
      <c r="B38" s="122" t="s">
        <v>650</v>
      </c>
      <c r="E38" s="995">
        <f>E34*E36</f>
        <v>2217.9366646856788</v>
      </c>
      <c r="F38" s="95"/>
      <c r="G38" s="5" t="str">
        <f>"Line "&amp;A34&amp;" x Line "&amp;A36</f>
        <v>Line 24 x Line 26</v>
      </c>
      <c r="H38" s="105">
        <f t="shared" si="1"/>
        <v>28</v>
      </c>
    </row>
    <row r="39" spans="1:10" ht="16.5" thickTop="1">
      <c r="E39" s="314"/>
      <c r="F39" s="95"/>
      <c r="G39" s="668"/>
      <c r="H39" s="105"/>
      <c r="J39" s="211"/>
    </row>
    <row r="40" spans="1:10">
      <c r="B40" s="122" t="s">
        <v>183</v>
      </c>
      <c r="E40" s="276"/>
      <c r="F40" s="276"/>
      <c r="J40" s="177"/>
    </row>
    <row r="41" spans="1:10" ht="18.75">
      <c r="A41" s="121">
        <v>1</v>
      </c>
      <c r="B41" s="122" t="s">
        <v>979</v>
      </c>
    </row>
    <row r="42" spans="1:10" ht="18.75">
      <c r="A42" s="121">
        <v>2</v>
      </c>
      <c r="B42" s="122" t="s">
        <v>948</v>
      </c>
    </row>
    <row r="43" spans="1:10" ht="18.75">
      <c r="A43" s="121">
        <v>3</v>
      </c>
      <c r="B43" s="122" t="s">
        <v>651</v>
      </c>
    </row>
    <row r="44" spans="1:10" ht="18.75">
      <c r="A44" s="121">
        <v>4</v>
      </c>
      <c r="B44" s="122" t="s">
        <v>980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.75">
      <c r="B48" s="121"/>
      <c r="C48" s="16"/>
    </row>
    <row r="49" spans="2:3" ht="18.75">
      <c r="B49" s="121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42578125" style="211" customWidth="1"/>
    <col min="2" max="2" width="12.5703125" style="191" customWidth="1"/>
    <col min="3" max="3" width="20" style="191" customWidth="1"/>
    <col min="4" max="7" width="21.5703125" style="191" customWidth="1"/>
    <col min="8" max="8" width="22.5703125" style="191" bestFit="1" customWidth="1"/>
    <col min="9" max="13" width="21.5703125" style="191" customWidth="1"/>
    <col min="14" max="14" width="5.42578125" style="21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4">
      <c r="I1" s="210"/>
    </row>
    <row r="2" spans="1:14">
      <c r="B2" s="1303" t="str">
        <f>'Summary of Cost Components'!B2:D2</f>
        <v>SAN DIEGO GAS &amp; ELECTRIC COMPANY</v>
      </c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</row>
    <row r="3" spans="1:14">
      <c r="B3" s="1290" t="str">
        <f>'Summary of Cost Components'!B3:D3</f>
        <v>CITIZENS' SHARE OF THE BORDER EAST LINE</v>
      </c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</row>
    <row r="4" spans="1:14">
      <c r="B4" s="1290" t="s">
        <v>100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</row>
    <row r="5" spans="1:14">
      <c r="B5" s="1302" t="str">
        <f>"True-Up Period - January 1, "&amp;Automation!$B$3&amp;" to December 31, "&amp;Automation!$B$3</f>
        <v>True-Up Period - January 1, 2024 to December 31, 2024</v>
      </c>
      <c r="C5" s="1302"/>
      <c r="D5" s="1302"/>
      <c r="E5" s="1302"/>
      <c r="F5" s="1302"/>
      <c r="G5" s="1302"/>
      <c r="H5" s="1302"/>
      <c r="I5" s="1302"/>
      <c r="J5" s="1302"/>
      <c r="K5" s="1302"/>
      <c r="L5" s="1302"/>
      <c r="M5" s="1302"/>
      <c r="N5" s="1302"/>
    </row>
    <row r="6" spans="1:14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  <c r="K6" s="1301"/>
      <c r="L6" s="1301"/>
      <c r="M6" s="1301"/>
      <c r="N6" s="471"/>
    </row>
    <row r="7" spans="1:14">
      <c r="A7" s="471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</row>
    <row r="8" spans="1:14">
      <c r="A8" s="211" t="s">
        <v>4</v>
      </c>
      <c r="B8" s="394"/>
      <c r="E8" s="349"/>
      <c r="F8" s="426"/>
      <c r="G8" s="426"/>
      <c r="N8" s="211" t="s">
        <v>4</v>
      </c>
    </row>
    <row r="9" spans="1:14">
      <c r="A9" s="211" t="s">
        <v>5</v>
      </c>
      <c r="B9" s="394"/>
      <c r="E9" s="349"/>
      <c r="F9" s="426"/>
      <c r="G9" s="426"/>
      <c r="N9" s="211" t="s">
        <v>5</v>
      </c>
    </row>
    <row r="10" spans="1:14">
      <c r="A10" s="211">
        <v>1</v>
      </c>
      <c r="E10" s="349"/>
      <c r="I10" s="618"/>
      <c r="J10" s="618"/>
      <c r="N10" s="211">
        <v>1</v>
      </c>
    </row>
    <row r="11" spans="1:14">
      <c r="A11" s="211">
        <f t="shared" ref="A11:A31" si="0">A10+1</f>
        <v>2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574" t="s">
        <v>107</v>
      </c>
      <c r="J11" s="574" t="s">
        <v>108</v>
      </c>
      <c r="K11" s="574" t="s">
        <v>109</v>
      </c>
      <c r="L11" s="574" t="s">
        <v>110</v>
      </c>
      <c r="M11" s="574" t="s">
        <v>111</v>
      </c>
      <c r="N11" s="211">
        <f t="shared" ref="N11:N31" si="1">N10+1</f>
        <v>2</v>
      </c>
    </row>
    <row r="12" spans="1:14">
      <c r="A12" s="211">
        <f t="shared" si="0"/>
        <v>3</v>
      </c>
      <c r="B12" s="349" t="s">
        <v>112</v>
      </c>
      <c r="C12" s="211"/>
      <c r="D12" s="211"/>
      <c r="E12" s="211"/>
      <c r="F12" s="211" t="str">
        <f>"= "&amp;F11&amp;"; Line "&amp;A31&amp;" / 12"</f>
        <v>= Col. 4; Line 22 / 12</v>
      </c>
      <c r="G12" s="211"/>
      <c r="H12" s="341" t="str">
        <f>"= Sum "&amp;E11&amp;" thru "&amp;G11</f>
        <v>= Sum Col. 3 thru Col. 5</v>
      </c>
      <c r="I12" s="341" t="str">
        <f>"= "&amp;D11&amp;" - "&amp;H11</f>
        <v>= Col. 2 - Col. 6</v>
      </c>
      <c r="J12" s="211"/>
      <c r="K12" s="211" t="str">
        <f>"See Footnote "&amp;A40</f>
        <v>See Footnote 6</v>
      </c>
      <c r="L12" s="211" t="str">
        <f>"See Footnote "&amp;A41</f>
        <v>See Footnote 7</v>
      </c>
      <c r="M12" s="341" t="str">
        <f>"= "&amp;K11&amp;" + "&amp;L11</f>
        <v>= Col. 9 + Col. 10</v>
      </c>
      <c r="N12" s="211">
        <f t="shared" si="1"/>
        <v>3</v>
      </c>
    </row>
    <row r="13" spans="1:14">
      <c r="A13" s="211">
        <f t="shared" si="0"/>
        <v>4</v>
      </c>
      <c r="B13" s="349"/>
      <c r="C13" s="211"/>
      <c r="D13" s="211"/>
      <c r="E13" s="211"/>
      <c r="F13" s="211"/>
      <c r="G13" s="211"/>
      <c r="H13" s="341"/>
      <c r="I13" s="341"/>
      <c r="J13" s="211"/>
      <c r="K13" s="211"/>
      <c r="L13" s="211"/>
      <c r="M13" s="341"/>
      <c r="N13" s="211">
        <f t="shared" si="1"/>
        <v>4</v>
      </c>
    </row>
    <row r="14" spans="1:14">
      <c r="A14" s="211">
        <f t="shared" si="0"/>
        <v>5</v>
      </c>
      <c r="C14" s="574"/>
      <c r="H14" s="471"/>
      <c r="K14" s="471" t="s">
        <v>113</v>
      </c>
      <c r="M14" s="471" t="s">
        <v>113</v>
      </c>
      <c r="N14" s="211">
        <f t="shared" si="1"/>
        <v>5</v>
      </c>
    </row>
    <row r="15" spans="1:14">
      <c r="A15" s="211">
        <f t="shared" si="0"/>
        <v>6</v>
      </c>
      <c r="C15" s="574"/>
      <c r="F15" s="471"/>
      <c r="G15" s="471"/>
      <c r="H15" s="471"/>
      <c r="I15" s="471" t="s">
        <v>114</v>
      </c>
      <c r="J15" s="471"/>
      <c r="K15" s="471" t="s">
        <v>115</v>
      </c>
      <c r="M15" s="471" t="s">
        <v>115</v>
      </c>
      <c r="N15" s="211">
        <f t="shared" si="1"/>
        <v>6</v>
      </c>
    </row>
    <row r="16" spans="1:14">
      <c r="A16" s="211">
        <f t="shared" si="0"/>
        <v>7</v>
      </c>
      <c r="C16" s="471"/>
      <c r="D16" s="471" t="s">
        <v>114</v>
      </c>
      <c r="E16" s="471" t="s">
        <v>114</v>
      </c>
      <c r="F16" s="471" t="s">
        <v>116</v>
      </c>
      <c r="G16" s="471"/>
      <c r="H16" s="471" t="s">
        <v>117</v>
      </c>
      <c r="I16" s="471" t="s">
        <v>115</v>
      </c>
      <c r="J16" s="471" t="s">
        <v>114</v>
      </c>
      <c r="K16" s="471" t="s">
        <v>118</v>
      </c>
      <c r="M16" s="471" t="s">
        <v>118</v>
      </c>
      <c r="N16" s="211">
        <f t="shared" si="1"/>
        <v>7</v>
      </c>
    </row>
    <row r="17" spans="1:17">
      <c r="A17" s="211">
        <f t="shared" si="0"/>
        <v>8</v>
      </c>
      <c r="C17" s="471"/>
      <c r="D17" s="471" t="s">
        <v>119</v>
      </c>
      <c r="E17" s="471" t="s">
        <v>119</v>
      </c>
      <c r="F17" s="471" t="s">
        <v>119</v>
      </c>
      <c r="G17" s="471" t="s">
        <v>120</v>
      </c>
      <c r="H17" s="471" t="s">
        <v>119</v>
      </c>
      <c r="I17" s="471" t="s">
        <v>118</v>
      </c>
      <c r="J17" s="471" t="s">
        <v>121</v>
      </c>
      <c r="K17" s="471" t="s">
        <v>122</v>
      </c>
      <c r="L17" s="471"/>
      <c r="M17" s="471" t="s">
        <v>122</v>
      </c>
      <c r="N17" s="211">
        <f t="shared" si="1"/>
        <v>8</v>
      </c>
    </row>
    <row r="18" spans="1:17" ht="18.75">
      <c r="A18" s="211">
        <f t="shared" si="0"/>
        <v>9</v>
      </c>
      <c r="B18" s="575" t="s">
        <v>123</v>
      </c>
      <c r="C18" s="575" t="s">
        <v>124</v>
      </c>
      <c r="D18" s="426" t="s">
        <v>125</v>
      </c>
      <c r="E18" s="426" t="s">
        <v>126</v>
      </c>
      <c r="F18" s="426" t="s">
        <v>127</v>
      </c>
      <c r="G18" s="426" t="s">
        <v>128</v>
      </c>
      <c r="H18" s="426" t="s">
        <v>129</v>
      </c>
      <c r="I18" s="426" t="s">
        <v>122</v>
      </c>
      <c r="J18" s="426" t="s">
        <v>130</v>
      </c>
      <c r="K18" s="426" t="s">
        <v>131</v>
      </c>
      <c r="L18" s="426" t="s">
        <v>121</v>
      </c>
      <c r="M18" s="426" t="s">
        <v>132</v>
      </c>
      <c r="N18" s="211">
        <f t="shared" si="1"/>
        <v>9</v>
      </c>
    </row>
    <row r="19" spans="1:17">
      <c r="A19" s="211">
        <f t="shared" si="0"/>
        <v>10</v>
      </c>
      <c r="B19" s="18" t="s">
        <v>133</v>
      </c>
      <c r="C19" s="577" t="str">
        <f>RIGHT(B5,4)</f>
        <v>2024</v>
      </c>
      <c r="D19" s="397">
        <f>'Summary of Cost Components'!C$40</f>
        <v>340.72914505674629</v>
      </c>
      <c r="E19" s="402">
        <f>'D2. Sec.4 C12 Invoice Summary'!$C$48</f>
        <v>322.04452232937803</v>
      </c>
      <c r="F19" s="402">
        <f>-'D2. Sec.4 C12 Invoice Summary'!$C$42-'D2. Sec.4 C12 Invoice Summary'!$C$44</f>
        <v>1.2793551807167975</v>
      </c>
      <c r="G19" s="805">
        <f>-'D2. Sec.4 C12 Invoice Summary'!C46</f>
        <v>-4.416666666666667</v>
      </c>
      <c r="H19" s="578">
        <f>SUM(E19:G19)</f>
        <v>318.90721084342812</v>
      </c>
      <c r="I19" s="401">
        <f>D19-H19</f>
        <v>21.821934213318173</v>
      </c>
      <c r="J19" s="619">
        <v>7.1999999999999998E-3</v>
      </c>
      <c r="K19" s="331">
        <f>I19</f>
        <v>21.821934213318173</v>
      </c>
      <c r="L19" s="620">
        <f>(I19/2)*J19</f>
        <v>7.8558963167945417E-2</v>
      </c>
      <c r="M19" s="620">
        <f t="shared" ref="M19:M29" si="2">K19+L19</f>
        <v>21.900493176486119</v>
      </c>
      <c r="N19" s="211">
        <f t="shared" si="1"/>
        <v>10</v>
      </c>
      <c r="O19" s="150"/>
    </row>
    <row r="20" spans="1:17">
      <c r="A20" s="211">
        <f t="shared" si="0"/>
        <v>11</v>
      </c>
      <c r="B20" s="18" t="s">
        <v>134</v>
      </c>
      <c r="C20" s="577" t="str">
        <f>C19</f>
        <v>2024</v>
      </c>
      <c r="D20" s="621">
        <f>$D$19</f>
        <v>340.72914505674629</v>
      </c>
      <c r="E20" s="417">
        <f>$E$19</f>
        <v>322.04452232937803</v>
      </c>
      <c r="F20" s="417">
        <f>$F$19</f>
        <v>1.2793551807167975</v>
      </c>
      <c r="G20" s="417">
        <f>$G$19</f>
        <v>-4.416666666666667</v>
      </c>
      <c r="H20" s="580">
        <f>SUM(E20:G20)</f>
        <v>318.90721084342812</v>
      </c>
      <c r="I20" s="417">
        <f t="shared" ref="I20:I30" si="3">D20-H20</f>
        <v>21.821934213318173</v>
      </c>
      <c r="J20" s="619">
        <v>6.7999999999999996E-3</v>
      </c>
      <c r="K20" s="622">
        <f>M19+I20</f>
        <v>43.722427389804295</v>
      </c>
      <c r="L20" s="623">
        <f t="shared" ref="L20:L29" si="4">(M19+K20)/2*J20</f>
        <v>0.2231179299253874</v>
      </c>
      <c r="M20" s="623">
        <f t="shared" si="2"/>
        <v>43.945545319729682</v>
      </c>
      <c r="N20" s="211">
        <f t="shared" si="1"/>
        <v>11</v>
      </c>
      <c r="O20" s="425"/>
    </row>
    <row r="21" spans="1:17">
      <c r="A21" s="211">
        <f t="shared" si="0"/>
        <v>12</v>
      </c>
      <c r="B21" s="18" t="s">
        <v>135</v>
      </c>
      <c r="C21" s="577" t="str">
        <f>C19</f>
        <v>2024</v>
      </c>
      <c r="D21" s="621">
        <f t="shared" ref="D21:D30" si="5">$D$19</f>
        <v>340.72914505674629</v>
      </c>
      <c r="E21" s="417">
        <f>$E$19</f>
        <v>322.04452232937803</v>
      </c>
      <c r="F21" s="417">
        <f t="shared" ref="F21:F30" si="6">$F$19</f>
        <v>1.2793551807167975</v>
      </c>
      <c r="G21" s="417">
        <f t="shared" ref="G21:G23" si="7">$G$19</f>
        <v>-4.416666666666667</v>
      </c>
      <c r="H21" s="580">
        <f t="shared" ref="H21:H29" si="8">SUM(E21:G21)</f>
        <v>318.90721084342812</v>
      </c>
      <c r="I21" s="417">
        <f t="shared" si="3"/>
        <v>21.821934213318173</v>
      </c>
      <c r="J21" s="619">
        <v>7.1999999999999998E-3</v>
      </c>
      <c r="K21" s="622">
        <f t="shared" ref="K21:K29" si="9">M20+I21</f>
        <v>65.767479533047862</v>
      </c>
      <c r="L21" s="623">
        <f>(M20+K21)/2*J21</f>
        <v>0.39496688946999919</v>
      </c>
      <c r="M21" s="623">
        <f t="shared" si="2"/>
        <v>66.16244642251786</v>
      </c>
      <c r="N21" s="211">
        <f t="shared" si="1"/>
        <v>12</v>
      </c>
      <c r="O21" s="425"/>
    </row>
    <row r="22" spans="1:17">
      <c r="A22" s="211">
        <f t="shared" si="0"/>
        <v>13</v>
      </c>
      <c r="B22" s="18" t="s">
        <v>136</v>
      </c>
      <c r="C22" s="577" t="str">
        <f>C19</f>
        <v>2024</v>
      </c>
      <c r="D22" s="621">
        <f t="shared" si="5"/>
        <v>340.72914505674629</v>
      </c>
      <c r="E22" s="417">
        <f>$E$19</f>
        <v>322.04452232937803</v>
      </c>
      <c r="F22" s="417">
        <f t="shared" si="6"/>
        <v>1.2793551807167975</v>
      </c>
      <c r="G22" s="417">
        <f t="shared" si="7"/>
        <v>-4.416666666666667</v>
      </c>
      <c r="H22" s="580">
        <f t="shared" si="8"/>
        <v>318.90721084342812</v>
      </c>
      <c r="I22" s="417">
        <f>D22-H22</f>
        <v>21.821934213318173</v>
      </c>
      <c r="J22" s="619">
        <v>7.0000000000000001E-3</v>
      </c>
      <c r="K22" s="622">
        <f t="shared" si="9"/>
        <v>87.984380635836033</v>
      </c>
      <c r="L22" s="623">
        <f>(M21+K22)/2*J22</f>
        <v>0.53951389470423861</v>
      </c>
      <c r="M22" s="623">
        <f t="shared" si="2"/>
        <v>88.523894530540275</v>
      </c>
      <c r="N22" s="211">
        <f t="shared" si="1"/>
        <v>13</v>
      </c>
      <c r="O22" s="425"/>
      <c r="Q22" s="624"/>
    </row>
    <row r="23" spans="1:17">
      <c r="A23" s="211">
        <f t="shared" si="0"/>
        <v>14</v>
      </c>
      <c r="B23" s="18" t="s">
        <v>137</v>
      </c>
      <c r="C23" s="577" t="str">
        <f>C19</f>
        <v>2024</v>
      </c>
      <c r="D23" s="621">
        <f t="shared" si="5"/>
        <v>340.72914505674629</v>
      </c>
      <c r="E23" s="417">
        <f>$E$19</f>
        <v>322.04452232937803</v>
      </c>
      <c r="F23" s="417">
        <f t="shared" si="6"/>
        <v>1.2793551807167975</v>
      </c>
      <c r="G23" s="417">
        <f t="shared" si="7"/>
        <v>-4.416666666666667</v>
      </c>
      <c r="H23" s="580">
        <f t="shared" si="8"/>
        <v>318.90721084342812</v>
      </c>
      <c r="I23" s="417">
        <f t="shared" si="3"/>
        <v>21.821934213318173</v>
      </c>
      <c r="J23" s="619">
        <v>7.1999999999999998E-3</v>
      </c>
      <c r="K23" s="622">
        <f t="shared" si="9"/>
        <v>110.34582874385845</v>
      </c>
      <c r="L23" s="623">
        <f t="shared" si="4"/>
        <v>0.71593100378783536</v>
      </c>
      <c r="M23" s="623">
        <f t="shared" si="2"/>
        <v>111.06175974764628</v>
      </c>
      <c r="N23" s="211">
        <f t="shared" si="1"/>
        <v>14</v>
      </c>
      <c r="O23" s="425"/>
    </row>
    <row r="24" spans="1:17">
      <c r="A24" s="211">
        <f t="shared" si="0"/>
        <v>15</v>
      </c>
      <c r="B24" s="18" t="s">
        <v>138</v>
      </c>
      <c r="C24" s="577" t="str">
        <f>C19</f>
        <v>2024</v>
      </c>
      <c r="D24" s="621">
        <f t="shared" si="5"/>
        <v>340.72914505674629</v>
      </c>
      <c r="E24" s="417">
        <f t="shared" ref="E24:E30" si="10">$E$19</f>
        <v>322.04452232937803</v>
      </c>
      <c r="F24" s="417">
        <f t="shared" si="6"/>
        <v>1.2793551807167975</v>
      </c>
      <c r="G24" s="417">
        <f t="shared" ref="G24:G30" si="11">$G$19</f>
        <v>-4.416666666666667</v>
      </c>
      <c r="H24" s="580">
        <f>SUM(E24:G24)</f>
        <v>318.90721084342812</v>
      </c>
      <c r="I24" s="417">
        <f t="shared" si="3"/>
        <v>21.821934213318173</v>
      </c>
      <c r="J24" s="619">
        <v>7.0000000000000001E-3</v>
      </c>
      <c r="K24" s="622">
        <f t="shared" si="9"/>
        <v>132.88369396096445</v>
      </c>
      <c r="L24" s="623">
        <f>(M23+K24)/2*J24</f>
        <v>0.85380908798013755</v>
      </c>
      <c r="M24" s="623">
        <f t="shared" si="2"/>
        <v>133.73750304894457</v>
      </c>
      <c r="N24" s="211">
        <f t="shared" si="1"/>
        <v>15</v>
      </c>
      <c r="O24" s="425"/>
    </row>
    <row r="25" spans="1:17">
      <c r="A25" s="211">
        <f t="shared" si="0"/>
        <v>16</v>
      </c>
      <c r="B25" s="18" t="s">
        <v>139</v>
      </c>
      <c r="C25" s="577" t="str">
        <f>C19</f>
        <v>2024</v>
      </c>
      <c r="D25" s="621">
        <f t="shared" si="5"/>
        <v>340.72914505674629</v>
      </c>
      <c r="E25" s="417">
        <f t="shared" si="10"/>
        <v>322.04452232937803</v>
      </c>
      <c r="F25" s="417">
        <f t="shared" si="6"/>
        <v>1.2793551807167975</v>
      </c>
      <c r="G25" s="417">
        <f t="shared" si="11"/>
        <v>-4.416666666666667</v>
      </c>
      <c r="H25" s="580">
        <f t="shared" si="8"/>
        <v>318.90721084342812</v>
      </c>
      <c r="I25" s="417">
        <f t="shared" si="3"/>
        <v>21.821934213318173</v>
      </c>
      <c r="J25" s="619">
        <v>7.1999999999999998E-3</v>
      </c>
      <c r="K25" s="622">
        <f t="shared" si="9"/>
        <v>155.55943726226275</v>
      </c>
      <c r="L25" s="623">
        <f t="shared" si="4"/>
        <v>1.0414689851203462</v>
      </c>
      <c r="M25" s="623">
        <f t="shared" si="2"/>
        <v>156.60090624738308</v>
      </c>
      <c r="N25" s="211">
        <f t="shared" si="1"/>
        <v>16</v>
      </c>
      <c r="O25" s="425"/>
    </row>
    <row r="26" spans="1:17">
      <c r="A26" s="211">
        <f t="shared" si="0"/>
        <v>17</v>
      </c>
      <c r="B26" s="18" t="s">
        <v>140</v>
      </c>
      <c r="C26" s="577" t="str">
        <f>C19</f>
        <v>2024</v>
      </c>
      <c r="D26" s="621">
        <f t="shared" si="5"/>
        <v>340.72914505674629</v>
      </c>
      <c r="E26" s="417">
        <f t="shared" si="10"/>
        <v>322.04452232937803</v>
      </c>
      <c r="F26" s="417">
        <f t="shared" si="6"/>
        <v>1.2793551807167975</v>
      </c>
      <c r="G26" s="417">
        <f t="shared" si="11"/>
        <v>-4.416666666666667</v>
      </c>
      <c r="H26" s="580">
        <f t="shared" si="8"/>
        <v>318.90721084342812</v>
      </c>
      <c r="I26" s="417">
        <f t="shared" si="3"/>
        <v>21.821934213318173</v>
      </c>
      <c r="J26" s="619">
        <v>7.1999999999999998E-3</v>
      </c>
      <c r="K26" s="622">
        <f t="shared" si="9"/>
        <v>178.42284046070125</v>
      </c>
      <c r="L26" s="623">
        <f t="shared" si="4"/>
        <v>1.2060854881491037</v>
      </c>
      <c r="M26" s="623">
        <f t="shared" si="2"/>
        <v>179.62892594885037</v>
      </c>
      <c r="N26" s="211">
        <f t="shared" si="1"/>
        <v>17</v>
      </c>
      <c r="O26" s="425"/>
    </row>
    <row r="27" spans="1:17">
      <c r="A27" s="211">
        <f t="shared" si="0"/>
        <v>18</v>
      </c>
      <c r="B27" s="18" t="s">
        <v>141</v>
      </c>
      <c r="C27" s="577" t="str">
        <f>C19</f>
        <v>2024</v>
      </c>
      <c r="D27" s="621">
        <f t="shared" si="5"/>
        <v>340.72914505674629</v>
      </c>
      <c r="E27" s="417">
        <f t="shared" si="10"/>
        <v>322.04452232937803</v>
      </c>
      <c r="F27" s="417">
        <f t="shared" si="6"/>
        <v>1.2793551807167975</v>
      </c>
      <c r="G27" s="417">
        <f t="shared" si="11"/>
        <v>-4.416666666666667</v>
      </c>
      <c r="H27" s="580">
        <f t="shared" si="8"/>
        <v>318.90721084342812</v>
      </c>
      <c r="I27" s="417">
        <f t="shared" si="3"/>
        <v>21.821934213318173</v>
      </c>
      <c r="J27" s="619">
        <v>7.0000000000000001E-3</v>
      </c>
      <c r="K27" s="622">
        <f t="shared" si="9"/>
        <v>201.45086016216854</v>
      </c>
      <c r="L27" s="623">
        <f t="shared" si="4"/>
        <v>1.3337792513885662</v>
      </c>
      <c r="M27" s="623">
        <f t="shared" si="2"/>
        <v>202.7846394135571</v>
      </c>
      <c r="N27" s="211">
        <f t="shared" si="1"/>
        <v>18</v>
      </c>
      <c r="O27" s="425"/>
    </row>
    <row r="28" spans="1:17">
      <c r="A28" s="211">
        <f t="shared" si="0"/>
        <v>19</v>
      </c>
      <c r="B28" s="18" t="s">
        <v>142</v>
      </c>
      <c r="C28" s="577" t="str">
        <f>C19</f>
        <v>2024</v>
      </c>
      <c r="D28" s="621">
        <f t="shared" si="5"/>
        <v>340.72914505674629</v>
      </c>
      <c r="E28" s="417">
        <f t="shared" si="10"/>
        <v>322.04452232937803</v>
      </c>
      <c r="F28" s="417">
        <f t="shared" si="6"/>
        <v>1.2793551807167975</v>
      </c>
      <c r="G28" s="417">
        <f t="shared" si="11"/>
        <v>-4.416666666666667</v>
      </c>
      <c r="H28" s="580">
        <f t="shared" si="8"/>
        <v>318.90721084342812</v>
      </c>
      <c r="I28" s="417">
        <f t="shared" si="3"/>
        <v>21.821934213318173</v>
      </c>
      <c r="J28" s="619">
        <v>7.1999999999999998E-3</v>
      </c>
      <c r="K28" s="622">
        <f t="shared" si="9"/>
        <v>224.60657362687527</v>
      </c>
      <c r="L28" s="623">
        <f t="shared" si="4"/>
        <v>1.5386083669455566</v>
      </c>
      <c r="M28" s="623">
        <f t="shared" si="2"/>
        <v>226.14518199382084</v>
      </c>
      <c r="N28" s="211">
        <f t="shared" si="1"/>
        <v>19</v>
      </c>
      <c r="O28" s="425"/>
    </row>
    <row r="29" spans="1:17">
      <c r="A29" s="211">
        <f t="shared" si="0"/>
        <v>20</v>
      </c>
      <c r="B29" s="18" t="s">
        <v>143</v>
      </c>
      <c r="C29" s="577" t="str">
        <f>C19</f>
        <v>2024</v>
      </c>
      <c r="D29" s="621">
        <f t="shared" si="5"/>
        <v>340.72914505674629</v>
      </c>
      <c r="E29" s="417">
        <f t="shared" si="10"/>
        <v>322.04452232937803</v>
      </c>
      <c r="F29" s="417">
        <f t="shared" si="6"/>
        <v>1.2793551807167975</v>
      </c>
      <c r="G29" s="417">
        <f t="shared" si="11"/>
        <v>-4.416666666666667</v>
      </c>
      <c r="H29" s="580">
        <f t="shared" si="8"/>
        <v>318.90721084342812</v>
      </c>
      <c r="I29" s="417">
        <f t="shared" si="3"/>
        <v>21.821934213318173</v>
      </c>
      <c r="J29" s="619">
        <v>7.0000000000000001E-3</v>
      </c>
      <c r="K29" s="622">
        <f t="shared" si="9"/>
        <v>247.96711620713901</v>
      </c>
      <c r="L29" s="623">
        <f t="shared" si="4"/>
        <v>1.6593930437033595</v>
      </c>
      <c r="M29" s="623">
        <f t="shared" si="2"/>
        <v>249.62650925084236</v>
      </c>
      <c r="N29" s="211">
        <f t="shared" si="1"/>
        <v>20</v>
      </c>
      <c r="O29" s="425"/>
    </row>
    <row r="30" spans="1:17">
      <c r="A30" s="211">
        <f t="shared" si="0"/>
        <v>21</v>
      </c>
      <c r="B30" s="833" t="s">
        <v>144</v>
      </c>
      <c r="C30" s="834" t="str">
        <f>C19</f>
        <v>2024</v>
      </c>
      <c r="D30" s="835">
        <f t="shared" si="5"/>
        <v>340.72914505674629</v>
      </c>
      <c r="E30" s="417">
        <f t="shared" si="10"/>
        <v>322.04452232937803</v>
      </c>
      <c r="F30" s="417">
        <f t="shared" si="6"/>
        <v>1.2793551807167975</v>
      </c>
      <c r="G30" s="417">
        <f t="shared" si="11"/>
        <v>-4.416666666666667</v>
      </c>
      <c r="H30" s="835">
        <f>SUM(E30:G30)</f>
        <v>318.90721084342812</v>
      </c>
      <c r="I30" s="831">
        <f t="shared" si="3"/>
        <v>21.821934213318173</v>
      </c>
      <c r="J30" s="1281">
        <v>7.1999999999999998E-3</v>
      </c>
      <c r="K30" s="836">
        <f>M29+I30</f>
        <v>271.4484434641605</v>
      </c>
      <c r="L30" s="837">
        <f>(M29+K30)/2*J30</f>
        <v>1.8758698297740102</v>
      </c>
      <c r="M30" s="835">
        <f>K30+L30</f>
        <v>273.32431329393449</v>
      </c>
      <c r="N30" s="211">
        <f t="shared" si="1"/>
        <v>21</v>
      </c>
      <c r="O30" s="425"/>
    </row>
    <row r="31" spans="1:17" ht="16.5" thickBot="1">
      <c r="A31" s="211">
        <f t="shared" si="0"/>
        <v>22</v>
      </c>
      <c r="D31" s="1030">
        <f t="shared" ref="D31:I31" si="12">SUM(D19:D30)</f>
        <v>4088.7497406809557</v>
      </c>
      <c r="E31" s="1030">
        <f>SUM(E19:E30)</f>
        <v>3864.534267952537</v>
      </c>
      <c r="F31" s="1030">
        <f t="shared" si="12"/>
        <v>15.352262168601568</v>
      </c>
      <c r="G31" s="1030">
        <f t="shared" si="12"/>
        <v>-52.999999999999993</v>
      </c>
      <c r="H31" s="1030">
        <f t="shared" si="12"/>
        <v>3826.8865301211367</v>
      </c>
      <c r="I31" s="1030">
        <f t="shared" si="12"/>
        <v>261.86321055981807</v>
      </c>
      <c r="J31" s="1280"/>
      <c r="K31" s="625"/>
      <c r="L31" s="1030">
        <f>SUM(L19:L30)</f>
        <v>11.461102734116487</v>
      </c>
      <c r="M31" s="625"/>
      <c r="N31" s="211">
        <f t="shared" si="1"/>
        <v>22</v>
      </c>
    </row>
    <row r="32" spans="1:17" ht="16.5" thickTop="1">
      <c r="D32" s="626"/>
      <c r="E32" s="626"/>
      <c r="F32" s="626"/>
      <c r="G32" s="626"/>
      <c r="H32" s="626"/>
      <c r="I32" s="626"/>
      <c r="J32" s="626"/>
      <c r="K32" s="626"/>
      <c r="L32" s="626"/>
      <c r="M32" s="626"/>
    </row>
    <row r="33" spans="1:7">
      <c r="B33" s="627"/>
      <c r="F33" s="628"/>
      <c r="G33" s="628"/>
    </row>
    <row r="34" spans="1:7" ht="18.75">
      <c r="A34" s="583">
        <v>1</v>
      </c>
      <c r="B34" s="191" t="s">
        <v>860</v>
      </c>
      <c r="F34" s="628"/>
      <c r="G34" s="628"/>
    </row>
    <row r="35" spans="1:7" ht="18.75">
      <c r="A35" s="583">
        <v>2</v>
      </c>
      <c r="B35" s="191" t="s">
        <v>145</v>
      </c>
    </row>
    <row r="36" spans="1:7" ht="18.75">
      <c r="A36" s="583">
        <v>3</v>
      </c>
      <c r="B36" s="191" t="s">
        <v>146</v>
      </c>
    </row>
    <row r="37" spans="1:7" ht="18.75">
      <c r="A37" s="583">
        <v>4</v>
      </c>
      <c r="B37" s="191" t="s">
        <v>147</v>
      </c>
    </row>
    <row r="38" spans="1:7" ht="18.75">
      <c r="A38" s="583"/>
      <c r="B38" s="191" t="s">
        <v>148</v>
      </c>
    </row>
    <row r="39" spans="1:7" ht="18.75">
      <c r="A39" s="583">
        <v>5</v>
      </c>
      <c r="B39" s="191" t="s">
        <v>149</v>
      </c>
      <c r="C39" s="210"/>
    </row>
    <row r="40" spans="1:7" ht="18.75">
      <c r="A40" s="583">
        <v>6</v>
      </c>
      <c r="B40" s="191" t="s">
        <v>150</v>
      </c>
    </row>
    <row r="41" spans="1:7" ht="18.75">
      <c r="A41" s="583">
        <v>7</v>
      </c>
      <c r="B41" s="191" t="s">
        <v>151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>
      <selection activeCell="D37" sqref="D37"/>
    </sheetView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42578125" style="284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40.42578125" style="122" customWidth="1"/>
    <col min="10" max="10" width="5.42578125" style="122" customWidth="1"/>
    <col min="11" max="16384" width="8.85546875" style="122"/>
  </cols>
  <sheetData>
    <row r="1" spans="1:12">
      <c r="H1" s="105"/>
      <c r="I1" s="105"/>
      <c r="J1" s="105"/>
    </row>
    <row r="2" spans="1:12">
      <c r="B2" s="1308" t="s">
        <v>0</v>
      </c>
      <c r="C2" s="1324"/>
      <c r="D2" s="1324"/>
      <c r="E2" s="1324"/>
      <c r="F2" s="1324"/>
      <c r="G2" s="1324"/>
      <c r="H2" s="1324"/>
      <c r="I2" s="1324"/>
      <c r="J2" s="95"/>
    </row>
    <row r="3" spans="1:12">
      <c r="B3" s="1308" t="s">
        <v>652</v>
      </c>
      <c r="C3" s="1324"/>
      <c r="D3" s="1324"/>
      <c r="E3" s="1324"/>
      <c r="F3" s="1324"/>
      <c r="G3" s="1324"/>
      <c r="H3" s="1324"/>
      <c r="I3" s="1324"/>
      <c r="J3" s="95"/>
    </row>
    <row r="4" spans="1:12">
      <c r="B4" s="1308" t="s">
        <v>653</v>
      </c>
      <c r="C4" s="1324"/>
      <c r="D4" s="1324"/>
      <c r="E4" s="1324"/>
      <c r="F4" s="1324"/>
      <c r="G4" s="1324"/>
      <c r="H4" s="1324"/>
      <c r="I4" s="1324"/>
      <c r="J4" s="95"/>
    </row>
    <row r="5" spans="1:12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0"/>
      <c r="I5" s="1310"/>
      <c r="J5" s="95"/>
      <c r="L5" s="112"/>
    </row>
    <row r="6" spans="1:12">
      <c r="B6" s="1312" t="s">
        <v>3</v>
      </c>
      <c r="C6" s="1312"/>
      <c r="D6" s="1312"/>
      <c r="E6" s="1312"/>
      <c r="F6" s="1312"/>
      <c r="G6" s="1312"/>
      <c r="H6" s="1312"/>
      <c r="I6" s="1312"/>
      <c r="J6" s="96"/>
    </row>
    <row r="7" spans="1:12">
      <c r="B7" s="105"/>
      <c r="D7" s="105"/>
      <c r="E7" s="105"/>
      <c r="F7" s="105"/>
      <c r="G7" s="105"/>
      <c r="H7" s="95"/>
      <c r="I7" s="95"/>
      <c r="J7" s="95"/>
    </row>
    <row r="8" spans="1:12">
      <c r="A8" s="105" t="s">
        <v>4</v>
      </c>
      <c r="B8" s="95"/>
      <c r="C8" s="211" t="s">
        <v>186</v>
      </c>
      <c r="D8" s="105"/>
      <c r="E8" s="105" t="s">
        <v>654</v>
      </c>
      <c r="F8" s="105"/>
      <c r="G8" s="105" t="s">
        <v>655</v>
      </c>
      <c r="H8" s="95"/>
      <c r="I8" s="95"/>
      <c r="J8" s="105" t="s">
        <v>4</v>
      </c>
    </row>
    <row r="9" spans="1:12">
      <c r="A9" s="105" t="s">
        <v>5</v>
      </c>
      <c r="B9" s="95"/>
      <c r="C9" s="845" t="s">
        <v>188</v>
      </c>
      <c r="D9" s="95"/>
      <c r="E9" s="848" t="s">
        <v>656</v>
      </c>
      <c r="F9" s="95"/>
      <c r="G9" s="848" t="s">
        <v>189</v>
      </c>
      <c r="H9" s="95"/>
      <c r="I9" s="849" t="s">
        <v>8</v>
      </c>
      <c r="J9" s="105" t="s">
        <v>5</v>
      </c>
    </row>
    <row r="10" spans="1:12">
      <c r="B10" s="105"/>
      <c r="D10" s="105"/>
      <c r="E10" s="105"/>
      <c r="F10" s="105"/>
      <c r="G10" s="105"/>
      <c r="H10" s="105"/>
      <c r="I10" s="105"/>
      <c r="J10" s="105"/>
    </row>
    <row r="11" spans="1:12" ht="18.75">
      <c r="A11" s="105">
        <v>1</v>
      </c>
      <c r="B11" s="122" t="s">
        <v>890</v>
      </c>
      <c r="C11" s="211" t="s">
        <v>981</v>
      </c>
      <c r="E11" s="285"/>
      <c r="F11" s="286"/>
      <c r="G11" s="287">
        <f>'AL-1'!C32</f>
        <v>155266.94199999998</v>
      </c>
      <c r="H11" s="286"/>
      <c r="I11" s="288" t="str">
        <f>"AL-1; Line "&amp;'AL-1'!A32</f>
        <v>AL-1; Line 18</v>
      </c>
      <c r="J11" s="105">
        <f>A11</f>
        <v>1</v>
      </c>
      <c r="L11" s="112"/>
    </row>
    <row r="12" spans="1:12">
      <c r="A12" s="105">
        <f>+A11+1</f>
        <v>2</v>
      </c>
      <c r="C12" s="105"/>
      <c r="E12" s="276"/>
      <c r="F12" s="289"/>
      <c r="G12" s="289"/>
      <c r="H12" s="289"/>
      <c r="I12" s="288"/>
      <c r="J12" s="105">
        <f>+J11+1</f>
        <v>2</v>
      </c>
    </row>
    <row r="13" spans="1:12">
      <c r="A13" s="105">
        <f t="shared" ref="A13:A29" si="0">+A12+1</f>
        <v>3</v>
      </c>
      <c r="B13" s="122" t="s">
        <v>657</v>
      </c>
      <c r="C13" s="105"/>
      <c r="E13" s="290"/>
      <c r="F13" s="291"/>
      <c r="G13" s="859">
        <f>'Stmt AD'!I45</f>
        <v>0.36742733634565911</v>
      </c>
      <c r="H13" s="286"/>
      <c r="I13" s="288" t="str">
        <f>"Statement AD; Line "&amp;'Stmt AD'!A45</f>
        <v>Statement AD; Line 35</v>
      </c>
      <c r="J13" s="105">
        <f t="shared" ref="J13:J29" si="1">+J12+1</f>
        <v>3</v>
      </c>
    </row>
    <row r="14" spans="1:12">
      <c r="A14" s="105">
        <f t="shared" si="0"/>
        <v>4</v>
      </c>
      <c r="C14" s="105"/>
      <c r="E14" s="276"/>
      <c r="F14" s="289"/>
      <c r="G14" s="276"/>
      <c r="H14" s="289"/>
      <c r="I14" s="288"/>
      <c r="J14" s="105">
        <f t="shared" si="1"/>
        <v>4</v>
      </c>
    </row>
    <row r="15" spans="1:12" ht="16.5" thickBot="1">
      <c r="A15" s="105">
        <f t="shared" si="0"/>
        <v>5</v>
      </c>
      <c r="B15" s="122" t="s">
        <v>658</v>
      </c>
      <c r="C15" s="105"/>
      <c r="E15" s="292"/>
      <c r="F15" s="289"/>
      <c r="G15" s="293">
        <f>G11*G13</f>
        <v>57049.318921595936</v>
      </c>
      <c r="H15" s="286"/>
      <c r="I15" s="288" t="str">
        <f>"Line "&amp;A11&amp;" x Line "&amp;A13</f>
        <v>Line 1 x Line 3</v>
      </c>
      <c r="J15" s="105">
        <f t="shared" si="1"/>
        <v>5</v>
      </c>
    </row>
    <row r="16" spans="1:12" ht="16.5" thickTop="1">
      <c r="A16" s="105">
        <f t="shared" si="0"/>
        <v>6</v>
      </c>
      <c r="C16" s="105"/>
      <c r="E16" s="160"/>
      <c r="F16" s="105"/>
      <c r="G16" s="105"/>
      <c r="H16" s="105"/>
      <c r="I16" s="288"/>
      <c r="J16" s="105">
        <f t="shared" si="1"/>
        <v>6</v>
      </c>
    </row>
    <row r="17" spans="1:10" ht="18.75">
      <c r="A17" s="105">
        <f t="shared" si="0"/>
        <v>7</v>
      </c>
      <c r="B17" s="122" t="s">
        <v>975</v>
      </c>
      <c r="C17" s="105" t="s">
        <v>984</v>
      </c>
      <c r="D17" s="283"/>
      <c r="E17" s="285"/>
      <c r="F17" s="289"/>
      <c r="G17" s="1074">
        <f>'AL-2'!C30</f>
        <v>93582.065615384607</v>
      </c>
      <c r="H17" s="286"/>
      <c r="I17" s="288" t="str">
        <f>"AL-2; Line "&amp;'AL-2'!A30</f>
        <v>AL-2; Line 18</v>
      </c>
      <c r="J17" s="105">
        <f t="shared" si="1"/>
        <v>7</v>
      </c>
    </row>
    <row r="18" spans="1:10">
      <c r="A18" s="105">
        <f t="shared" si="0"/>
        <v>8</v>
      </c>
      <c r="C18" s="105"/>
      <c r="E18" s="294"/>
      <c r="F18" s="289"/>
      <c r="G18" s="289"/>
      <c r="H18" s="289"/>
      <c r="I18" s="288"/>
      <c r="J18" s="105">
        <f t="shared" si="1"/>
        <v>8</v>
      </c>
    </row>
    <row r="19" spans="1:10" ht="16.5" thickBot="1">
      <c r="A19" s="105">
        <f t="shared" si="0"/>
        <v>9</v>
      </c>
      <c r="B19" s="122" t="s">
        <v>659</v>
      </c>
      <c r="E19" s="285"/>
      <c r="F19" s="289"/>
      <c r="G19" s="293">
        <f>G13*G17</f>
        <v>34384.609098785462</v>
      </c>
      <c r="H19" s="286"/>
      <c r="I19" s="288" t="str">
        <f>"Line "&amp;A13&amp;" x Line "&amp;A17</f>
        <v>Line 3 x Line 7</v>
      </c>
      <c r="J19" s="105">
        <f t="shared" si="1"/>
        <v>9</v>
      </c>
    </row>
    <row r="20" spans="1:10" ht="16.5" thickTop="1">
      <c r="A20" s="105">
        <f t="shared" si="0"/>
        <v>10</v>
      </c>
      <c r="E20" s="295"/>
      <c r="F20" s="289"/>
      <c r="G20" s="289"/>
      <c r="H20" s="289"/>
      <c r="I20" s="288"/>
      <c r="J20" s="105">
        <f t="shared" si="1"/>
        <v>10</v>
      </c>
    </row>
    <row r="21" spans="1:10">
      <c r="A21" s="105">
        <f t="shared" si="0"/>
        <v>11</v>
      </c>
      <c r="B21" s="296" t="s">
        <v>660</v>
      </c>
      <c r="E21" s="295"/>
      <c r="F21" s="289"/>
      <c r="G21" s="289"/>
      <c r="H21" s="289"/>
      <c r="I21" s="288"/>
      <c r="J21" s="105">
        <f t="shared" si="1"/>
        <v>11</v>
      </c>
    </row>
    <row r="22" spans="1:10">
      <c r="A22" s="105">
        <f t="shared" si="0"/>
        <v>12</v>
      </c>
      <c r="B22" s="122" t="s">
        <v>661</v>
      </c>
      <c r="E22" s="297">
        <f>'Stmt AH'!E27</f>
        <v>60635.292659999948</v>
      </c>
      <c r="F22" s="289"/>
      <c r="G22" s="298"/>
      <c r="H22" s="289"/>
      <c r="I22" s="288" t="str">
        <f>"Statement AH; Line "&amp;'Stmt AH'!A27</f>
        <v>Statement AH; Line 17</v>
      </c>
      <c r="J22" s="105">
        <f t="shared" si="1"/>
        <v>12</v>
      </c>
    </row>
    <row r="23" spans="1:10">
      <c r="A23" s="105">
        <f t="shared" si="0"/>
        <v>13</v>
      </c>
      <c r="B23" s="122" t="s">
        <v>662</v>
      </c>
      <c r="E23" s="299">
        <f>'Stmt AH'!E49</f>
        <v>55714.299998612012</v>
      </c>
      <c r="F23" s="96"/>
      <c r="G23" s="300"/>
      <c r="H23" s="289"/>
      <c r="I23" s="288" t="str">
        <f>"Statement AH; Line "&amp;'Stmt AH'!A49</f>
        <v>Statement AH; Line 39</v>
      </c>
      <c r="J23" s="105">
        <f t="shared" si="1"/>
        <v>13</v>
      </c>
    </row>
    <row r="24" spans="1:10">
      <c r="A24" s="105">
        <f t="shared" si="0"/>
        <v>14</v>
      </c>
      <c r="B24" s="122" t="s">
        <v>401</v>
      </c>
      <c r="E24" s="1075">
        <f>-'Stmt AH'!E34</f>
        <v>0</v>
      </c>
      <c r="F24" s="289"/>
      <c r="G24" s="300"/>
      <c r="H24" s="289"/>
      <c r="I24" s="288" t="str">
        <f>"Negative of Statement AH; Line "&amp;'Stmt AH'!A34</f>
        <v>Negative of Statement AH; Line 24</v>
      </c>
      <c r="J24" s="105">
        <f t="shared" si="1"/>
        <v>14</v>
      </c>
    </row>
    <row r="25" spans="1:10">
      <c r="A25" s="105">
        <f t="shared" si="0"/>
        <v>15</v>
      </c>
      <c r="B25" s="122" t="s">
        <v>663</v>
      </c>
      <c r="E25" s="301">
        <f>SUM(E22:E24)</f>
        <v>116349.59265861196</v>
      </c>
      <c r="F25" s="96"/>
      <c r="G25" s="283"/>
      <c r="H25" s="288"/>
      <c r="I25" s="288" t="str">
        <f>"Sum Lines "&amp;A22&amp;" thru "&amp;A24</f>
        <v>Sum Lines 12 thru 14</v>
      </c>
      <c r="J25" s="105">
        <f t="shared" si="1"/>
        <v>15</v>
      </c>
    </row>
    <row r="26" spans="1:10">
      <c r="A26" s="105">
        <f t="shared" si="0"/>
        <v>16</v>
      </c>
      <c r="F26" s="105"/>
      <c r="H26" s="105"/>
      <c r="I26" s="288"/>
      <c r="J26" s="105">
        <f t="shared" si="1"/>
        <v>16</v>
      </c>
    </row>
    <row r="27" spans="1:10">
      <c r="A27" s="105">
        <f t="shared" si="0"/>
        <v>17</v>
      </c>
      <c r="B27" s="122" t="s">
        <v>664</v>
      </c>
      <c r="E27" s="1076">
        <f>1/8</f>
        <v>0.125</v>
      </c>
      <c r="F27" s="105"/>
      <c r="G27" s="302"/>
      <c r="H27" s="105"/>
      <c r="I27" s="288" t="s">
        <v>28</v>
      </c>
      <c r="J27" s="105">
        <f t="shared" si="1"/>
        <v>17</v>
      </c>
    </row>
    <row r="28" spans="1:10">
      <c r="A28" s="105">
        <f t="shared" si="0"/>
        <v>18</v>
      </c>
      <c r="E28" s="276" t="s">
        <v>183</v>
      </c>
      <c r="F28" s="289"/>
      <c r="G28" s="276"/>
      <c r="H28" s="289"/>
      <c r="I28" s="288"/>
      <c r="J28" s="105">
        <f t="shared" si="1"/>
        <v>18</v>
      </c>
    </row>
    <row r="29" spans="1:10" ht="16.5" thickBot="1">
      <c r="A29" s="105">
        <f t="shared" si="0"/>
        <v>19</v>
      </c>
      <c r="B29" s="122" t="s">
        <v>665</v>
      </c>
      <c r="E29" s="293">
        <f>E25*E27</f>
        <v>14543.699082326495</v>
      </c>
      <c r="F29" s="96"/>
      <c r="G29" s="292"/>
      <c r="H29" s="289"/>
      <c r="I29" s="105" t="str">
        <f>"Line "&amp;A25&amp;" x Line "&amp;A27</f>
        <v>Line 15 x Line 17</v>
      </c>
      <c r="J29" s="105">
        <f t="shared" si="1"/>
        <v>19</v>
      </c>
    </row>
    <row r="30" spans="1:10" ht="16.5" thickTop="1">
      <c r="B30" s="305"/>
    </row>
    <row r="32" spans="1:10" ht="18.75">
      <c r="A32" s="306">
        <v>1</v>
      </c>
      <c r="B32" s="122" t="s">
        <v>666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.75">
      <c r="A35" s="306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Roman,Regular"&amp;10AL</oddFooter>
  </headerFooter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>
      <selection activeCell="C15" sqref="C15:C27"/>
    </sheetView>
  </sheetViews>
  <sheetFormatPr defaultColWidth="9.140625" defaultRowHeight="15.75"/>
  <cols>
    <col min="1" max="1" width="5.140625" style="95" customWidth="1"/>
    <col min="2" max="2" width="37" style="96" customWidth="1"/>
    <col min="3" max="3" width="18.5703125" style="100" customWidth="1"/>
    <col min="4" max="4" width="61.42578125" style="156" customWidth="1"/>
    <col min="5" max="5" width="5.140625" style="156" customWidth="1"/>
    <col min="6" max="6" width="21.42578125" style="100" customWidth="1"/>
    <col min="7" max="7" width="20.42578125" style="100" customWidth="1"/>
    <col min="8" max="8" width="17.42578125" style="100" customWidth="1"/>
    <col min="9" max="9" width="16.5703125" style="100" customWidth="1"/>
    <col min="10" max="10" width="21.140625" style="96" customWidth="1"/>
    <col min="11" max="11" width="15" style="96" customWidth="1"/>
    <col min="12" max="12" width="11" style="96" customWidth="1"/>
    <col min="13" max="13" width="7.42578125" style="96" customWidth="1"/>
    <col min="14" max="14" width="9.42578125" style="96" customWidth="1"/>
    <col min="15" max="15" width="14" style="96" customWidth="1"/>
    <col min="16" max="16" width="13.42578125" style="96" customWidth="1"/>
    <col min="17" max="16384" width="9.140625" style="96"/>
  </cols>
  <sheetData>
    <row r="2" spans="1:6">
      <c r="B2" s="1308" t="s">
        <v>0</v>
      </c>
      <c r="C2" s="1308"/>
      <c r="D2" s="1308"/>
      <c r="E2" s="156" t="s">
        <v>183</v>
      </c>
      <c r="F2" s="96"/>
    </row>
    <row r="3" spans="1:6">
      <c r="B3" s="1308" t="s">
        <v>667</v>
      </c>
      <c r="C3" s="1308"/>
      <c r="D3" s="1308"/>
      <c r="E3" s="156" t="s">
        <v>183</v>
      </c>
      <c r="F3" s="96"/>
    </row>
    <row r="4" spans="1:6">
      <c r="B4" s="1308" t="s">
        <v>668</v>
      </c>
      <c r="C4" s="1308"/>
      <c r="D4" s="1308"/>
      <c r="E4" s="156" t="s">
        <v>183</v>
      </c>
      <c r="F4" s="96"/>
    </row>
    <row r="5" spans="1:6">
      <c r="B5" s="1308" t="str">
        <f>"BASE PERIOD / TRUE UP PERIOD - 12/31/"&amp;Automation!$B$3&amp;" PER BOOK"</f>
        <v>BASE PERIOD / TRUE UP PERIOD - 12/31/2024 PER BOOK</v>
      </c>
      <c r="C5" s="1308"/>
      <c r="D5" s="1308"/>
      <c r="E5" s="95"/>
      <c r="F5" s="112"/>
    </row>
    <row r="6" spans="1:6">
      <c r="B6" s="1325" t="s">
        <v>3</v>
      </c>
      <c r="C6" s="1325"/>
      <c r="D6" s="1325"/>
      <c r="E6" s="156" t="s">
        <v>183</v>
      </c>
      <c r="F6" s="98"/>
    </row>
    <row r="7" spans="1:6">
      <c r="B7" s="268"/>
      <c r="C7" s="98"/>
      <c r="F7" s="98"/>
    </row>
    <row r="8" spans="1:6">
      <c r="B8" s="1308" t="s">
        <v>669</v>
      </c>
      <c r="C8" s="1308"/>
      <c r="D8" s="1308"/>
      <c r="E8" s="95"/>
      <c r="F8" s="98"/>
    </row>
    <row r="9" spans="1:6">
      <c r="B9" s="1308" t="s">
        <v>670</v>
      </c>
      <c r="C9" s="1308"/>
      <c r="D9" s="1308"/>
      <c r="E9" s="95"/>
    </row>
    <row r="10" spans="1:6">
      <c r="B10" s="1077"/>
      <c r="C10" s="1078"/>
      <c r="D10" s="190"/>
      <c r="E10" s="156" t="s">
        <v>183</v>
      </c>
    </row>
    <row r="11" spans="1:6">
      <c r="B11" s="940"/>
      <c r="C11" s="944" t="s">
        <v>80</v>
      </c>
      <c r="D11" s="941"/>
      <c r="E11" s="105"/>
      <c r="F11" s="122"/>
    </row>
    <row r="12" spans="1:6">
      <c r="B12" s="106"/>
      <c r="C12" s="102" t="s">
        <v>671</v>
      </c>
      <c r="D12" s="102"/>
      <c r="E12" s="105"/>
      <c r="F12" s="122"/>
    </row>
    <row r="13" spans="1:6">
      <c r="A13" s="105" t="s">
        <v>4</v>
      </c>
      <c r="B13" s="102"/>
      <c r="C13" s="102" t="s">
        <v>672</v>
      </c>
      <c r="D13" s="102"/>
      <c r="E13" s="105" t="s">
        <v>4</v>
      </c>
      <c r="F13" s="122"/>
    </row>
    <row r="14" spans="1:6">
      <c r="A14" s="105" t="s">
        <v>5</v>
      </c>
      <c r="B14" s="986" t="s">
        <v>123</v>
      </c>
      <c r="C14" s="102" t="s">
        <v>673</v>
      </c>
      <c r="D14" s="986" t="s">
        <v>8</v>
      </c>
      <c r="E14" s="105" t="s">
        <v>5</v>
      </c>
      <c r="F14" s="122"/>
    </row>
    <row r="15" spans="1:6">
      <c r="A15" s="269">
        <v>1</v>
      </c>
      <c r="B15" s="108" t="str">
        <f>"Dec-"&amp;RIGHT(Automation!$B$3-1,2)</f>
        <v>Dec-23</v>
      </c>
      <c r="C15" s="1199">
        <v>141620.29500000001</v>
      </c>
      <c r="D15" s="180" t="s">
        <v>213</v>
      </c>
      <c r="E15" s="269">
        <f>A15</f>
        <v>1</v>
      </c>
      <c r="F15" s="270"/>
    </row>
    <row r="16" spans="1:6">
      <c r="A16" s="269">
        <f>A15+1</f>
        <v>2</v>
      </c>
      <c r="B16" s="108" t="str">
        <f>"Jan-"&amp;RIGHT(Automation!$B$3,2)</f>
        <v>Jan-24</v>
      </c>
      <c r="C16" s="1200">
        <v>141760.038</v>
      </c>
      <c r="D16" s="180"/>
      <c r="E16" s="269">
        <f>E15+1</f>
        <v>2</v>
      </c>
      <c r="F16" s="270"/>
    </row>
    <row r="17" spans="1:6">
      <c r="A17" s="269">
        <f t="shared" ref="A17:A32" si="0">A16+1</f>
        <v>3</v>
      </c>
      <c r="B17" s="108" t="s">
        <v>214</v>
      </c>
      <c r="C17" s="1200">
        <v>143351.13699999999</v>
      </c>
      <c r="D17" s="180"/>
      <c r="E17" s="269">
        <f t="shared" ref="E17:E32" si="1">E16+1</f>
        <v>3</v>
      </c>
      <c r="F17" s="270"/>
    </row>
    <row r="18" spans="1:6">
      <c r="A18" s="269">
        <f t="shared" si="0"/>
        <v>4</v>
      </c>
      <c r="B18" s="108" t="s">
        <v>215</v>
      </c>
      <c r="C18" s="1200">
        <v>143516.72899999999</v>
      </c>
      <c r="D18" s="180"/>
      <c r="E18" s="269">
        <f t="shared" si="1"/>
        <v>4</v>
      </c>
      <c r="F18" s="270"/>
    </row>
    <row r="19" spans="1:6">
      <c r="A19" s="269">
        <f t="shared" si="0"/>
        <v>5</v>
      </c>
      <c r="B19" s="108" t="s">
        <v>216</v>
      </c>
      <c r="C19" s="1200">
        <v>142858.663</v>
      </c>
      <c r="D19" s="180"/>
      <c r="E19" s="269">
        <f t="shared" si="1"/>
        <v>5</v>
      </c>
      <c r="F19" s="270"/>
    </row>
    <row r="20" spans="1:6">
      <c r="A20" s="269">
        <f t="shared" si="0"/>
        <v>6</v>
      </c>
      <c r="B20" s="108" t="s">
        <v>160</v>
      </c>
      <c r="C20" s="1200">
        <v>143666.726</v>
      </c>
      <c r="D20" s="180"/>
      <c r="E20" s="269">
        <f t="shared" si="1"/>
        <v>6</v>
      </c>
      <c r="F20" s="270"/>
    </row>
    <row r="21" spans="1:6">
      <c r="A21" s="269">
        <f t="shared" si="0"/>
        <v>7</v>
      </c>
      <c r="B21" s="108" t="s">
        <v>217</v>
      </c>
      <c r="C21" s="1200">
        <v>146867.34099999999</v>
      </c>
      <c r="D21" s="180"/>
      <c r="E21" s="269">
        <f t="shared" si="1"/>
        <v>7</v>
      </c>
      <c r="F21" s="270"/>
    </row>
    <row r="22" spans="1:6">
      <c r="A22" s="269">
        <f t="shared" si="0"/>
        <v>8</v>
      </c>
      <c r="B22" s="108" t="s">
        <v>218</v>
      </c>
      <c r="C22" s="1200">
        <v>150595.53899999999</v>
      </c>
      <c r="D22" s="180"/>
      <c r="E22" s="269">
        <f t="shared" si="1"/>
        <v>8</v>
      </c>
      <c r="F22" s="270"/>
    </row>
    <row r="23" spans="1:6">
      <c r="A23" s="269">
        <f t="shared" si="0"/>
        <v>9</v>
      </c>
      <c r="B23" s="108" t="s">
        <v>219</v>
      </c>
      <c r="C23" s="1200">
        <v>157047.31099999999</v>
      </c>
      <c r="D23" s="180"/>
      <c r="E23" s="269">
        <f t="shared" si="1"/>
        <v>9</v>
      </c>
      <c r="F23" s="270"/>
    </row>
    <row r="24" spans="1:6">
      <c r="A24" s="269">
        <f t="shared" si="0"/>
        <v>10</v>
      </c>
      <c r="B24" s="108" t="s">
        <v>220</v>
      </c>
      <c r="C24" s="1200">
        <v>167481.70199999999</v>
      </c>
      <c r="D24" s="180"/>
      <c r="E24" s="269">
        <f t="shared" si="1"/>
        <v>10</v>
      </c>
      <c r="F24" s="270"/>
    </row>
    <row r="25" spans="1:6">
      <c r="A25" s="269">
        <f t="shared" si="0"/>
        <v>11</v>
      </c>
      <c r="B25" s="108" t="s">
        <v>221</v>
      </c>
      <c r="C25" s="1200">
        <v>173410.20300000001</v>
      </c>
      <c r="D25" s="180"/>
      <c r="E25" s="269">
        <f t="shared" si="1"/>
        <v>11</v>
      </c>
      <c r="F25" s="270"/>
    </row>
    <row r="26" spans="1:6">
      <c r="A26" s="269">
        <f t="shared" si="0"/>
        <v>12</v>
      </c>
      <c r="B26" s="108" t="s">
        <v>222</v>
      </c>
      <c r="C26" s="1200">
        <v>178982.45300000001</v>
      </c>
      <c r="D26" s="181"/>
      <c r="E26" s="269">
        <f t="shared" si="1"/>
        <v>12</v>
      </c>
      <c r="F26" s="270"/>
    </row>
    <row r="27" spans="1:6">
      <c r="A27" s="269">
        <f t="shared" si="0"/>
        <v>13</v>
      </c>
      <c r="B27" s="997" t="str">
        <f>"Dec-"&amp;RIGHT(Automation!$B$3,2)</f>
        <v>Dec-24</v>
      </c>
      <c r="C27" s="1201">
        <v>187312.109</v>
      </c>
      <c r="D27" s="999" t="s">
        <v>213</v>
      </c>
      <c r="E27" s="269">
        <f t="shared" si="1"/>
        <v>13</v>
      </c>
      <c r="F27" s="270"/>
    </row>
    <row r="28" spans="1:6">
      <c r="A28" s="269">
        <f t="shared" si="0"/>
        <v>14</v>
      </c>
      <c r="B28" s="1000"/>
      <c r="C28" s="1001"/>
      <c r="D28" s="1002"/>
      <c r="E28" s="269">
        <f t="shared" si="1"/>
        <v>14</v>
      </c>
      <c r="F28" s="122"/>
    </row>
    <row r="29" spans="1:6">
      <c r="A29" s="269">
        <f t="shared" si="0"/>
        <v>15</v>
      </c>
      <c r="B29" s="116" t="s">
        <v>223</v>
      </c>
      <c r="C29" s="209">
        <f>SUM(C15:C27)</f>
        <v>2018470.2459999998</v>
      </c>
      <c r="D29" s="271" t="str">
        <f>"Sum Lines "&amp;A15&amp;" thru "&amp;A27</f>
        <v>Sum Lines 1 thru 13</v>
      </c>
      <c r="E29" s="269">
        <f t="shared" si="1"/>
        <v>15</v>
      </c>
      <c r="F29" s="122"/>
    </row>
    <row r="30" spans="1:6">
      <c r="A30" s="269">
        <f t="shared" si="0"/>
        <v>16</v>
      </c>
      <c r="B30" s="987"/>
      <c r="C30" s="1003"/>
      <c r="D30" s="999"/>
      <c r="E30" s="269">
        <f t="shared" si="1"/>
        <v>16</v>
      </c>
      <c r="F30" s="122"/>
    </row>
    <row r="31" spans="1:6">
      <c r="A31" s="269">
        <f t="shared" si="0"/>
        <v>17</v>
      </c>
      <c r="B31" s="940"/>
      <c r="C31" s="1004"/>
      <c r="D31" s="1005"/>
      <c r="E31" s="269">
        <f t="shared" si="1"/>
        <v>17</v>
      </c>
      <c r="F31" s="122"/>
    </row>
    <row r="32" spans="1:6">
      <c r="A32" s="269">
        <f t="shared" si="0"/>
        <v>18</v>
      </c>
      <c r="B32" s="116" t="s">
        <v>224</v>
      </c>
      <c r="C32" s="175">
        <f>C29/13</f>
        <v>155266.94199999998</v>
      </c>
      <c r="D32" s="1204" t="s">
        <v>982</v>
      </c>
      <c r="E32" s="269">
        <f t="shared" si="1"/>
        <v>18</v>
      </c>
      <c r="F32" s="122"/>
    </row>
    <row r="33" spans="1:6">
      <c r="A33" s="269">
        <f>A32+1</f>
        <v>19</v>
      </c>
      <c r="B33" s="987"/>
      <c r="C33" s="1006"/>
      <c r="D33" s="1007"/>
      <c r="E33" s="269">
        <f>E32+1</f>
        <v>19</v>
      </c>
      <c r="F33" s="122"/>
    </row>
    <row r="34" spans="1:6">
      <c r="A34" s="105"/>
    </row>
    <row r="36" spans="1:6" ht="18.75">
      <c r="A36" s="121"/>
      <c r="B36" s="1153"/>
      <c r="C36" s="272"/>
      <c r="F36" s="1191"/>
    </row>
    <row r="37" spans="1:6">
      <c r="A37" s="105"/>
      <c r="B37" s="1153"/>
      <c r="C37" s="272"/>
    </row>
    <row r="38" spans="1:6">
      <c r="A38" s="105"/>
      <c r="B38" s="1153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>
      <selection activeCell="D38" sqref="D38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62.5703125" style="100" customWidth="1"/>
    <col min="5" max="5" width="5.140625" style="275" customWidth="1"/>
    <col min="6" max="6" width="9.42578125" style="96" bestFit="1" customWidth="1"/>
    <col min="7" max="16384" width="9.140625" style="96"/>
  </cols>
  <sheetData>
    <row r="2" spans="1:8" s="122" customFormat="1">
      <c r="A2" s="105"/>
      <c r="B2" s="1308" t="s">
        <v>0</v>
      </c>
      <c r="C2" s="1308"/>
      <c r="D2" s="1308"/>
      <c r="E2" s="105"/>
      <c r="F2" s="96"/>
    </row>
    <row r="3" spans="1:8" s="122" customFormat="1">
      <c r="A3" s="105"/>
      <c r="B3" s="1308" t="s">
        <v>667</v>
      </c>
      <c r="C3" s="1308"/>
      <c r="D3" s="1308"/>
      <c r="E3" s="105"/>
      <c r="F3" s="96"/>
    </row>
    <row r="4" spans="1:8" s="122" customFormat="1">
      <c r="A4" s="105"/>
      <c r="B4" s="1308" t="s">
        <v>668</v>
      </c>
      <c r="C4" s="1308"/>
      <c r="D4" s="1308"/>
      <c r="E4" s="105"/>
      <c r="F4" s="96"/>
    </row>
    <row r="5" spans="1:8" s="122" customFormat="1">
      <c r="A5" s="105"/>
      <c r="B5" s="1308" t="str">
        <f>"BASE PERIOD / TRUE UP PERIOD - 12/31/"&amp;Automation!$B$3&amp;" PER BOOK"</f>
        <v>BASE PERIOD / TRUE UP PERIOD - 12/31/2024 PER BOOK</v>
      </c>
      <c r="C5" s="1308"/>
      <c r="D5" s="1308"/>
      <c r="E5" s="105"/>
      <c r="F5" s="96"/>
      <c r="H5" s="170"/>
    </row>
    <row r="6" spans="1:8" s="122" customFormat="1">
      <c r="A6" s="105"/>
      <c r="B6" s="1325" t="s">
        <v>3</v>
      </c>
      <c r="C6" s="1325"/>
      <c r="D6" s="1325"/>
      <c r="E6" s="275" t="s">
        <v>183</v>
      </c>
    </row>
    <row r="7" spans="1:8" s="122" customFormat="1">
      <c r="A7" s="105"/>
      <c r="B7" s="1109"/>
      <c r="C7" s="1109"/>
      <c r="D7" s="1109"/>
      <c r="E7" s="275"/>
    </row>
    <row r="8" spans="1:8" s="122" customFormat="1">
      <c r="A8" s="105"/>
      <c r="B8" s="1308" t="s">
        <v>674</v>
      </c>
      <c r="C8" s="1308"/>
      <c r="D8" s="1308"/>
      <c r="E8" s="275" t="s">
        <v>183</v>
      </c>
    </row>
    <row r="9" spans="1:8" s="122" customFormat="1">
      <c r="A9" s="105"/>
      <c r="B9" s="1079"/>
      <c r="C9" s="1078"/>
      <c r="D9" s="272"/>
      <c r="E9" s="275"/>
    </row>
    <row r="10" spans="1:8" s="122" customFormat="1">
      <c r="A10" s="105"/>
      <c r="B10" s="1008"/>
      <c r="C10" s="944" t="s">
        <v>80</v>
      </c>
      <c r="D10" s="941"/>
    </row>
    <row r="11" spans="1:8" s="122" customFormat="1">
      <c r="A11" s="105" t="s">
        <v>4</v>
      </c>
      <c r="B11" s="102"/>
      <c r="C11" s="102" t="s">
        <v>671</v>
      </c>
      <c r="D11" s="102"/>
      <c r="E11" s="105" t="s">
        <v>4</v>
      </c>
    </row>
    <row r="12" spans="1:8" s="122" customFormat="1">
      <c r="A12" s="105" t="s">
        <v>5</v>
      </c>
      <c r="B12" s="986" t="s">
        <v>123</v>
      </c>
      <c r="C12" s="102" t="s">
        <v>675</v>
      </c>
      <c r="D12" s="986" t="s">
        <v>8</v>
      </c>
      <c r="E12" s="105" t="s">
        <v>5</v>
      </c>
    </row>
    <row r="13" spans="1:8" s="122" customFormat="1">
      <c r="A13" s="269">
        <v>1</v>
      </c>
      <c r="B13" s="108" t="str">
        <f>"Dec-"&amp;RIGHT(Automation!$B$3-1,2)</f>
        <v>Dec-23</v>
      </c>
      <c r="C13" s="996">
        <v>95282.198999999993</v>
      </c>
      <c r="D13" s="180" t="s">
        <v>213</v>
      </c>
      <c r="E13" s="269">
        <f>A13</f>
        <v>1</v>
      </c>
      <c r="F13" s="273"/>
    </row>
    <row r="14" spans="1:8" s="122" customFormat="1">
      <c r="A14" s="269">
        <f>A13+1</f>
        <v>2</v>
      </c>
      <c r="B14" s="108" t="str">
        <f>"Jan-"&amp;RIGHT(Automation!$B$3,2)</f>
        <v>Jan-24</v>
      </c>
      <c r="C14" s="274">
        <v>99932.615000000005</v>
      </c>
      <c r="D14" s="180"/>
      <c r="E14" s="269">
        <f>E13+1</f>
        <v>2</v>
      </c>
      <c r="F14" s="273"/>
    </row>
    <row r="15" spans="1:8" s="122" customFormat="1">
      <c r="A15" s="269">
        <f t="shared" ref="A15:A30" si="0">A14+1</f>
        <v>3</v>
      </c>
      <c r="B15" s="108" t="s">
        <v>214</v>
      </c>
      <c r="C15" s="274">
        <v>84334.512000000002</v>
      </c>
      <c r="D15" s="180"/>
      <c r="E15" s="269">
        <f t="shared" ref="E15:E30" si="1">E14+1</f>
        <v>3</v>
      </c>
      <c r="F15" s="273"/>
    </row>
    <row r="16" spans="1:8" s="122" customFormat="1">
      <c r="A16" s="269">
        <f t="shared" si="0"/>
        <v>4</v>
      </c>
      <c r="B16" s="108" t="s">
        <v>215</v>
      </c>
      <c r="C16" s="274">
        <v>82949.673999999999</v>
      </c>
      <c r="D16" s="180"/>
      <c r="E16" s="269">
        <f t="shared" si="1"/>
        <v>4</v>
      </c>
      <c r="F16" s="273"/>
    </row>
    <row r="17" spans="1:6" s="122" customFormat="1">
      <c r="A17" s="269">
        <f t="shared" si="0"/>
        <v>5</v>
      </c>
      <c r="B17" s="108" t="s">
        <v>216</v>
      </c>
      <c r="C17" s="274">
        <v>112258.86900000001</v>
      </c>
      <c r="D17" s="180"/>
      <c r="E17" s="269">
        <f t="shared" si="1"/>
        <v>5</v>
      </c>
      <c r="F17" s="273"/>
    </row>
    <row r="18" spans="1:6" s="122" customFormat="1">
      <c r="A18" s="269">
        <f t="shared" si="0"/>
        <v>6</v>
      </c>
      <c r="B18" s="108" t="s">
        <v>160</v>
      </c>
      <c r="C18" s="274">
        <v>77821.956000000006</v>
      </c>
      <c r="D18" s="180"/>
      <c r="E18" s="269">
        <f t="shared" si="1"/>
        <v>6</v>
      </c>
      <c r="F18" s="273"/>
    </row>
    <row r="19" spans="1:6" s="122" customFormat="1">
      <c r="A19" s="269">
        <f t="shared" si="0"/>
        <v>7</v>
      </c>
      <c r="B19" s="108" t="s">
        <v>217</v>
      </c>
      <c r="C19" s="274">
        <v>46775.330999999998</v>
      </c>
      <c r="D19" s="180"/>
      <c r="E19" s="269">
        <f t="shared" si="1"/>
        <v>7</v>
      </c>
      <c r="F19" s="273"/>
    </row>
    <row r="20" spans="1:6" s="122" customFormat="1">
      <c r="A20" s="269">
        <f t="shared" si="0"/>
        <v>8</v>
      </c>
      <c r="B20" s="108" t="s">
        <v>218</v>
      </c>
      <c r="C20" s="274">
        <v>128197.17600000001</v>
      </c>
      <c r="D20" s="180"/>
      <c r="E20" s="269">
        <f t="shared" si="1"/>
        <v>8</v>
      </c>
      <c r="F20" s="273"/>
    </row>
    <row r="21" spans="1:6" s="122" customFormat="1">
      <c r="A21" s="269">
        <f t="shared" si="0"/>
        <v>9</v>
      </c>
      <c r="B21" s="108" t="s">
        <v>219</v>
      </c>
      <c r="C21" s="274">
        <v>113700.47199999999</v>
      </c>
      <c r="D21" s="180"/>
      <c r="E21" s="269">
        <f t="shared" si="1"/>
        <v>9</v>
      </c>
      <c r="F21" s="273"/>
    </row>
    <row r="22" spans="1:6" s="122" customFormat="1">
      <c r="A22" s="269">
        <f t="shared" si="0"/>
        <v>10</v>
      </c>
      <c r="B22" s="108" t="s">
        <v>220</v>
      </c>
      <c r="C22" s="274">
        <v>108028.802</v>
      </c>
      <c r="D22" s="180"/>
      <c r="E22" s="269">
        <f t="shared" si="1"/>
        <v>10</v>
      </c>
      <c r="F22" s="273"/>
    </row>
    <row r="23" spans="1:6" s="122" customFormat="1">
      <c r="A23" s="269">
        <f t="shared" si="0"/>
        <v>11</v>
      </c>
      <c r="B23" s="108" t="s">
        <v>221</v>
      </c>
      <c r="C23" s="274">
        <v>99546.172000000006</v>
      </c>
      <c r="D23" s="180"/>
      <c r="E23" s="269">
        <f t="shared" si="1"/>
        <v>11</v>
      </c>
      <c r="F23" s="273"/>
    </row>
    <row r="24" spans="1:6" s="122" customFormat="1">
      <c r="A24" s="269">
        <f t="shared" si="0"/>
        <v>12</v>
      </c>
      <c r="B24" s="108" t="s">
        <v>222</v>
      </c>
      <c r="C24" s="274">
        <v>84410.754000000001</v>
      </c>
      <c r="D24" s="180"/>
      <c r="E24" s="269">
        <f t="shared" si="1"/>
        <v>12</v>
      </c>
      <c r="F24" s="273"/>
    </row>
    <row r="25" spans="1:6" s="122" customFormat="1">
      <c r="A25" s="269">
        <f t="shared" si="0"/>
        <v>13</v>
      </c>
      <c r="B25" s="997" t="str">
        <f>"Dec-"&amp;RIGHT(Automation!$B$3,2)</f>
        <v>Dec-24</v>
      </c>
      <c r="C25" s="1009">
        <v>83328.320999999996</v>
      </c>
      <c r="D25" s="999" t="s">
        <v>213</v>
      </c>
      <c r="E25" s="269">
        <f t="shared" si="1"/>
        <v>13</v>
      </c>
      <c r="F25" s="273"/>
    </row>
    <row r="26" spans="1:6" s="122" customFormat="1">
      <c r="A26" s="269">
        <f t="shared" si="0"/>
        <v>14</v>
      </c>
      <c r="B26" s="1000"/>
      <c r="C26" s="1010"/>
      <c r="D26" s="1002"/>
      <c r="E26" s="269">
        <f t="shared" si="1"/>
        <v>14</v>
      </c>
      <c r="F26" s="273"/>
    </row>
    <row r="27" spans="1:6" s="122" customFormat="1">
      <c r="A27" s="269">
        <f t="shared" si="0"/>
        <v>15</v>
      </c>
      <c r="B27" s="116" t="s">
        <v>223</v>
      </c>
      <c r="C27" s="209">
        <f>SUM(C13:C25)</f>
        <v>1216566.8529999999</v>
      </c>
      <c r="D27" s="271" t="str">
        <f>"Sum Lines "&amp;A13&amp;" thru "&amp;A25</f>
        <v>Sum Lines 1 thru 13</v>
      </c>
      <c r="E27" s="269">
        <f t="shared" si="1"/>
        <v>15</v>
      </c>
    </row>
    <row r="28" spans="1:6" s="122" customFormat="1">
      <c r="A28" s="269">
        <f t="shared" si="0"/>
        <v>16</v>
      </c>
      <c r="B28" s="987"/>
      <c r="C28" s="1003"/>
      <c r="D28" s="999"/>
      <c r="E28" s="269">
        <f t="shared" si="1"/>
        <v>16</v>
      </c>
    </row>
    <row r="29" spans="1:6" s="122" customFormat="1">
      <c r="A29" s="269">
        <f t="shared" si="0"/>
        <v>17</v>
      </c>
      <c r="B29" s="940"/>
      <c r="C29" s="1004"/>
      <c r="D29" s="1005"/>
      <c r="E29" s="269">
        <f t="shared" si="1"/>
        <v>17</v>
      </c>
    </row>
    <row r="30" spans="1:6" s="122" customFormat="1">
      <c r="A30" s="269">
        <f t="shared" si="0"/>
        <v>18</v>
      </c>
      <c r="B30" s="116" t="s">
        <v>372</v>
      </c>
      <c r="C30" s="175">
        <f>C27/13</f>
        <v>93582.065615384607</v>
      </c>
      <c r="D30" s="1198" t="s">
        <v>983</v>
      </c>
      <c r="E30" s="269">
        <f t="shared" si="1"/>
        <v>18</v>
      </c>
      <c r="F30" s="273"/>
    </row>
    <row r="31" spans="1:6" s="122" customFormat="1">
      <c r="A31" s="269">
        <f>A30+1</f>
        <v>19</v>
      </c>
      <c r="B31" s="987"/>
      <c r="C31" s="1006"/>
      <c r="D31" s="1011"/>
      <c r="E31" s="269">
        <f>E30+1</f>
        <v>19</v>
      </c>
    </row>
    <row r="32" spans="1:6" s="122" customFormat="1">
      <c r="A32" s="105"/>
      <c r="C32" s="166"/>
      <c r="D32" s="166"/>
      <c r="E32" s="275"/>
    </row>
    <row r="33" spans="1:8" s="122" customFormat="1" ht="18.75">
      <c r="A33" s="306"/>
      <c r="E33" s="275"/>
    </row>
    <row r="34" spans="1:8" s="122" customFormat="1">
      <c r="A34"/>
      <c r="B34"/>
      <c r="C34"/>
      <c r="D34"/>
      <c r="E34"/>
      <c r="H34" s="170"/>
    </row>
    <row r="35" spans="1:8" s="122" customFormat="1">
      <c r="A35"/>
      <c r="B35"/>
      <c r="C35"/>
      <c r="D35"/>
      <c r="E35"/>
    </row>
    <row r="36" spans="1:8" s="122" customFormat="1">
      <c r="A36"/>
      <c r="B36"/>
      <c r="C36"/>
      <c r="D36"/>
      <c r="E36"/>
    </row>
    <row r="37" spans="1:8" s="122" customFormat="1">
      <c r="A37" s="105"/>
      <c r="C37" s="166"/>
      <c r="D37" s="166"/>
      <c r="E37" s="275"/>
    </row>
    <row r="38" spans="1:8" s="122" customFormat="1">
      <c r="A38" s="105"/>
      <c r="C38" s="166"/>
      <c r="D38" s="331"/>
      <c r="E38" s="275"/>
    </row>
    <row r="39" spans="1:8" s="122" customFormat="1">
      <c r="A39" s="105"/>
      <c r="C39" s="166"/>
      <c r="D39" s="166"/>
      <c r="E39" s="275"/>
    </row>
    <row r="40" spans="1:8" s="122" customFormat="1">
      <c r="A40" s="105"/>
      <c r="C40" s="166"/>
      <c r="D40" s="166"/>
      <c r="E40" s="275"/>
    </row>
    <row r="41" spans="1:8" s="122" customFormat="1">
      <c r="A41" s="105"/>
      <c r="C41" s="166"/>
      <c r="D41" s="166"/>
      <c r="E41" s="275"/>
    </row>
    <row r="42" spans="1:8" s="122" customFormat="1">
      <c r="A42" s="105"/>
      <c r="C42" s="166"/>
      <c r="D42" s="166"/>
      <c r="E42" s="275"/>
    </row>
    <row r="43" spans="1:8" s="122" customFormat="1">
      <c r="A43" s="105"/>
      <c r="C43" s="166"/>
      <c r="D43" s="166"/>
      <c r="E43" s="275"/>
    </row>
    <row r="44" spans="1:8" s="122" customFormat="1">
      <c r="A44" s="105"/>
      <c r="C44" s="166"/>
      <c r="D44" s="166"/>
      <c r="E44" s="275"/>
    </row>
    <row r="45" spans="1:8" s="122" customFormat="1">
      <c r="A45" s="105"/>
      <c r="C45" s="166"/>
      <c r="D45" s="166"/>
      <c r="E45" s="275"/>
    </row>
    <row r="46" spans="1:8" s="122" customFormat="1">
      <c r="A46" s="105"/>
      <c r="C46" s="166"/>
      <c r="D46" s="166"/>
      <c r="E46" s="275"/>
    </row>
    <row r="47" spans="1:8" s="122" customFormat="1">
      <c r="A47" s="105"/>
      <c r="C47" s="166"/>
      <c r="D47" s="166"/>
      <c r="E47" s="275"/>
    </row>
    <row r="48" spans="1:8" s="122" customFormat="1">
      <c r="A48" s="105"/>
      <c r="C48" s="166"/>
      <c r="D48" s="166"/>
      <c r="E48" s="275"/>
    </row>
    <row r="49" spans="1:5" s="122" customFormat="1">
      <c r="A49" s="105"/>
      <c r="C49" s="166"/>
      <c r="D49" s="166"/>
      <c r="E49" s="275"/>
    </row>
    <row r="50" spans="1:5" s="122" customFormat="1">
      <c r="A50" s="105"/>
      <c r="C50" s="166"/>
      <c r="D50" s="166"/>
      <c r="E50" s="275"/>
    </row>
    <row r="51" spans="1:5" s="122" customFormat="1">
      <c r="A51" s="105"/>
      <c r="C51" s="166"/>
      <c r="D51" s="166"/>
      <c r="E51" s="275"/>
    </row>
    <row r="52" spans="1:5" s="122" customFormat="1">
      <c r="A52" s="105"/>
      <c r="C52" s="166"/>
      <c r="D52" s="166"/>
      <c r="E52" s="275"/>
    </row>
    <row r="53" spans="1:5" s="122" customFormat="1">
      <c r="A53" s="105"/>
      <c r="C53" s="166"/>
      <c r="D53" s="166"/>
      <c r="E53" s="275"/>
    </row>
    <row r="54" spans="1:5" s="122" customFormat="1">
      <c r="A54" s="105"/>
      <c r="C54" s="166"/>
      <c r="D54" s="166"/>
      <c r="E54" s="275"/>
    </row>
    <row r="55" spans="1:5" s="122" customFormat="1">
      <c r="A55" s="105"/>
      <c r="C55" s="166"/>
      <c r="D55" s="166"/>
      <c r="E55" s="275"/>
    </row>
    <row r="56" spans="1:5" s="122" customFormat="1">
      <c r="A56" s="105"/>
      <c r="C56" s="166"/>
      <c r="D56" s="166"/>
      <c r="E56" s="275"/>
    </row>
    <row r="57" spans="1:5" s="122" customFormat="1">
      <c r="A57" s="105"/>
      <c r="C57" s="166"/>
      <c r="D57" s="166"/>
      <c r="E57" s="275"/>
    </row>
    <row r="58" spans="1:5" s="122" customFormat="1">
      <c r="A58" s="105"/>
      <c r="C58" s="166"/>
      <c r="D58" s="166"/>
      <c r="E58" s="275"/>
    </row>
    <row r="59" spans="1:5" s="122" customFormat="1">
      <c r="A59" s="105"/>
      <c r="C59" s="166"/>
      <c r="D59" s="166"/>
      <c r="E59" s="275"/>
    </row>
    <row r="60" spans="1:5" s="122" customFormat="1">
      <c r="A60" s="105"/>
      <c r="C60" s="166"/>
      <c r="D60" s="166"/>
      <c r="E60" s="275"/>
    </row>
    <row r="61" spans="1:5" s="122" customFormat="1">
      <c r="A61" s="105"/>
      <c r="C61" s="166"/>
      <c r="D61" s="166"/>
      <c r="E61" s="275"/>
    </row>
    <row r="62" spans="1:5" s="122" customFormat="1">
      <c r="A62" s="105"/>
      <c r="C62" s="166"/>
      <c r="D62" s="166"/>
      <c r="E62" s="275"/>
    </row>
    <row r="63" spans="1:5" s="122" customFormat="1">
      <c r="A63" s="105"/>
      <c r="C63" s="166"/>
      <c r="D63" s="166"/>
      <c r="E63" s="275"/>
    </row>
    <row r="64" spans="1:5" s="122" customFormat="1">
      <c r="A64" s="105"/>
      <c r="C64" s="166"/>
      <c r="D64" s="166"/>
      <c r="E64" s="275"/>
    </row>
    <row r="65" spans="1:5" s="122" customFormat="1">
      <c r="A65" s="105"/>
      <c r="C65" s="166"/>
      <c r="D65" s="166"/>
      <c r="E65" s="275"/>
    </row>
    <row r="66" spans="1:5" s="122" customFormat="1">
      <c r="A66" s="105"/>
      <c r="C66" s="166"/>
      <c r="D66" s="166"/>
      <c r="E66" s="275"/>
    </row>
    <row r="67" spans="1:5" s="122" customFormat="1">
      <c r="A67" s="105"/>
      <c r="C67" s="166"/>
      <c r="D67" s="166"/>
      <c r="E67" s="275"/>
    </row>
    <row r="68" spans="1:5" s="122" customFormat="1">
      <c r="A68" s="105"/>
      <c r="C68" s="166"/>
      <c r="D68" s="166"/>
      <c r="E68" s="275"/>
    </row>
    <row r="69" spans="1:5" s="122" customFormat="1">
      <c r="A69" s="105"/>
      <c r="C69" s="166"/>
      <c r="D69" s="166"/>
      <c r="E69" s="275"/>
    </row>
    <row r="70" spans="1:5" s="122" customFormat="1">
      <c r="A70" s="105"/>
      <c r="C70" s="166"/>
      <c r="D70" s="166"/>
      <c r="E70" s="275"/>
    </row>
    <row r="71" spans="1:5" s="122" customFormat="1">
      <c r="A71" s="105"/>
      <c r="C71" s="166"/>
      <c r="D71" s="166"/>
      <c r="E71" s="275"/>
    </row>
    <row r="72" spans="1:5" s="122" customFormat="1">
      <c r="A72" s="105"/>
      <c r="C72" s="166"/>
      <c r="D72" s="166"/>
      <c r="E72" s="275"/>
    </row>
    <row r="73" spans="1:5" s="122" customFormat="1">
      <c r="A73" s="105"/>
      <c r="C73" s="166"/>
      <c r="D73" s="166"/>
      <c r="E73" s="275"/>
    </row>
    <row r="74" spans="1:5" s="122" customFormat="1">
      <c r="A74" s="105"/>
      <c r="C74" s="166"/>
      <c r="D74" s="166"/>
      <c r="E74" s="275"/>
    </row>
    <row r="75" spans="1:5" s="122" customFormat="1">
      <c r="A75" s="105"/>
      <c r="C75" s="166"/>
      <c r="D75" s="166"/>
      <c r="E75" s="275"/>
    </row>
    <row r="76" spans="1:5" s="122" customFormat="1">
      <c r="A76" s="105"/>
      <c r="C76" s="166"/>
      <c r="D76" s="166"/>
      <c r="E76" s="275"/>
    </row>
    <row r="77" spans="1:5" s="122" customFormat="1">
      <c r="A77" s="105"/>
      <c r="C77" s="166"/>
      <c r="D77" s="166"/>
      <c r="E77" s="275"/>
    </row>
    <row r="78" spans="1:5" s="122" customFormat="1">
      <c r="A78" s="105"/>
      <c r="C78" s="166"/>
      <c r="D78" s="166"/>
      <c r="E78" s="275"/>
    </row>
    <row r="79" spans="1:5" s="122" customFormat="1">
      <c r="A79" s="105"/>
      <c r="C79" s="166"/>
      <c r="D79" s="166"/>
      <c r="E79" s="275"/>
    </row>
    <row r="80" spans="1:5" s="122" customFormat="1">
      <c r="A80" s="105"/>
      <c r="C80" s="166"/>
      <c r="D80" s="166"/>
      <c r="E80" s="275"/>
    </row>
    <row r="81" spans="1:5" s="122" customFormat="1">
      <c r="A81" s="105"/>
      <c r="C81" s="166"/>
      <c r="D81" s="166"/>
      <c r="E81" s="275"/>
    </row>
    <row r="82" spans="1:5" s="122" customFormat="1">
      <c r="A82" s="105"/>
      <c r="C82" s="166"/>
      <c r="D82" s="166"/>
      <c r="E82" s="275"/>
    </row>
    <row r="83" spans="1:5" s="122" customFormat="1">
      <c r="A83" s="105"/>
      <c r="C83" s="166"/>
      <c r="D83" s="166"/>
      <c r="E83" s="275"/>
    </row>
    <row r="84" spans="1:5" s="122" customFormat="1">
      <c r="A84" s="105"/>
      <c r="C84" s="166"/>
      <c r="D84" s="166"/>
      <c r="E84" s="275"/>
    </row>
    <row r="85" spans="1:5" s="122" customFormat="1">
      <c r="A85" s="105"/>
      <c r="C85" s="166"/>
      <c r="D85" s="166"/>
      <c r="E85" s="275"/>
    </row>
    <row r="86" spans="1:5" s="122" customFormat="1">
      <c r="A86" s="105"/>
      <c r="C86" s="166"/>
      <c r="D86" s="166"/>
      <c r="E86" s="275"/>
    </row>
    <row r="87" spans="1:5" s="122" customFormat="1">
      <c r="A87" s="105"/>
      <c r="C87" s="166"/>
      <c r="D87" s="166"/>
      <c r="E87" s="275"/>
    </row>
    <row r="88" spans="1:5" s="122" customFormat="1">
      <c r="A88" s="105"/>
      <c r="C88" s="166"/>
      <c r="D88" s="166"/>
      <c r="E88" s="275"/>
    </row>
    <row r="89" spans="1:5" s="122" customFormat="1">
      <c r="A89" s="105"/>
      <c r="C89" s="166"/>
      <c r="D89" s="166"/>
      <c r="E89" s="275"/>
    </row>
    <row r="90" spans="1:5" s="122" customFormat="1">
      <c r="A90" s="105"/>
      <c r="C90" s="166"/>
      <c r="D90" s="166"/>
      <c r="E90" s="275"/>
    </row>
    <row r="91" spans="1:5" s="122" customFormat="1">
      <c r="A91" s="105"/>
      <c r="C91" s="166"/>
      <c r="D91" s="166"/>
      <c r="E91" s="275"/>
    </row>
    <row r="92" spans="1:5" s="122" customFormat="1">
      <c r="A92" s="105"/>
      <c r="C92" s="166"/>
      <c r="D92" s="166"/>
      <c r="E92" s="275"/>
    </row>
    <row r="93" spans="1:5" s="122" customFormat="1">
      <c r="A93" s="105"/>
      <c r="C93" s="166"/>
      <c r="D93" s="166"/>
      <c r="E93" s="275"/>
    </row>
    <row r="94" spans="1:5" s="122" customFormat="1">
      <c r="A94" s="105"/>
      <c r="C94" s="166"/>
      <c r="D94" s="166"/>
      <c r="E94" s="275"/>
    </row>
    <row r="95" spans="1:5" s="122" customFormat="1">
      <c r="A95" s="105"/>
      <c r="C95" s="166"/>
      <c r="D95" s="166"/>
      <c r="E95" s="275"/>
    </row>
    <row r="96" spans="1:5" s="122" customFormat="1">
      <c r="A96" s="105"/>
      <c r="C96" s="166"/>
      <c r="D96" s="166"/>
      <c r="E96" s="275"/>
    </row>
    <row r="97" spans="1:5" s="122" customFormat="1">
      <c r="A97" s="105"/>
      <c r="C97" s="166"/>
      <c r="D97" s="166"/>
      <c r="E97" s="275"/>
    </row>
    <row r="98" spans="1:5" s="122" customFormat="1">
      <c r="A98" s="105"/>
      <c r="C98" s="166"/>
      <c r="D98" s="166"/>
      <c r="E98" s="275"/>
    </row>
    <row r="99" spans="1:5" s="122" customFormat="1">
      <c r="A99" s="105"/>
      <c r="C99" s="166"/>
      <c r="D99" s="166"/>
      <c r="E99" s="275"/>
    </row>
    <row r="100" spans="1:5" s="122" customFormat="1">
      <c r="A100" s="105"/>
      <c r="C100" s="166"/>
      <c r="D100" s="166"/>
      <c r="E100" s="275"/>
    </row>
    <row r="101" spans="1:5" s="122" customFormat="1">
      <c r="A101" s="105"/>
      <c r="C101" s="166"/>
      <c r="D101" s="166"/>
      <c r="E101" s="275"/>
    </row>
    <row r="102" spans="1:5" s="122" customFormat="1">
      <c r="A102" s="105"/>
      <c r="C102" s="166"/>
      <c r="D102" s="166"/>
      <c r="E102" s="275"/>
    </row>
    <row r="103" spans="1:5" s="122" customFormat="1">
      <c r="A103" s="105"/>
      <c r="C103" s="166"/>
      <c r="D103" s="166"/>
      <c r="E103" s="275"/>
    </row>
    <row r="104" spans="1:5" s="122" customFormat="1">
      <c r="A104" s="105"/>
      <c r="C104" s="166"/>
      <c r="D104" s="166"/>
      <c r="E104" s="275"/>
    </row>
    <row r="105" spans="1:5" s="122" customFormat="1">
      <c r="A105" s="105"/>
      <c r="C105" s="166"/>
      <c r="D105" s="166"/>
      <c r="E105" s="275"/>
    </row>
    <row r="106" spans="1:5" s="122" customFormat="1">
      <c r="A106" s="105"/>
      <c r="C106" s="166"/>
      <c r="D106" s="166"/>
      <c r="E106" s="275"/>
    </row>
    <row r="107" spans="1:5" s="122" customFormat="1">
      <c r="A107" s="105"/>
      <c r="C107" s="166"/>
      <c r="D107" s="166"/>
      <c r="E107" s="275"/>
    </row>
    <row r="108" spans="1:5" s="122" customFormat="1">
      <c r="A108" s="105"/>
      <c r="C108" s="166"/>
      <c r="D108" s="166"/>
      <c r="E108" s="275"/>
    </row>
    <row r="109" spans="1:5" s="122" customFormat="1">
      <c r="A109" s="105"/>
      <c r="C109" s="166"/>
      <c r="D109" s="166"/>
      <c r="E109" s="275"/>
    </row>
    <row r="110" spans="1:5" s="122" customFormat="1">
      <c r="A110" s="105"/>
      <c r="C110" s="166"/>
      <c r="D110" s="166"/>
      <c r="E110" s="275"/>
    </row>
    <row r="111" spans="1:5" s="122" customFormat="1">
      <c r="A111" s="105"/>
      <c r="C111" s="166"/>
      <c r="D111" s="166"/>
      <c r="E111" s="275"/>
    </row>
    <row r="112" spans="1:5" s="122" customFormat="1">
      <c r="A112" s="105"/>
      <c r="C112" s="166"/>
      <c r="D112" s="166"/>
      <c r="E112" s="275"/>
    </row>
    <row r="113" spans="1:5" s="122" customFormat="1">
      <c r="A113" s="105"/>
      <c r="C113" s="166"/>
      <c r="D113" s="166"/>
      <c r="E113" s="275"/>
    </row>
    <row r="114" spans="1:5" s="122" customFormat="1">
      <c r="A114" s="105"/>
      <c r="C114" s="166"/>
      <c r="D114" s="166"/>
      <c r="E114" s="275"/>
    </row>
    <row r="115" spans="1:5" s="122" customFormat="1">
      <c r="A115" s="105"/>
      <c r="C115" s="166"/>
      <c r="D115" s="166"/>
      <c r="E115" s="275"/>
    </row>
    <row r="116" spans="1:5" s="122" customFormat="1">
      <c r="A116" s="105"/>
      <c r="C116" s="166"/>
      <c r="D116" s="166"/>
      <c r="E116" s="275"/>
    </row>
    <row r="117" spans="1:5" s="122" customFormat="1">
      <c r="A117" s="105"/>
      <c r="C117" s="166"/>
      <c r="D117" s="166"/>
      <c r="E117" s="275"/>
    </row>
    <row r="118" spans="1:5" s="122" customFormat="1">
      <c r="A118" s="105"/>
      <c r="C118" s="166"/>
      <c r="D118" s="166"/>
      <c r="E118" s="275"/>
    </row>
    <row r="119" spans="1:5" s="122" customFormat="1">
      <c r="A119" s="105"/>
      <c r="C119" s="166"/>
      <c r="D119" s="166"/>
      <c r="E119" s="275"/>
    </row>
    <row r="120" spans="1:5" s="122" customFormat="1">
      <c r="A120" s="105"/>
      <c r="C120" s="166"/>
      <c r="D120" s="166"/>
      <c r="E120" s="275"/>
    </row>
    <row r="121" spans="1:5" s="122" customFormat="1">
      <c r="A121" s="105"/>
      <c r="C121" s="166"/>
      <c r="D121" s="166"/>
      <c r="E121" s="275"/>
    </row>
    <row r="122" spans="1:5" s="122" customFormat="1">
      <c r="A122" s="105"/>
      <c r="C122" s="166"/>
      <c r="D122" s="166"/>
      <c r="E122" s="275"/>
    </row>
    <row r="123" spans="1:5" s="122" customFormat="1">
      <c r="A123" s="105"/>
      <c r="C123" s="166"/>
      <c r="D123" s="166"/>
      <c r="E123" s="275"/>
    </row>
    <row r="124" spans="1:5" s="122" customFormat="1">
      <c r="A124" s="105"/>
      <c r="C124" s="166"/>
      <c r="D124" s="166"/>
      <c r="E124" s="275"/>
    </row>
    <row r="125" spans="1:5" s="122" customFormat="1">
      <c r="A125" s="105"/>
      <c r="C125" s="166"/>
      <c r="D125" s="166"/>
      <c r="E125" s="275"/>
    </row>
    <row r="126" spans="1:5" s="122" customFormat="1">
      <c r="A126" s="105"/>
      <c r="C126" s="166"/>
      <c r="D126" s="166"/>
      <c r="E126" s="275"/>
    </row>
    <row r="127" spans="1:5" s="122" customFormat="1">
      <c r="A127" s="105"/>
      <c r="C127" s="166"/>
      <c r="D127" s="166"/>
      <c r="E127" s="275"/>
    </row>
    <row r="128" spans="1:5" s="122" customFormat="1">
      <c r="A128" s="105"/>
      <c r="C128" s="166"/>
      <c r="D128" s="166"/>
      <c r="E128" s="275"/>
    </row>
    <row r="129" spans="1:5" s="122" customFormat="1">
      <c r="A129" s="105"/>
      <c r="C129" s="166"/>
      <c r="D129" s="166"/>
      <c r="E129" s="275"/>
    </row>
    <row r="130" spans="1:5" s="122" customFormat="1">
      <c r="A130" s="105"/>
      <c r="C130" s="166"/>
      <c r="D130" s="166"/>
      <c r="E130" s="275"/>
    </row>
    <row r="131" spans="1:5" s="122" customFormat="1">
      <c r="A131" s="105"/>
      <c r="C131" s="166"/>
      <c r="D131" s="166"/>
      <c r="E131" s="275"/>
    </row>
    <row r="132" spans="1:5" s="122" customFormat="1">
      <c r="A132" s="105"/>
      <c r="C132" s="166"/>
      <c r="D132" s="166"/>
      <c r="E132" s="275"/>
    </row>
    <row r="133" spans="1:5" s="122" customFormat="1">
      <c r="A133" s="105"/>
      <c r="C133" s="166"/>
      <c r="D133" s="166"/>
      <c r="E133" s="275"/>
    </row>
    <row r="134" spans="1:5" s="122" customFormat="1">
      <c r="A134" s="105"/>
      <c r="C134" s="166"/>
      <c r="D134" s="166"/>
      <c r="E134" s="275"/>
    </row>
    <row r="135" spans="1:5" s="122" customFormat="1">
      <c r="A135" s="105"/>
      <c r="C135" s="166"/>
      <c r="D135" s="166"/>
      <c r="E135" s="275"/>
    </row>
    <row r="136" spans="1:5" s="122" customFormat="1">
      <c r="A136" s="105"/>
      <c r="C136" s="166"/>
      <c r="D136" s="166"/>
      <c r="E136" s="275"/>
    </row>
    <row r="137" spans="1:5" s="122" customFormat="1">
      <c r="A137" s="105"/>
      <c r="C137" s="166"/>
      <c r="D137" s="166"/>
      <c r="E137" s="275"/>
    </row>
    <row r="138" spans="1:5" s="122" customFormat="1">
      <c r="A138" s="105"/>
      <c r="C138" s="166"/>
      <c r="D138" s="166"/>
      <c r="E138" s="275"/>
    </row>
    <row r="139" spans="1:5" s="122" customFormat="1">
      <c r="A139" s="105"/>
      <c r="C139" s="166"/>
      <c r="D139" s="166"/>
      <c r="E139" s="275"/>
    </row>
    <row r="140" spans="1:5" s="122" customFormat="1">
      <c r="A140" s="105"/>
      <c r="C140" s="166"/>
      <c r="D140" s="166"/>
      <c r="E140" s="275"/>
    </row>
    <row r="141" spans="1:5" s="122" customFormat="1">
      <c r="A141" s="105"/>
      <c r="C141" s="166"/>
      <c r="D141" s="166"/>
      <c r="E141" s="275"/>
    </row>
    <row r="142" spans="1:5" s="122" customFormat="1">
      <c r="A142" s="105"/>
      <c r="C142" s="166"/>
      <c r="D142" s="166"/>
      <c r="E142" s="27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>
      <selection activeCell="G39" sqref="G39"/>
    </sheetView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140625" style="122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customWidth="1"/>
    <col min="9" max="9" width="8.85546875" style="122"/>
    <col min="10" max="10" width="20.42578125" style="122" bestFit="1" customWidth="1"/>
    <col min="11" max="16384" width="8.85546875" style="122"/>
  </cols>
  <sheetData>
    <row r="1" spans="1:8">
      <c r="E1" s="276"/>
      <c r="F1" s="276"/>
      <c r="G1" s="105"/>
      <c r="H1" s="105"/>
    </row>
    <row r="2" spans="1:8">
      <c r="B2" s="1308" t="s">
        <v>0</v>
      </c>
      <c r="C2" s="1308"/>
      <c r="D2" s="1308"/>
      <c r="E2" s="1308"/>
      <c r="F2" s="1308"/>
      <c r="G2" s="1308"/>
      <c r="H2" s="105"/>
    </row>
    <row r="3" spans="1:8">
      <c r="B3" s="1308" t="s">
        <v>676</v>
      </c>
      <c r="C3" s="1308"/>
      <c r="D3" s="1308"/>
      <c r="E3" s="1308"/>
      <c r="F3" s="1308"/>
      <c r="G3" s="1308"/>
      <c r="H3" s="105"/>
    </row>
    <row r="4" spans="1:8">
      <c r="B4" s="1308" t="s">
        <v>677</v>
      </c>
      <c r="C4" s="1308"/>
      <c r="D4" s="1308"/>
      <c r="E4" s="1308"/>
      <c r="F4" s="1308"/>
      <c r="G4" s="1308"/>
      <c r="H4" s="105"/>
    </row>
    <row r="5" spans="1:8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05"/>
    </row>
    <row r="6" spans="1:8">
      <c r="B6" s="1312" t="s">
        <v>3</v>
      </c>
      <c r="C6" s="1309"/>
      <c r="D6" s="1309"/>
      <c r="E6" s="1309"/>
      <c r="F6" s="1309"/>
      <c r="G6" s="1309"/>
      <c r="H6" s="105"/>
    </row>
    <row r="7" spans="1:8">
      <c r="B7" s="105"/>
      <c r="C7" s="105"/>
      <c r="D7" s="105"/>
      <c r="E7" s="105"/>
      <c r="F7" s="105"/>
      <c r="G7" s="105"/>
      <c r="H7" s="105"/>
    </row>
    <row r="8" spans="1:8">
      <c r="A8" s="105" t="s">
        <v>4</v>
      </c>
      <c r="C8" s="211" t="s">
        <v>186</v>
      </c>
      <c r="E8" s="105"/>
      <c r="F8" s="105"/>
      <c r="G8" s="105"/>
      <c r="H8" s="105" t="s">
        <v>4</v>
      </c>
    </row>
    <row r="9" spans="1:8">
      <c r="A9" s="105" t="s">
        <v>5</v>
      </c>
      <c r="B9" s="122" t="s">
        <v>183</v>
      </c>
      <c r="C9" s="845" t="s">
        <v>188</v>
      </c>
      <c r="E9" s="849" t="s">
        <v>7</v>
      </c>
      <c r="F9" s="277"/>
      <c r="G9" s="849" t="s">
        <v>8</v>
      </c>
      <c r="H9" s="105" t="s">
        <v>5</v>
      </c>
    </row>
    <row r="10" spans="1:8">
      <c r="E10" s="276"/>
      <c r="F10" s="276"/>
      <c r="G10" s="105"/>
      <c r="H10" s="105"/>
    </row>
    <row r="11" spans="1:8">
      <c r="A11" s="105">
        <f>+A10+1</f>
        <v>1</v>
      </c>
      <c r="B11" s="122" t="s">
        <v>678</v>
      </c>
      <c r="C11" s="211" t="s">
        <v>949</v>
      </c>
      <c r="E11" s="278">
        <v>-264.76299999999998</v>
      </c>
      <c r="F11" s="277"/>
      <c r="G11" s="277"/>
      <c r="H11" s="105">
        <f>A11</f>
        <v>1</v>
      </c>
    </row>
    <row r="12" spans="1:8">
      <c r="A12" s="105">
        <f>+A11+1</f>
        <v>2</v>
      </c>
      <c r="C12" s="69"/>
      <c r="E12" s="276"/>
      <c r="F12" s="276"/>
      <c r="G12" s="277"/>
      <c r="H12" s="105">
        <f>+H11+1</f>
        <v>2</v>
      </c>
    </row>
    <row r="13" spans="1:8">
      <c r="A13" s="105">
        <f t="shared" ref="A13:A20" si="0">+A12+1</f>
        <v>3</v>
      </c>
      <c r="B13" s="122" t="s">
        <v>679</v>
      </c>
      <c r="C13" s="69"/>
      <c r="E13" s="276"/>
      <c r="F13" s="276"/>
      <c r="G13" s="277"/>
      <c r="H13" s="105">
        <f t="shared" ref="H13:H20" si="1">+H12+1</f>
        <v>3</v>
      </c>
    </row>
    <row r="14" spans="1:8">
      <c r="A14" s="105">
        <f t="shared" si="0"/>
        <v>4</v>
      </c>
      <c r="B14" s="18" t="s">
        <v>680</v>
      </c>
      <c r="C14" s="211" t="s">
        <v>950</v>
      </c>
      <c r="E14" s="327">
        <f>'AR-1'!G17+'AR-1'!G33</f>
        <v>1647.4000339240852</v>
      </c>
      <c r="F14" s="276"/>
      <c r="G14" s="105" t="str">
        <f>"AR-1; Line "&amp;'AR-1'!A17&amp;" + Line "&amp;'AR-1'!A33&amp;"; Col. c"</f>
        <v>AR-1; Line 6 + Line 22; Col. c</v>
      </c>
      <c r="H14" s="105">
        <f t="shared" si="1"/>
        <v>4</v>
      </c>
    </row>
    <row r="15" spans="1:8">
      <c r="A15" s="105">
        <f t="shared" si="0"/>
        <v>5</v>
      </c>
      <c r="B15" s="18" t="s">
        <v>681</v>
      </c>
      <c r="C15" s="211" t="s">
        <v>951</v>
      </c>
      <c r="E15" s="327">
        <f>'AR-1'!G22+'AR-1'!G38</f>
        <v>-5205.4160065665274</v>
      </c>
      <c r="F15" s="276"/>
      <c r="G15" s="105" t="str">
        <f>"AR-1; Line "&amp;'AR-1'!A22&amp;" + Line "&amp;'AR-1'!A38&amp;"; Col. c"</f>
        <v>AR-1; Line 11 + Line 27; Col. c</v>
      </c>
      <c r="H15" s="105">
        <f t="shared" si="1"/>
        <v>5</v>
      </c>
    </row>
    <row r="16" spans="1:8">
      <c r="A16" s="105">
        <f t="shared" si="0"/>
        <v>6</v>
      </c>
      <c r="B16" s="18" t="s">
        <v>682</v>
      </c>
      <c r="C16" s="211"/>
      <c r="E16" s="875">
        <f>'AR-1'!G27+'AR-1'!G43</f>
        <v>0</v>
      </c>
      <c r="F16" s="276"/>
      <c r="G16" s="105" t="str">
        <f>"AR-1; Line "&amp;'AR-1'!A27&amp;" + Line "&amp;'AR-1'!A43&amp;"; Col. c"</f>
        <v>AR-1; Line 16 + Line 32; Col. c</v>
      </c>
      <c r="H16" s="105">
        <f t="shared" si="1"/>
        <v>6</v>
      </c>
    </row>
    <row r="17" spans="1:8">
      <c r="A17" s="105">
        <f t="shared" si="0"/>
        <v>7</v>
      </c>
      <c r="B17" s="18" t="s">
        <v>683</v>
      </c>
      <c r="C17" s="211"/>
      <c r="E17" s="501">
        <f>SUM(E14:E16)</f>
        <v>-3558.0159726424422</v>
      </c>
      <c r="F17" s="277"/>
      <c r="G17" s="105" t="str">
        <f>"Sum Lines "&amp;A14&amp;" thru "&amp;A16</f>
        <v>Sum Lines 4 thru 6</v>
      </c>
      <c r="H17" s="105">
        <f t="shared" si="1"/>
        <v>7</v>
      </c>
    </row>
    <row r="18" spans="1:8">
      <c r="A18" s="105">
        <f t="shared" si="0"/>
        <v>8</v>
      </c>
      <c r="B18" s="18"/>
      <c r="C18" s="211"/>
      <c r="E18" s="276"/>
      <c r="F18" s="277"/>
      <c r="G18" s="277"/>
      <c r="H18" s="105">
        <f t="shared" si="1"/>
        <v>8</v>
      </c>
    </row>
    <row r="19" spans="1:8">
      <c r="A19" s="105">
        <f t="shared" si="0"/>
        <v>9</v>
      </c>
      <c r="B19" s="122" t="s">
        <v>684</v>
      </c>
      <c r="C19" s="211"/>
      <c r="E19" s="875">
        <v>0</v>
      </c>
      <c r="F19" s="277"/>
      <c r="G19" s="105" t="str">
        <f>"Not Applicable to "&amp;Automation!B3&amp;" Base Period"</f>
        <v>Not Applicable to 2024 Base Period</v>
      </c>
      <c r="H19" s="105">
        <f t="shared" si="1"/>
        <v>9</v>
      </c>
    </row>
    <row r="20" spans="1:8">
      <c r="A20" s="105">
        <f t="shared" si="0"/>
        <v>10</v>
      </c>
      <c r="C20" s="69"/>
      <c r="E20" s="277"/>
      <c r="F20" s="277"/>
      <c r="G20" s="277"/>
      <c r="H20" s="105">
        <f t="shared" si="1"/>
        <v>10</v>
      </c>
    </row>
    <row r="21" spans="1:8" ht="19.5" thickBot="1">
      <c r="A21" s="105">
        <f t="shared" ref="A21" si="2">+A20+1</f>
        <v>11</v>
      </c>
      <c r="B21" s="122" t="s">
        <v>685</v>
      </c>
      <c r="E21" s="282">
        <f>E11+E17+E19</f>
        <v>-3822.7789726424421</v>
      </c>
      <c r="F21" s="283"/>
      <c r="G21" s="105" t="str">
        <f>"Sum Lines "&amp;A11&amp;", "&amp;A17&amp;", "&amp;A19</f>
        <v>Sum Lines 1, 7, 9</v>
      </c>
      <c r="H21" s="105">
        <f t="shared" ref="H21" si="3">+H20+1</f>
        <v>11</v>
      </c>
    </row>
    <row r="22" spans="1:8" ht="16.5" thickTop="1">
      <c r="H22" s="105"/>
    </row>
    <row r="23" spans="1:8">
      <c r="H23" s="105"/>
    </row>
    <row r="24" spans="1:8" ht="18.75">
      <c r="A24" s="121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topLeftCell="A7" zoomScale="80" zoomScaleNormal="80" zoomScaleSheetLayoutView="70" workbookViewId="0">
      <selection activeCell="K37" sqref="K37"/>
    </sheetView>
  </sheetViews>
  <sheetFormatPr defaultColWidth="8.5703125" defaultRowHeight="15.75"/>
  <cols>
    <col min="1" max="1" width="5.42578125" style="211" customWidth="1"/>
    <col min="2" max="2" width="50.85546875" style="19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23.42578125" style="191" bestFit="1" customWidth="1"/>
    <col min="8" max="8" width="62.5703125" style="191" customWidth="1"/>
    <col min="9" max="9" width="5.42578125" style="211" customWidth="1"/>
    <col min="10" max="10" width="12.5703125" style="191" customWidth="1"/>
    <col min="11" max="11" width="28.5703125" style="191" customWidth="1"/>
    <col min="12" max="16384" width="8.5703125" style="191"/>
  </cols>
  <sheetData>
    <row r="2" spans="1:11">
      <c r="B2" s="1303" t="s">
        <v>0</v>
      </c>
      <c r="C2" s="1303"/>
      <c r="D2" s="1303"/>
      <c r="E2" s="1303"/>
      <c r="F2" s="1303"/>
      <c r="G2" s="1303"/>
      <c r="H2" s="1303"/>
    </row>
    <row r="3" spans="1:11">
      <c r="B3" s="1303" t="s">
        <v>686</v>
      </c>
      <c r="C3" s="1303"/>
      <c r="D3" s="1303"/>
      <c r="E3" s="1303"/>
      <c r="F3" s="1303"/>
      <c r="G3" s="1303"/>
      <c r="H3" s="1303"/>
    </row>
    <row r="4" spans="1:11">
      <c r="B4" s="1303" t="s">
        <v>687</v>
      </c>
      <c r="C4" s="1303"/>
      <c r="D4" s="1303"/>
      <c r="E4" s="1303"/>
      <c r="F4" s="1303"/>
      <c r="G4" s="1303"/>
      <c r="H4" s="1303"/>
    </row>
    <row r="5" spans="1:11">
      <c r="B5" s="1303" t="str">
        <f>"Base Period 12 Months Ending December 31, "&amp;Automation!$B$3</f>
        <v>Base Period 12 Months Ending December 31, 2024</v>
      </c>
      <c r="C5" s="1303"/>
      <c r="D5" s="1303"/>
      <c r="E5" s="1303"/>
      <c r="F5" s="1303"/>
      <c r="G5" s="1303"/>
      <c r="H5" s="1303"/>
      <c r="K5" s="342"/>
    </row>
    <row r="6" spans="1:11" ht="15.75" customHeight="1">
      <c r="B6" s="1301" t="s">
        <v>3</v>
      </c>
      <c r="C6" s="1301"/>
      <c r="D6" s="1301"/>
      <c r="E6" s="1301"/>
      <c r="F6" s="1301"/>
      <c r="G6" s="1301"/>
      <c r="H6" s="1301"/>
    </row>
    <row r="8" spans="1:11">
      <c r="B8" s="210"/>
      <c r="C8" s="596" t="s">
        <v>77</v>
      </c>
      <c r="D8" s="596"/>
      <c r="E8" s="596" t="s">
        <v>78</v>
      </c>
      <c r="F8" s="596"/>
      <c r="G8" s="596" t="s">
        <v>688</v>
      </c>
      <c r="H8" s="596"/>
    </row>
    <row r="9" spans="1:11">
      <c r="A9" s="211" t="s">
        <v>4</v>
      </c>
      <c r="B9" s="210"/>
      <c r="C9" s="596" t="s">
        <v>338</v>
      </c>
      <c r="D9" s="596"/>
      <c r="E9" s="596" t="s">
        <v>338</v>
      </c>
      <c r="F9" s="596"/>
      <c r="G9" s="596"/>
      <c r="H9" s="596"/>
      <c r="I9" s="211" t="s">
        <v>4</v>
      </c>
    </row>
    <row r="10" spans="1:11">
      <c r="A10" s="211" t="s">
        <v>5</v>
      </c>
      <c r="B10" s="865" t="s">
        <v>258</v>
      </c>
      <c r="C10" s="866" t="s">
        <v>340</v>
      </c>
      <c r="D10" s="866"/>
      <c r="E10" s="866" t="s">
        <v>341</v>
      </c>
      <c r="F10" s="866"/>
      <c r="G10" s="865" t="s">
        <v>80</v>
      </c>
      <c r="H10" s="865" t="s">
        <v>8</v>
      </c>
      <c r="I10" s="211" t="s">
        <v>5</v>
      </c>
    </row>
    <row r="11" spans="1:11">
      <c r="B11" s="210"/>
      <c r="C11" s="723"/>
      <c r="D11" s="723"/>
      <c r="E11" s="723"/>
      <c r="F11" s="723"/>
      <c r="G11" s="409"/>
      <c r="H11" s="409"/>
    </row>
    <row r="12" spans="1:11">
      <c r="A12" s="211">
        <v>1</v>
      </c>
      <c r="B12" s="349" t="s">
        <v>342</v>
      </c>
      <c r="C12" s="724"/>
      <c r="D12" s="724"/>
      <c r="E12" s="724"/>
      <c r="F12" s="724"/>
      <c r="G12" s="409"/>
      <c r="H12" s="409"/>
      <c r="I12" s="211">
        <f>A12</f>
        <v>1</v>
      </c>
    </row>
    <row r="13" spans="1:11">
      <c r="A13" s="211">
        <f>A12+1</f>
        <v>2</v>
      </c>
      <c r="B13" s="349" t="s">
        <v>343</v>
      </c>
      <c r="C13" s="401">
        <v>0</v>
      </c>
      <c r="D13" s="401"/>
      <c r="E13" s="401">
        <v>0</v>
      </c>
      <c r="F13" s="725"/>
      <c r="G13" s="310">
        <f>SUM(C13:E13)</f>
        <v>0</v>
      </c>
      <c r="H13" s="4" t="s">
        <v>213</v>
      </c>
      <c r="I13" s="211">
        <f>I12+1</f>
        <v>2</v>
      </c>
      <c r="K13" s="342"/>
    </row>
    <row r="14" spans="1:11">
      <c r="A14" s="211">
        <f t="shared" ref="A14:A43" si="0">A13+1</f>
        <v>3</v>
      </c>
      <c r="B14" s="349" t="s">
        <v>344</v>
      </c>
      <c r="C14" s="417">
        <v>0</v>
      </c>
      <c r="D14" s="417"/>
      <c r="E14" s="417">
        <v>0</v>
      </c>
      <c r="F14" s="417"/>
      <c r="G14" s="150">
        <f>SUM(C14:E14)</f>
        <v>0</v>
      </c>
      <c r="H14" s="4" t="s">
        <v>213</v>
      </c>
      <c r="I14" s="211">
        <f t="shared" ref="I14:I43" si="1">I13+1</f>
        <v>3</v>
      </c>
      <c r="K14"/>
    </row>
    <row r="15" spans="1:11">
      <c r="A15" s="211">
        <f t="shared" si="0"/>
        <v>4</v>
      </c>
      <c r="B15" s="349" t="s">
        <v>973</v>
      </c>
      <c r="C15" s="417">
        <v>1566.6611762622572</v>
      </c>
      <c r="D15" s="417"/>
      <c r="E15" s="417">
        <v>0</v>
      </c>
      <c r="F15" s="417"/>
      <c r="G15" s="150">
        <f>SUM(C15:E15)</f>
        <v>1566.6611762622572</v>
      </c>
      <c r="H15" s="4" t="s">
        <v>213</v>
      </c>
      <c r="I15" s="211">
        <f t="shared" si="1"/>
        <v>4</v>
      </c>
      <c r="K15"/>
    </row>
    <row r="16" spans="1:11">
      <c r="A16" s="211">
        <f t="shared" si="0"/>
        <v>5</v>
      </c>
      <c r="C16" s="150"/>
      <c r="D16" s="150"/>
      <c r="E16" s="150"/>
      <c r="F16" s="150"/>
      <c r="G16" s="150"/>
      <c r="H16" s="150"/>
      <c r="I16" s="211">
        <f t="shared" si="1"/>
        <v>5</v>
      </c>
      <c r="K16"/>
    </row>
    <row r="17" spans="1:11" ht="16.5" thickBot="1">
      <c r="A17" s="211">
        <f t="shared" si="0"/>
        <v>6</v>
      </c>
      <c r="B17" s="394" t="s">
        <v>346</v>
      </c>
      <c r="C17" s="1061">
        <f>SUM(C13:C16)</f>
        <v>1566.6611762622572</v>
      </c>
      <c r="D17" s="258"/>
      <c r="E17" s="1061">
        <f>SUM(E13:E16)</f>
        <v>0</v>
      </c>
      <c r="F17" s="150"/>
      <c r="G17" s="1061">
        <f>SUM(G13:G16)</f>
        <v>1566.6611762622572</v>
      </c>
      <c r="H17" s="726" t="str">
        <f>"Sum Lines "&amp;A13&amp;" thru "&amp;A16</f>
        <v>Sum Lines 2 thru 5</v>
      </c>
      <c r="I17" s="211">
        <f t="shared" si="1"/>
        <v>6</v>
      </c>
      <c r="K17"/>
    </row>
    <row r="18" spans="1:11" ht="16.5" thickTop="1">
      <c r="A18" s="211">
        <f t="shared" si="0"/>
        <v>7</v>
      </c>
      <c r="C18" s="727"/>
      <c r="D18" s="727"/>
      <c r="E18" s="727"/>
      <c r="F18" s="727"/>
      <c r="G18" s="727"/>
      <c r="H18" s="727"/>
      <c r="I18" s="211">
        <f t="shared" si="1"/>
        <v>7</v>
      </c>
      <c r="K18"/>
    </row>
    <row r="19" spans="1:11">
      <c r="A19" s="211">
        <f t="shared" si="0"/>
        <v>8</v>
      </c>
      <c r="B19" s="349" t="s">
        <v>347</v>
      </c>
      <c r="C19" s="724"/>
      <c r="D19" s="724"/>
      <c r="E19" s="724"/>
      <c r="F19" s="724"/>
      <c r="G19" s="409"/>
      <c r="H19" s="409"/>
      <c r="I19" s="211">
        <f t="shared" si="1"/>
        <v>8</v>
      </c>
      <c r="J19" s="776"/>
    </row>
    <row r="20" spans="1:11">
      <c r="A20" s="211">
        <f t="shared" si="0"/>
        <v>9</v>
      </c>
      <c r="B20" s="728" t="s">
        <v>348</v>
      </c>
      <c r="C20" s="310">
        <v>-5100.4587930612524</v>
      </c>
      <c r="D20" s="310"/>
      <c r="E20" s="310">
        <v>75.869133433500906</v>
      </c>
      <c r="F20" s="310"/>
      <c r="G20" s="310">
        <f>SUM(C20:E20)</f>
        <v>-5024.5896596277516</v>
      </c>
      <c r="H20" s="1205" t="s">
        <v>985</v>
      </c>
      <c r="I20" s="211">
        <f t="shared" si="1"/>
        <v>9</v>
      </c>
      <c r="J20" s="1196"/>
    </row>
    <row r="21" spans="1:11">
      <c r="A21" s="211">
        <f t="shared" si="0"/>
        <v>10</v>
      </c>
      <c r="C21" s="150"/>
      <c r="D21" s="150"/>
      <c r="E21" s="150"/>
      <c r="F21" s="150"/>
      <c r="G21" s="150"/>
      <c r="H21" s="150"/>
      <c r="I21" s="211">
        <f t="shared" si="1"/>
        <v>10</v>
      </c>
    </row>
    <row r="22" spans="1:11" ht="16.5" thickBot="1">
      <c r="A22" s="211">
        <f t="shared" si="0"/>
        <v>11</v>
      </c>
      <c r="B22" s="394" t="s">
        <v>349</v>
      </c>
      <c r="C22" s="1061">
        <f>SUM(C20:C21)</f>
        <v>-5100.4587930612524</v>
      </c>
      <c r="D22" s="258"/>
      <c r="E22" s="1061">
        <f>SUM(E20:E21)</f>
        <v>75.869133433500906</v>
      </c>
      <c r="F22" s="150"/>
      <c r="G22" s="1061">
        <f>SUM(G20:G21)</f>
        <v>-5024.5896596277516</v>
      </c>
      <c r="H22" s="726" t="str">
        <f>"Sum Lines "&amp;A20&amp;" thru "&amp;A21</f>
        <v>Sum Lines 9 thru 10</v>
      </c>
      <c r="I22" s="211">
        <f t="shared" si="1"/>
        <v>11</v>
      </c>
      <c r="J22" s="776"/>
    </row>
    <row r="23" spans="1:11" ht="16.5" thickTop="1">
      <c r="A23" s="211">
        <f t="shared" si="0"/>
        <v>12</v>
      </c>
      <c r="I23" s="211">
        <f t="shared" si="1"/>
        <v>12</v>
      </c>
    </row>
    <row r="24" spans="1:11">
      <c r="A24" s="211">
        <f t="shared" si="0"/>
        <v>13</v>
      </c>
      <c r="B24" s="349" t="s">
        <v>350</v>
      </c>
      <c r="C24" s="724"/>
      <c r="D24" s="724"/>
      <c r="E24" s="724"/>
      <c r="F24" s="724"/>
      <c r="G24" s="409"/>
      <c r="H24" s="211"/>
      <c r="I24" s="211">
        <f t="shared" si="1"/>
        <v>13</v>
      </c>
    </row>
    <row r="25" spans="1:11">
      <c r="A25" s="211">
        <f t="shared" si="0"/>
        <v>14</v>
      </c>
      <c r="B25" s="349" t="s">
        <v>351</v>
      </c>
      <c r="C25" s="401">
        <v>0</v>
      </c>
      <c r="D25" s="401"/>
      <c r="E25" s="401">
        <v>0</v>
      </c>
      <c r="F25" s="725"/>
      <c r="G25" s="310">
        <f>SUM(C25:E25)</f>
        <v>0</v>
      </c>
      <c r="H25" s="331" t="str">
        <f>"Not Applicable to "&amp;Automation!B3&amp;" Base Period"</f>
        <v>Not Applicable to 2024 Base Period</v>
      </c>
      <c r="I25" s="211">
        <f t="shared" si="1"/>
        <v>14</v>
      </c>
    </row>
    <row r="26" spans="1:11">
      <c r="A26" s="211">
        <f t="shared" si="0"/>
        <v>15</v>
      </c>
      <c r="B26" s="349"/>
      <c r="C26" s="150"/>
      <c r="D26" s="150"/>
      <c r="E26" s="150"/>
      <c r="F26" s="150"/>
      <c r="G26" s="150"/>
      <c r="H26" s="150"/>
      <c r="I26" s="211">
        <f t="shared" si="1"/>
        <v>15</v>
      </c>
    </row>
    <row r="27" spans="1:11" ht="16.5" thickBot="1">
      <c r="A27" s="211">
        <f t="shared" si="0"/>
        <v>16</v>
      </c>
      <c r="B27" s="394" t="s">
        <v>352</v>
      </c>
      <c r="C27" s="1061">
        <f>SUM(C25:C26)</f>
        <v>0</v>
      </c>
      <c r="D27" s="258"/>
      <c r="E27" s="1061">
        <f>SUM(E25:E26)</f>
        <v>0</v>
      </c>
      <c r="F27" s="150"/>
      <c r="G27" s="1061">
        <f>SUM(G25:G26)</f>
        <v>0</v>
      </c>
      <c r="H27" s="726" t="str">
        <f>"Sum Lines "&amp;A25&amp;" thru "&amp;A26</f>
        <v>Sum Lines 14 thru 15</v>
      </c>
      <c r="I27" s="211">
        <f t="shared" si="1"/>
        <v>16</v>
      </c>
    </row>
    <row r="28" spans="1:11" ht="17.25" thickTop="1" thickBot="1">
      <c r="A28" s="211">
        <f t="shared" si="0"/>
        <v>17</v>
      </c>
      <c r="B28" s="867"/>
      <c r="C28" s="867"/>
      <c r="D28" s="867"/>
      <c r="E28" s="867"/>
      <c r="F28" s="867"/>
      <c r="G28" s="867"/>
      <c r="H28" s="867"/>
      <c r="I28" s="211">
        <f t="shared" si="1"/>
        <v>17</v>
      </c>
    </row>
    <row r="29" spans="1:11">
      <c r="A29" s="211">
        <f t="shared" si="0"/>
        <v>18</v>
      </c>
      <c r="I29" s="211">
        <f t="shared" si="1"/>
        <v>18</v>
      </c>
    </row>
    <row r="30" spans="1:11">
      <c r="A30" s="211">
        <f t="shared" si="0"/>
        <v>19</v>
      </c>
      <c r="B30" s="349" t="s">
        <v>353</v>
      </c>
      <c r="C30" s="789"/>
      <c r="E30" s="789"/>
      <c r="G30" s="789"/>
      <c r="I30" s="211">
        <f t="shared" si="1"/>
        <v>19</v>
      </c>
    </row>
    <row r="31" spans="1:11">
      <c r="A31" s="211">
        <f t="shared" si="0"/>
        <v>20</v>
      </c>
      <c r="B31" s="349" t="s">
        <v>345</v>
      </c>
      <c r="C31" s="310">
        <v>80.73885766182795</v>
      </c>
      <c r="E31" s="789">
        <v>0</v>
      </c>
      <c r="G31" s="310">
        <f>SUM(C31:E31)</f>
        <v>80.73885766182795</v>
      </c>
      <c r="H31" s="4" t="s">
        <v>213</v>
      </c>
      <c r="I31" s="211">
        <f t="shared" si="1"/>
        <v>20</v>
      </c>
    </row>
    <row r="32" spans="1:11">
      <c r="A32" s="211">
        <f t="shared" si="0"/>
        <v>21</v>
      </c>
      <c r="C32" s="149"/>
      <c r="D32" s="149"/>
      <c r="E32" s="149"/>
      <c r="G32" s="149"/>
      <c r="I32" s="211">
        <f t="shared" si="1"/>
        <v>21</v>
      </c>
    </row>
    <row r="33" spans="1:10" ht="16.5" thickBot="1">
      <c r="A33" s="211">
        <f t="shared" si="0"/>
        <v>22</v>
      </c>
      <c r="B33" s="394" t="s">
        <v>346</v>
      </c>
      <c r="C33" s="1080">
        <f>SUM(C30:C32)</f>
        <v>80.73885766182795</v>
      </c>
      <c r="D33" s="210"/>
      <c r="E33" s="1081">
        <f>SUM(E30:E32)</f>
        <v>0</v>
      </c>
      <c r="F33" s="210"/>
      <c r="G33" s="1080">
        <f>SUM(G30:G32)</f>
        <v>80.73885766182795</v>
      </c>
      <c r="H33" s="211" t="str">
        <f>"Sum Lines "&amp;A31&amp;" thru "&amp;A32</f>
        <v>Sum Lines 20 thru 21</v>
      </c>
      <c r="I33" s="211">
        <f t="shared" si="1"/>
        <v>22</v>
      </c>
    </row>
    <row r="34" spans="1:10" ht="16.5" thickTop="1">
      <c r="A34" s="211">
        <f t="shared" si="0"/>
        <v>23</v>
      </c>
      <c r="I34" s="211">
        <f t="shared" si="1"/>
        <v>23</v>
      </c>
    </row>
    <row r="35" spans="1:10">
      <c r="A35" s="211">
        <f t="shared" si="0"/>
        <v>24</v>
      </c>
      <c r="B35" s="349" t="s">
        <v>354</v>
      </c>
      <c r="I35" s="211">
        <f t="shared" si="1"/>
        <v>24</v>
      </c>
    </row>
    <row r="36" spans="1:10">
      <c r="A36" s="211">
        <f t="shared" si="0"/>
        <v>25</v>
      </c>
      <c r="B36" s="728" t="s">
        <v>348</v>
      </c>
      <c r="C36" s="310">
        <v>-180.82634693877586</v>
      </c>
      <c r="E36" s="789">
        <v>0</v>
      </c>
      <c r="G36" s="310">
        <f>SUM(C36:E36)</f>
        <v>-180.82634693877586</v>
      </c>
      <c r="H36" s="331" t="s">
        <v>1018</v>
      </c>
      <c r="I36" s="211">
        <f t="shared" si="1"/>
        <v>25</v>
      </c>
      <c r="J36" s="776"/>
    </row>
    <row r="37" spans="1:10">
      <c r="A37" s="211">
        <f t="shared" si="0"/>
        <v>26</v>
      </c>
      <c r="C37" s="149"/>
      <c r="E37" s="149"/>
      <c r="G37" s="776"/>
      <c r="I37" s="211">
        <f t="shared" si="1"/>
        <v>26</v>
      </c>
    </row>
    <row r="38" spans="1:10" ht="16.5" thickBot="1">
      <c r="A38" s="211">
        <f t="shared" si="0"/>
        <v>27</v>
      </c>
      <c r="B38" s="394" t="s">
        <v>349</v>
      </c>
      <c r="C38" s="1080">
        <f>SUM(C36:C37)</f>
        <v>-180.82634693877586</v>
      </c>
      <c r="D38" s="210"/>
      <c r="E38" s="1081">
        <f>SUM(E36:E37)</f>
        <v>0</v>
      </c>
      <c r="F38" s="210"/>
      <c r="G38" s="1080">
        <f>SUM(G36:G37)</f>
        <v>-180.82634693877586</v>
      </c>
      <c r="H38" s="211" t="str">
        <f>"Sum Lines "&amp;A36&amp;" thru "&amp;A37</f>
        <v>Sum Lines 25 thru 26</v>
      </c>
      <c r="I38" s="211">
        <f t="shared" si="1"/>
        <v>27</v>
      </c>
      <c r="J38" s="776"/>
    </row>
    <row r="39" spans="1:10" ht="16.5" thickTop="1">
      <c r="A39" s="211">
        <f t="shared" si="0"/>
        <v>28</v>
      </c>
      <c r="I39" s="211">
        <f t="shared" si="1"/>
        <v>28</v>
      </c>
    </row>
    <row r="40" spans="1:10">
      <c r="A40" s="211">
        <f t="shared" si="0"/>
        <v>29</v>
      </c>
      <c r="B40" s="349" t="s">
        <v>355</v>
      </c>
      <c r="I40" s="211">
        <f t="shared" si="1"/>
        <v>29</v>
      </c>
    </row>
    <row r="41" spans="1:10">
      <c r="A41" s="211">
        <f t="shared" si="0"/>
        <v>30</v>
      </c>
      <c r="B41" s="349"/>
      <c r="C41" s="789">
        <v>0</v>
      </c>
      <c r="E41" s="789">
        <v>0</v>
      </c>
      <c r="G41" s="789">
        <f>SUM(C41:E41)</f>
        <v>0</v>
      </c>
      <c r="H41" s="331" t="str">
        <f>"Not Applicable to "&amp;Automation!B3&amp;" Base Period"</f>
        <v>Not Applicable to 2024 Base Period</v>
      </c>
      <c r="I41" s="211">
        <f t="shared" si="1"/>
        <v>30</v>
      </c>
    </row>
    <row r="42" spans="1:10">
      <c r="A42" s="211">
        <f t="shared" si="0"/>
        <v>31</v>
      </c>
      <c r="C42" s="149"/>
      <c r="E42" s="149"/>
      <c r="G42" s="790"/>
      <c r="I42" s="211">
        <f t="shared" si="1"/>
        <v>31</v>
      </c>
    </row>
    <row r="43" spans="1:10" ht="16.5" thickBot="1">
      <c r="A43" s="211">
        <f t="shared" si="0"/>
        <v>32</v>
      </c>
      <c r="B43" s="394" t="s">
        <v>352</v>
      </c>
      <c r="C43" s="1081">
        <f>SUM(C41:C42)</f>
        <v>0</v>
      </c>
      <c r="D43" s="210"/>
      <c r="E43" s="1081">
        <f>SUM(E41:E42)</f>
        <v>0</v>
      </c>
      <c r="F43" s="210"/>
      <c r="G43" s="1081">
        <f>SUM(G41:G42)</f>
        <v>0</v>
      </c>
      <c r="H43" s="211" t="str">
        <f>"Sum Lines "&amp;A41&amp;" thru "&amp;A42</f>
        <v>Sum Lines 30 thru 31</v>
      </c>
      <c r="I43" s="211">
        <f t="shared" si="1"/>
        <v>32</v>
      </c>
    </row>
    <row r="44" spans="1:10" ht="16.5" thickTop="1"/>
    <row r="46" spans="1:10" ht="18.75">
      <c r="A46" s="667"/>
      <c r="B46" s="122"/>
    </row>
    <row r="47" spans="1:10">
      <c r="B47" s="122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zoomScale="80" zoomScaleNormal="80" zoomScalePageLayoutView="50" workbookViewId="0">
      <selection activeCell="M21" sqref="M21"/>
    </sheetView>
  </sheetViews>
  <sheetFormatPr defaultColWidth="8.85546875" defaultRowHeight="15.75"/>
  <cols>
    <col min="1" max="1" width="5.42578125" style="211" customWidth="1"/>
    <col min="2" max="2" width="55.42578125" style="191" customWidth="1"/>
    <col min="3" max="5" width="15.570312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38.5703125" style="364" customWidth="1"/>
    <col min="10" max="10" width="5.42578125" style="191" customWidth="1"/>
    <col min="11" max="11" width="27" style="191" bestFit="1" customWidth="1"/>
    <col min="12" max="12" width="15" style="191" bestFit="1" customWidth="1"/>
    <col min="13" max="13" width="10.42578125" style="191" bestFit="1" customWidth="1"/>
    <col min="14" max="16384" width="8.85546875" style="191"/>
  </cols>
  <sheetData>
    <row r="1" spans="1:10">
      <c r="A1" s="407"/>
      <c r="G1" s="326"/>
      <c r="H1" s="326"/>
      <c r="I1" s="408"/>
      <c r="J1" s="211"/>
    </row>
    <row r="2" spans="1:10">
      <c r="B2" s="1303" t="s">
        <v>689</v>
      </c>
      <c r="C2" s="1303"/>
      <c r="D2" s="1303"/>
      <c r="E2" s="1303"/>
      <c r="F2" s="1303"/>
      <c r="G2" s="1303"/>
      <c r="H2" s="1303"/>
      <c r="I2" s="1303"/>
      <c r="J2" s="211"/>
    </row>
    <row r="3" spans="1:10">
      <c r="B3" s="1303" t="s">
        <v>690</v>
      </c>
      <c r="C3" s="1303"/>
      <c r="D3" s="1303"/>
      <c r="E3" s="1303"/>
      <c r="F3" s="1303"/>
      <c r="G3" s="1303"/>
      <c r="H3" s="1303"/>
      <c r="I3" s="1303"/>
      <c r="J3" s="211"/>
    </row>
    <row r="4" spans="1:10">
      <c r="B4" s="1303" t="s">
        <v>691</v>
      </c>
      <c r="C4" s="1303"/>
      <c r="D4" s="1303"/>
      <c r="E4" s="1303"/>
      <c r="F4" s="1303"/>
      <c r="G4" s="1303"/>
      <c r="H4" s="1303"/>
      <c r="I4" s="1303"/>
      <c r="J4" s="211"/>
    </row>
    <row r="5" spans="1:10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1305"/>
      <c r="I5" s="1305"/>
      <c r="J5" s="211"/>
    </row>
    <row r="6" spans="1:10">
      <c r="B6" s="1301" t="s">
        <v>3</v>
      </c>
      <c r="C6" s="1314"/>
      <c r="D6" s="1314"/>
      <c r="E6" s="1314"/>
      <c r="F6" s="1314"/>
      <c r="G6" s="1314"/>
      <c r="H6" s="1314"/>
      <c r="I6" s="1314"/>
      <c r="J6" s="211"/>
    </row>
    <row r="7" spans="1:10">
      <c r="B7" s="211"/>
      <c r="C7" s="211"/>
      <c r="D7" s="211"/>
      <c r="E7" s="211"/>
      <c r="F7" s="211"/>
      <c r="G7" s="211"/>
      <c r="H7" s="211"/>
      <c r="I7" s="409"/>
      <c r="J7" s="211"/>
    </row>
    <row r="8" spans="1:10">
      <c r="A8" s="211" t="s">
        <v>4</v>
      </c>
      <c r="B8" s="471"/>
      <c r="C8" s="471"/>
      <c r="D8" s="471"/>
      <c r="E8" s="211" t="s">
        <v>186</v>
      </c>
      <c r="F8" s="471"/>
      <c r="G8" s="471"/>
      <c r="H8" s="471"/>
      <c r="I8" s="409"/>
      <c r="J8" s="211" t="s">
        <v>4</v>
      </c>
    </row>
    <row r="9" spans="1:10">
      <c r="A9" s="211" t="s">
        <v>5</v>
      </c>
      <c r="B9" s="211"/>
      <c r="C9" s="211"/>
      <c r="D9" s="211"/>
      <c r="E9" s="845" t="s">
        <v>188</v>
      </c>
      <c r="F9" s="211"/>
      <c r="G9" s="862" t="s">
        <v>7</v>
      </c>
      <c r="H9" s="471"/>
      <c r="I9" s="1082" t="s">
        <v>8</v>
      </c>
      <c r="J9" s="211" t="s">
        <v>5</v>
      </c>
    </row>
    <row r="10" spans="1:10">
      <c r="B10" s="211"/>
      <c r="C10" s="211"/>
      <c r="D10" s="211"/>
      <c r="E10" s="211"/>
      <c r="F10" s="211"/>
      <c r="G10" s="211"/>
      <c r="H10" s="211"/>
      <c r="I10" s="409"/>
      <c r="J10" s="211"/>
    </row>
    <row r="11" spans="1:10">
      <c r="A11" s="211">
        <v>1</v>
      </c>
      <c r="B11" s="389" t="s">
        <v>692</v>
      </c>
      <c r="I11" s="409"/>
      <c r="J11" s="211">
        <f>A11</f>
        <v>1</v>
      </c>
    </row>
    <row r="12" spans="1:10">
      <c r="A12" s="211">
        <f>A11+1</f>
        <v>2</v>
      </c>
      <c r="B12" s="191" t="s">
        <v>693</v>
      </c>
      <c r="E12" s="211" t="s">
        <v>952</v>
      </c>
      <c r="G12" s="324">
        <v>8950000</v>
      </c>
      <c r="H12" s="471"/>
      <c r="I12" s="410"/>
      <c r="J12" s="211">
        <f>J11+1</f>
        <v>2</v>
      </c>
    </row>
    <row r="13" spans="1:10">
      <c r="A13" s="211">
        <f t="shared" ref="A13:A65" si="0">A12+1</f>
        <v>3</v>
      </c>
      <c r="B13" s="191" t="s">
        <v>694</v>
      </c>
      <c r="E13" s="211" t="s">
        <v>953</v>
      </c>
      <c r="G13" s="327">
        <v>0</v>
      </c>
      <c r="H13" s="471"/>
      <c r="I13" s="410"/>
      <c r="J13" s="211">
        <f t="shared" ref="J13:J65" si="1">J12+1</f>
        <v>3</v>
      </c>
    </row>
    <row r="14" spans="1:10">
      <c r="A14" s="211">
        <f t="shared" si="0"/>
        <v>4</v>
      </c>
      <c r="B14" s="191" t="s">
        <v>695</v>
      </c>
      <c r="E14" s="211" t="s">
        <v>954</v>
      </c>
      <c r="G14" s="327">
        <v>0</v>
      </c>
      <c r="H14" s="471"/>
      <c r="I14" s="410"/>
      <c r="J14" s="211">
        <f t="shared" si="1"/>
        <v>4</v>
      </c>
    </row>
    <row r="15" spans="1:10">
      <c r="A15" s="211">
        <f t="shared" si="0"/>
        <v>5</v>
      </c>
      <c r="B15" s="191" t="s">
        <v>696</v>
      </c>
      <c r="E15" s="211" t="s">
        <v>955</v>
      </c>
      <c r="G15" s="327">
        <v>0</v>
      </c>
      <c r="H15" s="471"/>
      <c r="I15" s="410"/>
      <c r="J15" s="211">
        <f t="shared" si="1"/>
        <v>5</v>
      </c>
    </row>
    <row r="16" spans="1:10">
      <c r="A16" s="211">
        <f t="shared" si="0"/>
        <v>6</v>
      </c>
      <c r="B16" s="191" t="s">
        <v>697</v>
      </c>
      <c r="E16" s="211" t="s">
        <v>956</v>
      </c>
      <c r="G16" s="327">
        <v>-33111.982000000004</v>
      </c>
      <c r="H16" s="471"/>
      <c r="I16" s="410"/>
      <c r="J16" s="211">
        <f t="shared" si="1"/>
        <v>6</v>
      </c>
    </row>
    <row r="17" spans="1:10">
      <c r="A17" s="211">
        <f t="shared" si="0"/>
        <v>7</v>
      </c>
      <c r="B17" s="191" t="s">
        <v>698</v>
      </c>
      <c r="G17" s="1132">
        <f>SUM(G12:G16)</f>
        <v>8916888.0179999992</v>
      </c>
      <c r="H17" s="304"/>
      <c r="I17" s="409" t="str">
        <f>"Sum Lines "&amp;A12&amp;" thru "&amp;A16</f>
        <v>Sum Lines 2 thru 6</v>
      </c>
      <c r="J17" s="211">
        <f t="shared" si="1"/>
        <v>7</v>
      </c>
    </row>
    <row r="18" spans="1:10">
      <c r="A18" s="211">
        <f t="shared" si="0"/>
        <v>8</v>
      </c>
      <c r="I18" s="409"/>
      <c r="J18" s="211">
        <f t="shared" si="1"/>
        <v>8</v>
      </c>
    </row>
    <row r="19" spans="1:10">
      <c r="A19" s="211">
        <f t="shared" si="0"/>
        <v>9</v>
      </c>
      <c r="B19" s="389" t="s">
        <v>699</v>
      </c>
      <c r="G19" s="150"/>
      <c r="H19" s="150"/>
      <c r="I19" s="409"/>
      <c r="J19" s="211">
        <f t="shared" si="1"/>
        <v>9</v>
      </c>
    </row>
    <row r="20" spans="1:10">
      <c r="A20" s="211">
        <f t="shared" si="0"/>
        <v>10</v>
      </c>
      <c r="B20" s="191" t="s">
        <v>700</v>
      </c>
      <c r="E20" s="211" t="s">
        <v>957</v>
      </c>
      <c r="G20" s="324">
        <v>362480.12900000002</v>
      </c>
      <c r="H20" s="471"/>
      <c r="I20" s="410"/>
      <c r="J20" s="211">
        <f t="shared" si="1"/>
        <v>10</v>
      </c>
    </row>
    <row r="21" spans="1:10">
      <c r="A21" s="211">
        <f t="shared" si="0"/>
        <v>11</v>
      </c>
      <c r="B21" s="191" t="s">
        <v>701</v>
      </c>
      <c r="E21" s="211" t="s">
        <v>958</v>
      </c>
      <c r="G21" s="327">
        <v>7061.1109999999999</v>
      </c>
      <c r="H21" s="471"/>
      <c r="I21" s="410"/>
      <c r="J21" s="211">
        <f t="shared" si="1"/>
        <v>11</v>
      </c>
    </row>
    <row r="22" spans="1:10">
      <c r="A22" s="211">
        <f t="shared" si="0"/>
        <v>12</v>
      </c>
      <c r="B22" s="191" t="s">
        <v>702</v>
      </c>
      <c r="E22" s="211" t="s">
        <v>959</v>
      </c>
      <c r="G22" s="327">
        <v>672.17100000000005</v>
      </c>
      <c r="H22" s="471"/>
      <c r="I22" s="410"/>
      <c r="J22" s="211">
        <f t="shared" si="1"/>
        <v>12</v>
      </c>
    </row>
    <row r="23" spans="1:10">
      <c r="A23" s="211">
        <f t="shared" si="0"/>
        <v>13</v>
      </c>
      <c r="B23" s="191" t="s">
        <v>703</v>
      </c>
      <c r="E23" s="211" t="s">
        <v>960</v>
      </c>
      <c r="G23" s="327">
        <v>0</v>
      </c>
      <c r="H23" s="471"/>
      <c r="I23" s="410"/>
      <c r="J23" s="211">
        <f t="shared" si="1"/>
        <v>13</v>
      </c>
    </row>
    <row r="24" spans="1:10">
      <c r="A24" s="211">
        <f t="shared" si="0"/>
        <v>14</v>
      </c>
      <c r="B24" s="191" t="s">
        <v>704</v>
      </c>
      <c r="E24" s="211" t="s">
        <v>961</v>
      </c>
      <c r="G24" s="327">
        <v>0</v>
      </c>
      <c r="H24" s="471"/>
      <c r="I24" s="410"/>
      <c r="J24" s="211">
        <f t="shared" si="1"/>
        <v>14</v>
      </c>
    </row>
    <row r="25" spans="1:10">
      <c r="A25" s="211">
        <f t="shared" si="0"/>
        <v>15</v>
      </c>
      <c r="B25" s="191" t="s">
        <v>705</v>
      </c>
      <c r="G25" s="1136">
        <f>SUM(G20:G24)</f>
        <v>370213.41099999996</v>
      </c>
      <c r="H25" s="330"/>
      <c r="I25" s="409" t="str">
        <f>"Sum Lines "&amp;A20&amp;" thru "&amp;A24</f>
        <v>Sum Lines 10 thru 14</v>
      </c>
      <c r="J25" s="211">
        <f t="shared" si="1"/>
        <v>15</v>
      </c>
    </row>
    <row r="26" spans="1:10">
      <c r="A26" s="211">
        <f t="shared" si="0"/>
        <v>16</v>
      </c>
      <c r="I26" s="409"/>
      <c r="J26" s="211">
        <f t="shared" si="1"/>
        <v>16</v>
      </c>
    </row>
    <row r="27" spans="1:10" ht="16.5" thickBot="1">
      <c r="A27" s="211">
        <f t="shared" si="0"/>
        <v>17</v>
      </c>
      <c r="B27" s="389" t="s">
        <v>706</v>
      </c>
      <c r="G27" s="1012">
        <f>G25/G17</f>
        <v>4.1518230379553031E-2</v>
      </c>
      <c r="H27" s="411"/>
      <c r="I27" s="409" t="str">
        <f>"Line "&amp;A25&amp;" / Line "&amp;A17</f>
        <v>Line 15 / Line 7</v>
      </c>
      <c r="J27" s="211">
        <f t="shared" si="1"/>
        <v>17</v>
      </c>
    </row>
    <row r="28" spans="1:10" ht="16.5" thickTop="1">
      <c r="A28" s="211">
        <f t="shared" si="0"/>
        <v>18</v>
      </c>
      <c r="I28" s="409"/>
      <c r="J28" s="211">
        <f t="shared" si="1"/>
        <v>18</v>
      </c>
    </row>
    <row r="29" spans="1:10">
      <c r="A29" s="211">
        <f t="shared" si="0"/>
        <v>19</v>
      </c>
      <c r="B29" s="389" t="s">
        <v>707</v>
      </c>
      <c r="I29" s="409"/>
      <c r="J29" s="211">
        <f t="shared" si="1"/>
        <v>19</v>
      </c>
    </row>
    <row r="30" spans="1:10">
      <c r="A30" s="211">
        <f t="shared" si="0"/>
        <v>20</v>
      </c>
      <c r="B30" s="191" t="s">
        <v>708</v>
      </c>
      <c r="E30" s="211" t="s">
        <v>962</v>
      </c>
      <c r="G30" s="324">
        <v>0</v>
      </c>
      <c r="H30" s="471"/>
      <c r="I30" s="410"/>
      <c r="J30" s="211">
        <f t="shared" si="1"/>
        <v>20</v>
      </c>
    </row>
    <row r="31" spans="1:10">
      <c r="A31" s="211">
        <f t="shared" si="0"/>
        <v>21</v>
      </c>
      <c r="B31" s="191" t="s">
        <v>709</v>
      </c>
      <c r="E31" s="211" t="s">
        <v>963</v>
      </c>
      <c r="G31" s="1083">
        <v>0</v>
      </c>
      <c r="H31" s="471"/>
      <c r="I31" s="410"/>
      <c r="J31" s="211">
        <f t="shared" si="1"/>
        <v>21</v>
      </c>
    </row>
    <row r="32" spans="1:10" ht="16.5" thickBot="1">
      <c r="A32" s="211">
        <f t="shared" si="0"/>
        <v>22</v>
      </c>
      <c r="B32" s="191" t="s">
        <v>710</v>
      </c>
      <c r="G32" s="1012">
        <f>IFERROR((G31/G30),0)</f>
        <v>0</v>
      </c>
      <c r="H32" s="411"/>
      <c r="I32" s="409" t="str">
        <f>"Line "&amp;A31&amp;" / Line "&amp;A30</f>
        <v>Line 21 / Line 20</v>
      </c>
      <c r="J32" s="211">
        <f t="shared" si="1"/>
        <v>22</v>
      </c>
    </row>
    <row r="33" spans="1:12" ht="16.5" thickTop="1">
      <c r="A33" s="211">
        <f t="shared" si="0"/>
        <v>23</v>
      </c>
      <c r="I33" s="409"/>
      <c r="J33" s="211">
        <f t="shared" si="1"/>
        <v>23</v>
      </c>
    </row>
    <row r="34" spans="1:12">
      <c r="A34" s="211">
        <f t="shared" si="0"/>
        <v>24</v>
      </c>
      <c r="B34" s="389" t="s">
        <v>711</v>
      </c>
      <c r="I34" s="409"/>
      <c r="J34" s="211">
        <f t="shared" si="1"/>
        <v>24</v>
      </c>
    </row>
    <row r="35" spans="1:12">
      <c r="A35" s="211">
        <f t="shared" si="0"/>
        <v>25</v>
      </c>
      <c r="B35" s="191" t="s">
        <v>712</v>
      </c>
      <c r="E35" s="211" t="s">
        <v>964</v>
      </c>
      <c r="G35" s="324">
        <v>10563428.464799998</v>
      </c>
      <c r="H35" s="471"/>
      <c r="I35" s="410"/>
      <c r="J35" s="211">
        <f t="shared" si="1"/>
        <v>25</v>
      </c>
      <c r="K35" s="303"/>
      <c r="L35" s="567"/>
    </row>
    <row r="36" spans="1:12">
      <c r="A36" s="211">
        <f t="shared" si="0"/>
        <v>26</v>
      </c>
      <c r="B36" s="191" t="s">
        <v>713</v>
      </c>
      <c r="E36" s="211" t="s">
        <v>962</v>
      </c>
      <c r="G36" s="412">
        <f>-G30</f>
        <v>0</v>
      </c>
      <c r="H36" s="412"/>
      <c r="I36" s="409" t="str">
        <f>"Negative of Line "&amp;A30&amp;" Above"</f>
        <v>Negative of Line 20 Above</v>
      </c>
      <c r="J36" s="211">
        <f t="shared" si="1"/>
        <v>26</v>
      </c>
    </row>
    <row r="37" spans="1:12">
      <c r="A37" s="211">
        <f t="shared" si="0"/>
        <v>27</v>
      </c>
      <c r="B37" s="191" t="s">
        <v>714</v>
      </c>
      <c r="E37" s="211" t="s">
        <v>965</v>
      </c>
      <c r="G37" s="327">
        <v>0</v>
      </c>
      <c r="H37" s="471"/>
      <c r="I37" s="410"/>
      <c r="J37" s="211">
        <f t="shared" si="1"/>
        <v>27</v>
      </c>
    </row>
    <row r="38" spans="1:12">
      <c r="A38" s="211">
        <f t="shared" si="0"/>
        <v>28</v>
      </c>
      <c r="B38" s="191" t="s">
        <v>715</v>
      </c>
      <c r="E38" s="211" t="s">
        <v>966</v>
      </c>
      <c r="G38" s="327">
        <v>12087.273999999999</v>
      </c>
      <c r="H38" s="471"/>
      <c r="I38" s="410"/>
      <c r="J38" s="211">
        <f t="shared" si="1"/>
        <v>28</v>
      </c>
    </row>
    <row r="39" spans="1:12" ht="16.5" thickBot="1">
      <c r="A39" s="211">
        <f t="shared" si="0"/>
        <v>29</v>
      </c>
      <c r="B39" s="191" t="s">
        <v>716</v>
      </c>
      <c r="G39" s="1084">
        <f>SUM(G35:G38)</f>
        <v>10575515.738799999</v>
      </c>
      <c r="H39" s="413"/>
      <c r="I39" s="409" t="str">
        <f>"Sum Lines "&amp;A35&amp;" thru "&amp;A38</f>
        <v>Sum Lines 25 thru 28</v>
      </c>
      <c r="J39" s="211">
        <f t="shared" si="1"/>
        <v>29</v>
      </c>
    </row>
    <row r="40" spans="1:12" ht="17.25" thickTop="1" thickBot="1">
      <c r="A40" s="904">
        <f t="shared" si="0"/>
        <v>30</v>
      </c>
      <c r="B40" s="867"/>
      <c r="C40" s="867"/>
      <c r="D40" s="867"/>
      <c r="E40" s="867"/>
      <c r="F40" s="867"/>
      <c r="G40" s="867"/>
      <c r="H40" s="867"/>
      <c r="I40" s="905"/>
      <c r="J40" s="904">
        <f t="shared" si="1"/>
        <v>30</v>
      </c>
    </row>
    <row r="41" spans="1:12">
      <c r="A41" s="211">
        <f>A40+1</f>
        <v>31</v>
      </c>
      <c r="I41" s="409"/>
      <c r="J41" s="211">
        <f>J40+1</f>
        <v>31</v>
      </c>
    </row>
    <row r="42" spans="1:12" ht="16.5" thickBot="1">
      <c r="A42" s="211">
        <f>A41+1</f>
        <v>32</v>
      </c>
      <c r="B42" s="389" t="s">
        <v>717</v>
      </c>
      <c r="G42" s="1013">
        <v>0.10100000000000001</v>
      </c>
      <c r="H42" s="471"/>
      <c r="I42" s="211"/>
      <c r="J42" s="211">
        <f>J41+1</f>
        <v>32</v>
      </c>
      <c r="K42" s="342"/>
    </row>
    <row r="43" spans="1:12" ht="16.5" thickTop="1">
      <c r="A43" s="211">
        <f t="shared" si="0"/>
        <v>33</v>
      </c>
      <c r="C43" s="341" t="s">
        <v>77</v>
      </c>
      <c r="D43" s="341" t="s">
        <v>78</v>
      </c>
      <c r="E43" s="341" t="s">
        <v>335</v>
      </c>
      <c r="F43" s="341"/>
      <c r="G43" s="341" t="s">
        <v>718</v>
      </c>
      <c r="H43" s="341"/>
      <c r="I43" s="409"/>
      <c r="J43" s="211">
        <f t="shared" si="1"/>
        <v>33</v>
      </c>
    </row>
    <row r="44" spans="1:12">
      <c r="A44" s="211">
        <f t="shared" si="0"/>
        <v>34</v>
      </c>
      <c r="D44" s="211" t="s">
        <v>719</v>
      </c>
      <c r="E44" s="211" t="s">
        <v>720</v>
      </c>
      <c r="F44" s="211"/>
      <c r="G44" s="211" t="s">
        <v>721</v>
      </c>
      <c r="H44" s="211"/>
      <c r="I44" s="409"/>
      <c r="J44" s="211">
        <f t="shared" si="1"/>
        <v>34</v>
      </c>
    </row>
    <row r="45" spans="1:12" ht="18.75">
      <c r="A45" s="211">
        <f t="shared" si="0"/>
        <v>35</v>
      </c>
      <c r="B45" s="389" t="s">
        <v>722</v>
      </c>
      <c r="C45" s="845" t="s">
        <v>524</v>
      </c>
      <c r="D45" s="845" t="s">
        <v>723</v>
      </c>
      <c r="E45" s="845" t="s">
        <v>724</v>
      </c>
      <c r="F45" s="845"/>
      <c r="G45" s="845" t="s">
        <v>725</v>
      </c>
      <c r="H45" s="211"/>
      <c r="I45" s="409"/>
      <c r="J45" s="211">
        <f t="shared" si="1"/>
        <v>35</v>
      </c>
    </row>
    <row r="46" spans="1:12">
      <c r="A46" s="211">
        <f t="shared" si="0"/>
        <v>36</v>
      </c>
      <c r="I46" s="409"/>
      <c r="J46" s="211">
        <f t="shared" si="1"/>
        <v>36</v>
      </c>
    </row>
    <row r="47" spans="1:12">
      <c r="A47" s="211">
        <f t="shared" si="0"/>
        <v>37</v>
      </c>
      <c r="B47" s="191" t="s">
        <v>726</v>
      </c>
      <c r="C47" s="401">
        <f>G17</f>
        <v>8916888.0179999992</v>
      </c>
      <c r="D47" s="414">
        <f>C47/C$50</f>
        <v>0.45745451044688679</v>
      </c>
      <c r="E47" s="415">
        <f>G27</f>
        <v>4.1518230379553031E-2</v>
      </c>
      <c r="G47" s="416">
        <f>D47*E47</f>
        <v>1.8992701752899493E-2</v>
      </c>
      <c r="H47" s="416"/>
      <c r="I47" s="409" t="str">
        <f>"Col. c = Line "&amp;A27&amp;" Above"</f>
        <v>Col. c = Line 17 Above</v>
      </c>
      <c r="J47" s="211">
        <f t="shared" si="1"/>
        <v>37</v>
      </c>
    </row>
    <row r="48" spans="1:12">
      <c r="A48" s="211">
        <f t="shared" si="0"/>
        <v>38</v>
      </c>
      <c r="B48" s="191" t="s">
        <v>727</v>
      </c>
      <c r="C48" s="417">
        <f>G30</f>
        <v>0</v>
      </c>
      <c r="D48" s="414">
        <f>C48/C$50</f>
        <v>0</v>
      </c>
      <c r="E48" s="415">
        <f>G32</f>
        <v>0</v>
      </c>
      <c r="G48" s="416">
        <f>D48*E48</f>
        <v>0</v>
      </c>
      <c r="H48" s="416"/>
      <c r="I48" s="409" t="str">
        <f>"Col. c = Line "&amp;A32&amp;" Above"</f>
        <v>Col. c = Line 22 Above</v>
      </c>
      <c r="J48" s="211">
        <f t="shared" si="1"/>
        <v>38</v>
      </c>
    </row>
    <row r="49" spans="1:10">
      <c r="A49" s="211">
        <f t="shared" si="0"/>
        <v>39</v>
      </c>
      <c r="B49" s="191" t="s">
        <v>728</v>
      </c>
      <c r="C49" s="417">
        <f>G39</f>
        <v>10575515.738799999</v>
      </c>
      <c r="D49" s="1085">
        <f>C49/C$50</f>
        <v>0.54254548955311332</v>
      </c>
      <c r="E49" s="418">
        <f>G42</f>
        <v>0.10100000000000001</v>
      </c>
      <c r="G49" s="1086">
        <f>D49*E49</f>
        <v>5.4797094444864448E-2</v>
      </c>
      <c r="H49" s="411"/>
      <c r="I49" s="409" t="str">
        <f>"Col. c = Line "&amp;A42&amp;" Above"</f>
        <v>Col. c = Line 32 Above</v>
      </c>
      <c r="J49" s="211">
        <f t="shared" si="1"/>
        <v>39</v>
      </c>
    </row>
    <row r="50" spans="1:10" ht="16.5" thickBot="1">
      <c r="A50" s="211">
        <f t="shared" si="0"/>
        <v>40</v>
      </c>
      <c r="B50" s="191" t="s">
        <v>729</v>
      </c>
      <c r="C50" s="1087">
        <f>SUM(C47:C49)</f>
        <v>19492403.756799996</v>
      </c>
      <c r="D50" s="1014">
        <f>SUM(D47:D49)</f>
        <v>1</v>
      </c>
      <c r="G50" s="1012">
        <f>SUM(G47:G49)</f>
        <v>7.3789796197763935E-2</v>
      </c>
      <c r="H50" s="411"/>
      <c r="I50" s="409" t="str">
        <f>"Sum Lines "&amp;A47&amp;" thru "&amp;A49</f>
        <v>Sum Lines 37 thru 39</v>
      </c>
      <c r="J50" s="211">
        <f t="shared" si="1"/>
        <v>40</v>
      </c>
    </row>
    <row r="51" spans="1:10" ht="16.5" thickTop="1">
      <c r="A51" s="211">
        <f t="shared" si="0"/>
        <v>41</v>
      </c>
      <c r="I51" s="409"/>
      <c r="J51" s="211">
        <f t="shared" si="1"/>
        <v>41</v>
      </c>
    </row>
    <row r="52" spans="1:10" ht="16.5" thickBot="1">
      <c r="A52" s="211">
        <f t="shared" si="0"/>
        <v>42</v>
      </c>
      <c r="B52" s="389" t="s">
        <v>730</v>
      </c>
      <c r="G52" s="1012">
        <f>G48+G49</f>
        <v>5.4797094444864448E-2</v>
      </c>
      <c r="H52" s="411"/>
      <c r="I52" s="409" t="str">
        <f>"Line "&amp;A48&amp;" + Line "&amp;A49&amp;"; Col. d"</f>
        <v>Line 38 + Line 39; Col. d</v>
      </c>
      <c r="J52" s="211">
        <f t="shared" si="1"/>
        <v>42</v>
      </c>
    </row>
    <row r="53" spans="1:10" ht="17.25" thickTop="1" thickBot="1">
      <c r="A53" s="904">
        <f t="shared" si="0"/>
        <v>43</v>
      </c>
      <c r="B53" s="906"/>
      <c r="C53" s="867"/>
      <c r="D53" s="867"/>
      <c r="E53" s="867"/>
      <c r="F53" s="867"/>
      <c r="G53" s="907"/>
      <c r="H53" s="907"/>
      <c r="I53" s="905"/>
      <c r="J53" s="904">
        <f t="shared" si="1"/>
        <v>43</v>
      </c>
    </row>
    <row r="54" spans="1:10">
      <c r="A54" s="211">
        <f t="shared" si="0"/>
        <v>44</v>
      </c>
      <c r="B54" s="389"/>
      <c r="G54" s="418"/>
      <c r="H54" s="418"/>
      <c r="I54" s="409"/>
      <c r="J54" s="211">
        <f t="shared" si="1"/>
        <v>44</v>
      </c>
    </row>
    <row r="55" spans="1:10" ht="16.5" thickBot="1">
      <c r="A55" s="211">
        <f t="shared" si="0"/>
        <v>45</v>
      </c>
      <c r="B55" s="389" t="s">
        <v>731</v>
      </c>
      <c r="G55" s="1015">
        <v>0</v>
      </c>
      <c r="H55" s="418"/>
      <c r="I55" s="409" t="s">
        <v>303</v>
      </c>
      <c r="J55" s="211">
        <f t="shared" si="1"/>
        <v>45</v>
      </c>
    </row>
    <row r="56" spans="1:10" ht="16.5" thickTop="1">
      <c r="A56" s="211">
        <f t="shared" si="0"/>
        <v>46</v>
      </c>
      <c r="C56" s="341" t="s">
        <v>77</v>
      </c>
      <c r="D56" s="341" t="s">
        <v>78</v>
      </c>
      <c r="E56" s="341" t="s">
        <v>335</v>
      </c>
      <c r="F56" s="341"/>
      <c r="G56" s="341" t="s">
        <v>718</v>
      </c>
      <c r="H56" s="418"/>
      <c r="I56" s="409"/>
      <c r="J56" s="211">
        <f t="shared" si="1"/>
        <v>46</v>
      </c>
    </row>
    <row r="57" spans="1:10">
      <c r="A57" s="211">
        <f t="shared" si="0"/>
        <v>47</v>
      </c>
      <c r="D57" s="211" t="s">
        <v>719</v>
      </c>
      <c r="E57" s="211" t="s">
        <v>720</v>
      </c>
      <c r="F57" s="211"/>
      <c r="G57" s="211" t="s">
        <v>721</v>
      </c>
      <c r="H57" s="418"/>
      <c r="I57" s="409"/>
      <c r="J57" s="211">
        <f t="shared" si="1"/>
        <v>47</v>
      </c>
    </row>
    <row r="58" spans="1:10" ht="18.75">
      <c r="A58" s="211">
        <f t="shared" si="0"/>
        <v>48</v>
      </c>
      <c r="B58" s="389" t="s">
        <v>732</v>
      </c>
      <c r="C58" s="845" t="s">
        <v>524</v>
      </c>
      <c r="D58" s="845" t="s">
        <v>723</v>
      </c>
      <c r="E58" s="845" t="s">
        <v>724</v>
      </c>
      <c r="F58" s="845"/>
      <c r="G58" s="845" t="s">
        <v>725</v>
      </c>
      <c r="H58" s="418"/>
      <c r="I58" s="409"/>
      <c r="J58" s="211">
        <f t="shared" si="1"/>
        <v>48</v>
      </c>
    </row>
    <row r="59" spans="1:10">
      <c r="A59" s="211">
        <f t="shared" si="0"/>
        <v>49</v>
      </c>
      <c r="G59" s="418"/>
      <c r="H59" s="418"/>
      <c r="I59" s="409"/>
      <c r="J59" s="211">
        <f t="shared" si="1"/>
        <v>49</v>
      </c>
    </row>
    <row r="60" spans="1:10">
      <c r="A60" s="211">
        <f t="shared" si="0"/>
        <v>50</v>
      </c>
      <c r="B60" s="191" t="s">
        <v>726</v>
      </c>
      <c r="C60" s="761">
        <v>0</v>
      </c>
      <c r="D60" s="763">
        <v>0</v>
      </c>
      <c r="E60" s="764">
        <v>0</v>
      </c>
      <c r="G60" s="416">
        <f>D60*E60</f>
        <v>0</v>
      </c>
      <c r="H60" s="418"/>
      <c r="I60" s="409" t="s">
        <v>303</v>
      </c>
      <c r="J60" s="211">
        <f t="shared" si="1"/>
        <v>50</v>
      </c>
    </row>
    <row r="61" spans="1:10">
      <c r="A61" s="211">
        <f t="shared" si="0"/>
        <v>51</v>
      </c>
      <c r="B61" s="191" t="s">
        <v>727</v>
      </c>
      <c r="C61" s="762">
        <v>0</v>
      </c>
      <c r="D61" s="763">
        <v>0</v>
      </c>
      <c r="E61" s="764">
        <v>0</v>
      </c>
      <c r="G61" s="416">
        <f>D61*E61</f>
        <v>0</v>
      </c>
      <c r="H61" s="418"/>
      <c r="I61" s="409" t="s">
        <v>303</v>
      </c>
      <c r="J61" s="211">
        <f t="shared" si="1"/>
        <v>51</v>
      </c>
    </row>
    <row r="62" spans="1:10">
      <c r="A62" s="211">
        <f t="shared" si="0"/>
        <v>52</v>
      </c>
      <c r="B62" s="191" t="s">
        <v>728</v>
      </c>
      <c r="C62" s="762">
        <v>0</v>
      </c>
      <c r="D62" s="1088">
        <v>0</v>
      </c>
      <c r="E62" s="765">
        <v>0</v>
      </c>
      <c r="G62" s="1086">
        <f>D62*E62</f>
        <v>0</v>
      </c>
      <c r="H62" s="418"/>
      <c r="I62" s="409" t="s">
        <v>303</v>
      </c>
      <c r="J62" s="211">
        <f t="shared" si="1"/>
        <v>52</v>
      </c>
    </row>
    <row r="63" spans="1:10" ht="16.5" thickBot="1">
      <c r="A63" s="211">
        <f t="shared" si="0"/>
        <v>53</v>
      </c>
      <c r="B63" s="191" t="s">
        <v>729</v>
      </c>
      <c r="C63" s="1087">
        <f>SUM(C60:C62)</f>
        <v>0</v>
      </c>
      <c r="D63" s="1012">
        <f>SUM(D60:D62)</f>
        <v>0</v>
      </c>
      <c r="G63" s="1012">
        <f>SUM(G60:G62)</f>
        <v>0</v>
      </c>
      <c r="H63" s="418"/>
      <c r="I63" s="409" t="str">
        <f>"Sum Lines "&amp;A60&amp;" thru "&amp;A62</f>
        <v>Sum Lines 50 thru 52</v>
      </c>
      <c r="J63" s="211">
        <f t="shared" si="1"/>
        <v>53</v>
      </c>
    </row>
    <row r="64" spans="1:10" ht="16.5" thickTop="1">
      <c r="A64" s="211">
        <f t="shared" si="0"/>
        <v>54</v>
      </c>
      <c r="H64" s="418"/>
      <c r="I64" s="409"/>
      <c r="J64" s="211">
        <f t="shared" si="1"/>
        <v>54</v>
      </c>
    </row>
    <row r="65" spans="1:10" ht="16.5" thickBot="1">
      <c r="A65" s="211">
        <f t="shared" si="0"/>
        <v>55</v>
      </c>
      <c r="B65" s="389" t="s">
        <v>733</v>
      </c>
      <c r="G65" s="1012">
        <f>G61+G62</f>
        <v>0</v>
      </c>
      <c r="H65" s="418"/>
      <c r="I65" s="409" t="str">
        <f>"Line "&amp;A61&amp;" + Line "&amp;A62&amp;"; Col. d"</f>
        <v>Line 51 + Line 52; Col. d</v>
      </c>
      <c r="J65" s="211">
        <f t="shared" si="1"/>
        <v>55</v>
      </c>
    </row>
    <row r="66" spans="1:10" ht="16.5" thickTop="1">
      <c r="B66" s="389"/>
      <c r="G66" s="418"/>
      <c r="H66" s="418"/>
      <c r="I66" s="409"/>
      <c r="J66" s="211"/>
    </row>
    <row r="67" spans="1:10">
      <c r="B67" s="389"/>
      <c r="G67" s="418"/>
      <c r="H67" s="418"/>
      <c r="I67" s="409"/>
      <c r="J67" s="211"/>
    </row>
    <row r="68" spans="1:10" ht="18.75">
      <c r="A68" s="405">
        <v>1</v>
      </c>
      <c r="B68" s="3" t="s">
        <v>734</v>
      </c>
      <c r="G68" s="326"/>
      <c r="H68" s="326"/>
      <c r="J68" s="211" t="s">
        <v>183</v>
      </c>
    </row>
    <row r="69" spans="1:10" ht="18.75">
      <c r="A69" s="405"/>
      <c r="B69" s="3"/>
      <c r="G69" s="326"/>
      <c r="H69" s="326"/>
      <c r="J69" s="211"/>
    </row>
    <row r="70" spans="1:10" ht="18.75">
      <c r="A70" s="405"/>
      <c r="B70" s="3"/>
      <c r="D70" s="211"/>
      <c r="G70" s="326"/>
      <c r="H70" s="326"/>
      <c r="J70" s="211"/>
    </row>
    <row r="71" spans="1:10">
      <c r="B71" s="1303" t="s">
        <v>689</v>
      </c>
      <c r="C71" s="1303"/>
      <c r="D71" s="1303"/>
      <c r="E71" s="1303"/>
      <c r="F71" s="1303"/>
      <c r="G71" s="1303"/>
      <c r="H71" s="1303"/>
      <c r="I71" s="1303"/>
      <c r="J71" s="211"/>
    </row>
    <row r="72" spans="1:10">
      <c r="B72" s="1303" t="s">
        <v>690</v>
      </c>
      <c r="C72" s="1303"/>
      <c r="D72" s="1303"/>
      <c r="E72" s="1303"/>
      <c r="F72" s="1303"/>
      <c r="G72" s="1303"/>
      <c r="H72" s="1303"/>
      <c r="I72" s="1303"/>
      <c r="J72" s="211"/>
    </row>
    <row r="73" spans="1:10">
      <c r="B73" s="1303" t="s">
        <v>691</v>
      </c>
      <c r="C73" s="1303"/>
      <c r="D73" s="1303"/>
      <c r="E73" s="1303"/>
      <c r="F73" s="1303"/>
      <c r="G73" s="1303"/>
      <c r="H73" s="1303"/>
      <c r="I73" s="1303"/>
      <c r="J73" s="211"/>
    </row>
    <row r="74" spans="1:10">
      <c r="B74" s="1305" t="str">
        <f>B5</f>
        <v>Base Period &amp; True-Up Period 12 - Months Ending December 31, 2024</v>
      </c>
      <c r="C74" s="1305"/>
      <c r="D74" s="1305"/>
      <c r="E74" s="1305"/>
      <c r="F74" s="1305"/>
      <c r="G74" s="1305"/>
      <c r="H74" s="1305"/>
      <c r="I74" s="1305"/>
      <c r="J74" s="211"/>
    </row>
    <row r="75" spans="1:10">
      <c r="B75" s="1301" t="s">
        <v>3</v>
      </c>
      <c r="C75" s="1314"/>
      <c r="D75" s="1314"/>
      <c r="E75" s="1314"/>
      <c r="F75" s="1314"/>
      <c r="G75" s="1314"/>
      <c r="H75" s="1314"/>
      <c r="I75" s="1314"/>
      <c r="J75" s="211"/>
    </row>
    <row r="76" spans="1:10">
      <c r="B76" s="211"/>
      <c r="C76" s="211"/>
      <c r="D76" s="211"/>
      <c r="E76" s="211"/>
      <c r="F76" s="211"/>
      <c r="G76" s="211"/>
      <c r="H76" s="211"/>
      <c r="I76" s="409"/>
      <c r="J76" s="211"/>
    </row>
    <row r="77" spans="1:10">
      <c r="A77" s="211" t="s">
        <v>4</v>
      </c>
      <c r="B77" s="471"/>
      <c r="C77" s="471"/>
      <c r="D77" s="471"/>
      <c r="E77" s="471"/>
      <c r="F77" s="471"/>
      <c r="G77" s="471"/>
      <c r="H77" s="471"/>
      <c r="I77" s="409"/>
      <c r="J77" s="211" t="s">
        <v>4</v>
      </c>
    </row>
    <row r="78" spans="1:10">
      <c r="A78" s="211" t="s">
        <v>5</v>
      </c>
      <c r="B78" s="211"/>
      <c r="C78" s="211"/>
      <c r="D78" s="211"/>
      <c r="E78" s="211"/>
      <c r="F78" s="211"/>
      <c r="G78" s="845" t="s">
        <v>7</v>
      </c>
      <c r="H78" s="471"/>
      <c r="I78" s="1082" t="s">
        <v>8</v>
      </c>
      <c r="J78" s="211" t="s">
        <v>5</v>
      </c>
    </row>
    <row r="79" spans="1:10">
      <c r="G79" s="211"/>
      <c r="H79" s="211"/>
      <c r="I79" s="409"/>
      <c r="J79" s="211"/>
    </row>
    <row r="80" spans="1:10" ht="18.75">
      <c r="A80" s="211">
        <v>1</v>
      </c>
      <c r="B80" s="389" t="s">
        <v>735</v>
      </c>
      <c r="E80" s="471"/>
      <c r="F80" s="471"/>
      <c r="G80" s="325"/>
      <c r="H80" s="325"/>
      <c r="I80" s="409"/>
      <c r="J80" s="211">
        <v>1</v>
      </c>
    </row>
    <row r="81" spans="1:13">
      <c r="A81" s="211">
        <f>A80+1</f>
        <v>2</v>
      </c>
      <c r="B81" s="419"/>
      <c r="E81" s="471"/>
      <c r="F81" s="471"/>
      <c r="G81" s="325"/>
      <c r="H81" s="325"/>
      <c r="I81" s="409"/>
      <c r="J81" s="211">
        <f>J80+1</f>
        <v>2</v>
      </c>
    </row>
    <row r="82" spans="1:13">
      <c r="A82" s="211">
        <f>A81+1</f>
        <v>3</v>
      </c>
      <c r="B82" s="389" t="s">
        <v>736</v>
      </c>
      <c r="E82" s="471"/>
      <c r="F82" s="471"/>
      <c r="G82" s="325"/>
      <c r="H82" s="325"/>
      <c r="I82" s="409"/>
      <c r="J82" s="211">
        <f>J81+1</f>
        <v>3</v>
      </c>
    </row>
    <row r="83" spans="1:13">
      <c r="A83" s="211">
        <f>A82+1</f>
        <v>4</v>
      </c>
      <c r="B83" s="471"/>
      <c r="C83" s="471"/>
      <c r="D83" s="471"/>
      <c r="E83" s="471"/>
      <c r="F83" s="471"/>
      <c r="G83" s="325"/>
      <c r="H83" s="325"/>
      <c r="I83" s="409"/>
      <c r="J83" s="211">
        <f>J82+1</f>
        <v>4</v>
      </c>
    </row>
    <row r="84" spans="1:13">
      <c r="A84" s="211">
        <f t="shared" ref="A84:A110" si="2">A83+1</f>
        <v>5</v>
      </c>
      <c r="B84" s="349" t="s">
        <v>737</v>
      </c>
      <c r="C84" s="471"/>
      <c r="D84" s="471"/>
      <c r="E84" s="471"/>
      <c r="F84" s="471"/>
      <c r="G84" s="325"/>
      <c r="H84" s="325"/>
      <c r="I84" s="420"/>
      <c r="J84" s="211">
        <f t="shared" ref="J84:J110" si="3">J83+1</f>
        <v>5</v>
      </c>
    </row>
    <row r="85" spans="1:13">
      <c r="A85" s="211">
        <f t="shared" si="2"/>
        <v>6</v>
      </c>
      <c r="B85" s="191" t="s">
        <v>738</v>
      </c>
      <c r="D85" s="471"/>
      <c r="E85" s="471"/>
      <c r="F85" s="471"/>
      <c r="G85" s="421">
        <f>G52</f>
        <v>5.4797094444864448E-2</v>
      </c>
      <c r="H85" s="471"/>
      <c r="I85" s="409" t="str">
        <f>"AV1; Line "&amp;A52</f>
        <v>AV1; Line 42</v>
      </c>
      <c r="J85" s="211">
        <f t="shared" si="3"/>
        <v>6</v>
      </c>
      <c r="L85" s="211"/>
    </row>
    <row r="86" spans="1:13">
      <c r="A86" s="211">
        <f t="shared" si="2"/>
        <v>7</v>
      </c>
      <c r="B86" s="191" t="s">
        <v>739</v>
      </c>
      <c r="D86" s="471"/>
      <c r="E86" s="471"/>
      <c r="F86" s="471"/>
      <c r="G86" s="422">
        <f>-'Stmt AR'!E21</f>
        <v>3822.7789726424421</v>
      </c>
      <c r="H86" s="471"/>
      <c r="I86" s="409" t="str">
        <f>"Negative of Statement AR; Line "&amp;'Stmt AR'!A21</f>
        <v>Negative of Statement AR; Line 11</v>
      </c>
      <c r="J86" s="211">
        <f t="shared" si="3"/>
        <v>7</v>
      </c>
      <c r="L86" s="211"/>
    </row>
    <row r="87" spans="1:13" ht="18.75">
      <c r="A87" s="211">
        <f t="shared" si="2"/>
        <v>8</v>
      </c>
      <c r="B87" s="191" t="s">
        <v>740</v>
      </c>
      <c r="D87" s="471"/>
      <c r="E87" s="471"/>
      <c r="F87" s="471"/>
      <c r="G87" s="423">
        <f>'AV-2A'!C26</f>
        <v>12090.157470000002</v>
      </c>
      <c r="H87" s="471"/>
      <c r="I87" s="408" t="str">
        <f>"AV-2A; Line "&amp;'AV-2A'!A26&amp;""</f>
        <v>AV-2A; Line 14</v>
      </c>
      <c r="J87" s="211">
        <f t="shared" si="3"/>
        <v>8</v>
      </c>
      <c r="L87" s="471"/>
    </row>
    <row r="88" spans="1:13">
      <c r="A88" s="211">
        <f t="shared" si="2"/>
        <v>9</v>
      </c>
      <c r="B88" s="191" t="s">
        <v>741</v>
      </c>
      <c r="D88" s="471"/>
      <c r="E88" s="424"/>
      <c r="F88" s="471"/>
      <c r="G88" s="397">
        <f>'AV-4'!C36</f>
        <v>5390224.622280308</v>
      </c>
      <c r="H88" s="471"/>
      <c r="I88" s="408" t="str">
        <f>"AV-4; Page 1; Line "&amp;'AV-4'!A36</f>
        <v>AV-4; Page 1; Line 26</v>
      </c>
      <c r="J88" s="211">
        <f t="shared" si="3"/>
        <v>9</v>
      </c>
    </row>
    <row r="89" spans="1:13">
      <c r="A89" s="211">
        <f t="shared" si="2"/>
        <v>10</v>
      </c>
      <c r="B89" s="191" t="s">
        <v>742</v>
      </c>
      <c r="D89" s="425"/>
      <c r="E89" s="471"/>
      <c r="F89" s="471"/>
      <c r="G89" s="1089">
        <v>0.21</v>
      </c>
      <c r="H89" s="471"/>
      <c r="I89" s="409" t="s">
        <v>743</v>
      </c>
      <c r="J89" s="211">
        <f t="shared" si="3"/>
        <v>10</v>
      </c>
      <c r="M89" s="426"/>
    </row>
    <row r="90" spans="1:13">
      <c r="A90" s="211">
        <f t="shared" si="2"/>
        <v>11</v>
      </c>
      <c r="G90" s="211"/>
      <c r="H90" s="211"/>
      <c r="J90" s="211">
        <f t="shared" si="3"/>
        <v>11</v>
      </c>
    </row>
    <row r="91" spans="1:13">
      <c r="A91" s="211">
        <f t="shared" si="2"/>
        <v>12</v>
      </c>
      <c r="B91" s="191" t="s">
        <v>744</v>
      </c>
      <c r="D91" s="471"/>
      <c r="E91" s="471"/>
      <c r="F91" s="471"/>
      <c r="G91" s="427">
        <f>(((G85)+(G87/G88))*G89-(G86/G88))/(1-G89)</f>
        <v>1.426482205651022E-2</v>
      </c>
      <c r="H91" s="427"/>
      <c r="I91" s="409" t="s">
        <v>745</v>
      </c>
      <c r="J91" s="211">
        <f t="shared" si="3"/>
        <v>12</v>
      </c>
      <c r="M91" s="428"/>
    </row>
    <row r="92" spans="1:13">
      <c r="A92" s="211">
        <f t="shared" si="2"/>
        <v>13</v>
      </c>
      <c r="B92" s="429" t="s">
        <v>746</v>
      </c>
      <c r="G92" s="211"/>
      <c r="H92" s="211"/>
      <c r="J92" s="211">
        <f t="shared" si="3"/>
        <v>13</v>
      </c>
    </row>
    <row r="93" spans="1:13">
      <c r="A93" s="211">
        <f t="shared" si="2"/>
        <v>14</v>
      </c>
      <c r="G93" s="211"/>
      <c r="H93" s="211"/>
      <c r="J93" s="211">
        <f t="shared" si="3"/>
        <v>14</v>
      </c>
    </row>
    <row r="94" spans="1:13">
      <c r="A94" s="211">
        <f t="shared" si="2"/>
        <v>15</v>
      </c>
      <c r="B94" s="389" t="s">
        <v>747</v>
      </c>
      <c r="C94" s="471"/>
      <c r="D94" s="471"/>
      <c r="E94" s="471"/>
      <c r="F94" s="471"/>
      <c r="G94" s="430"/>
      <c r="H94" s="430"/>
      <c r="I94" s="431"/>
      <c r="J94" s="211">
        <f t="shared" si="3"/>
        <v>15</v>
      </c>
      <c r="L94" s="432"/>
    </row>
    <row r="95" spans="1:13">
      <c r="A95" s="211">
        <f t="shared" si="2"/>
        <v>16</v>
      </c>
      <c r="B95" s="394"/>
      <c r="C95" s="471"/>
      <c r="D95" s="471"/>
      <c r="E95" s="471"/>
      <c r="F95" s="471"/>
      <c r="G95" s="430"/>
      <c r="H95" s="430"/>
      <c r="I95" s="433"/>
      <c r="J95" s="211">
        <f t="shared" si="3"/>
        <v>16</v>
      </c>
      <c r="L95" s="471"/>
    </row>
    <row r="96" spans="1:13">
      <c r="A96" s="211">
        <f t="shared" si="2"/>
        <v>17</v>
      </c>
      <c r="B96" s="349" t="s">
        <v>737</v>
      </c>
      <c r="C96" s="471"/>
      <c r="D96" s="471"/>
      <c r="E96" s="471"/>
      <c r="F96" s="471"/>
      <c r="G96" s="430"/>
      <c r="H96" s="430"/>
      <c r="I96" s="433"/>
      <c r="J96" s="211">
        <f t="shared" si="3"/>
        <v>17</v>
      </c>
      <c r="L96" s="471"/>
    </row>
    <row r="97" spans="1:13">
      <c r="A97" s="211">
        <f t="shared" si="2"/>
        <v>18</v>
      </c>
      <c r="B97" s="191" t="s">
        <v>738</v>
      </c>
      <c r="D97" s="471"/>
      <c r="E97" s="471"/>
      <c r="F97" s="471"/>
      <c r="G97" s="414">
        <f>G85</f>
        <v>5.4797094444864448E-2</v>
      </c>
      <c r="H97" s="414"/>
      <c r="I97" s="409" t="str">
        <f>"Line "&amp;A85&amp;" Above"</f>
        <v>Line 6 Above</v>
      </c>
      <c r="J97" s="211">
        <f t="shared" si="3"/>
        <v>18</v>
      </c>
      <c r="L97" s="211"/>
    </row>
    <row r="98" spans="1:13">
      <c r="A98" s="211">
        <f t="shared" si="2"/>
        <v>19</v>
      </c>
      <c r="B98" s="191" t="s">
        <v>748</v>
      </c>
      <c r="D98" s="471"/>
      <c r="E98" s="471"/>
      <c r="F98" s="471"/>
      <c r="G98" s="280">
        <f>G87</f>
        <v>12090.157470000002</v>
      </c>
      <c r="H98" s="280"/>
      <c r="I98" s="409" t="str">
        <f>"Line "&amp;A87&amp;" Above"</f>
        <v>Line 8 Above</v>
      </c>
      <c r="J98" s="211">
        <f t="shared" si="3"/>
        <v>19</v>
      </c>
      <c r="L98" s="211"/>
    </row>
    <row r="99" spans="1:13">
      <c r="A99" s="211">
        <f t="shared" si="2"/>
        <v>20</v>
      </c>
      <c r="B99" s="191" t="s">
        <v>749</v>
      </c>
      <c r="D99" s="471"/>
      <c r="E99" s="471"/>
      <c r="F99" s="471"/>
      <c r="G99" s="434">
        <f>G88</f>
        <v>5390224.622280308</v>
      </c>
      <c r="H99" s="434"/>
      <c r="I99" s="409" t="str">
        <f>"Line "&amp;A88&amp;" Above"</f>
        <v>Line 9 Above</v>
      </c>
      <c r="J99" s="211">
        <f t="shared" si="3"/>
        <v>20</v>
      </c>
      <c r="L99" s="211"/>
    </row>
    <row r="100" spans="1:13">
      <c r="A100" s="211">
        <f t="shared" si="2"/>
        <v>21</v>
      </c>
      <c r="B100" s="191" t="s">
        <v>750</v>
      </c>
      <c r="D100" s="471"/>
      <c r="E100" s="471"/>
      <c r="F100" s="471"/>
      <c r="G100" s="435">
        <f>G91</f>
        <v>1.426482205651022E-2</v>
      </c>
      <c r="H100" s="435"/>
      <c r="I100" s="409" t="str">
        <f>"Line "&amp;A91&amp;" Above"</f>
        <v>Line 12 Above</v>
      </c>
      <c r="J100" s="211">
        <f t="shared" si="3"/>
        <v>21</v>
      </c>
    </row>
    <row r="101" spans="1:13">
      <c r="A101" s="211">
        <f t="shared" si="2"/>
        <v>22</v>
      </c>
      <c r="B101" s="191" t="s">
        <v>751</v>
      </c>
      <c r="D101" s="471"/>
      <c r="E101" s="471"/>
      <c r="F101" s="471"/>
      <c r="G101" s="1090">
        <v>8.8400000000000006E-2</v>
      </c>
      <c r="H101" s="471"/>
      <c r="I101" s="409" t="s">
        <v>752</v>
      </c>
      <c r="J101" s="211">
        <f t="shared" si="3"/>
        <v>22</v>
      </c>
    </row>
    <row r="102" spans="1:13">
      <c r="A102" s="211">
        <f t="shared" si="2"/>
        <v>23</v>
      </c>
      <c r="B102" s="210"/>
      <c r="D102" s="471"/>
      <c r="E102" s="471"/>
      <c r="F102" s="471"/>
      <c r="G102" s="436"/>
      <c r="H102" s="436"/>
      <c r="I102" s="433"/>
      <c r="J102" s="211">
        <f t="shared" si="3"/>
        <v>23</v>
      </c>
    </row>
    <row r="103" spans="1:13">
      <c r="A103" s="211">
        <f t="shared" si="2"/>
        <v>24</v>
      </c>
      <c r="B103" s="191" t="s">
        <v>753</v>
      </c>
      <c r="C103" s="211"/>
      <c r="D103" s="211"/>
      <c r="E103" s="471"/>
      <c r="F103" s="471"/>
      <c r="G103" s="1091">
        <f>((G97)+(G98/G99)+G91)*G101/(1-G101)</f>
        <v>6.9146036753479486E-3</v>
      </c>
      <c r="H103" s="437"/>
      <c r="I103" s="409" t="s">
        <v>754</v>
      </c>
      <c r="J103" s="211">
        <f t="shared" si="3"/>
        <v>24</v>
      </c>
    </row>
    <row r="104" spans="1:13">
      <c r="A104" s="211">
        <f t="shared" si="2"/>
        <v>25</v>
      </c>
      <c r="B104" s="429" t="s">
        <v>755</v>
      </c>
      <c r="G104" s="211"/>
      <c r="H104" s="211"/>
      <c r="I104" s="409"/>
      <c r="J104" s="211">
        <f t="shared" si="3"/>
        <v>25</v>
      </c>
      <c r="L104" s="211"/>
    </row>
    <row r="105" spans="1:13">
      <c r="A105" s="211">
        <f t="shared" si="2"/>
        <v>26</v>
      </c>
      <c r="G105" s="211"/>
      <c r="H105" s="211"/>
      <c r="I105" s="409"/>
      <c r="J105" s="211">
        <f t="shared" si="3"/>
        <v>26</v>
      </c>
      <c r="L105" s="211"/>
    </row>
    <row r="106" spans="1:13">
      <c r="A106" s="211">
        <f t="shared" si="2"/>
        <v>27</v>
      </c>
      <c r="B106" s="389" t="s">
        <v>756</v>
      </c>
      <c r="G106" s="427">
        <f>G103+G91</f>
        <v>2.117942573185817E-2</v>
      </c>
      <c r="H106" s="427"/>
      <c r="I106" s="409" t="str">
        <f>"Line "&amp;A91&amp;" + Line "&amp;A103</f>
        <v>Line 12 + Line 24</v>
      </c>
      <c r="J106" s="211">
        <f t="shared" si="3"/>
        <v>27</v>
      </c>
      <c r="L106" s="211"/>
    </row>
    <row r="107" spans="1:13">
      <c r="A107" s="211">
        <f t="shared" si="2"/>
        <v>28</v>
      </c>
      <c r="G107" s="211"/>
      <c r="H107" s="211"/>
      <c r="I107" s="409"/>
      <c r="J107" s="211">
        <f t="shared" si="3"/>
        <v>28</v>
      </c>
      <c r="L107" s="211"/>
    </row>
    <row r="108" spans="1:13">
      <c r="A108" s="211">
        <f t="shared" si="2"/>
        <v>29</v>
      </c>
      <c r="B108" s="389" t="s">
        <v>757</v>
      </c>
      <c r="G108" s="1092">
        <f>G50</f>
        <v>7.3789796197763935E-2</v>
      </c>
      <c r="H108" s="471"/>
      <c r="I108" s="409" t="str">
        <f>"AV1; Line "&amp;A50</f>
        <v>AV1; Line 40</v>
      </c>
      <c r="J108" s="211">
        <f t="shared" si="3"/>
        <v>29</v>
      </c>
      <c r="L108" s="211"/>
    </row>
    <row r="109" spans="1:13">
      <c r="A109" s="211">
        <f t="shared" si="2"/>
        <v>30</v>
      </c>
      <c r="G109" s="414"/>
      <c r="H109" s="414"/>
      <c r="I109" s="409"/>
      <c r="J109" s="211">
        <f t="shared" si="3"/>
        <v>30</v>
      </c>
      <c r="L109" s="211"/>
    </row>
    <row r="110" spans="1:13" ht="19.5" thickBot="1">
      <c r="A110" s="211">
        <f t="shared" si="2"/>
        <v>31</v>
      </c>
      <c r="B110" s="389" t="s">
        <v>758</v>
      </c>
      <c r="G110" s="1016">
        <f>G106+G108</f>
        <v>9.4969221929622108E-2</v>
      </c>
      <c r="H110" s="437"/>
      <c r="I110" s="409" t="str">
        <f>"Line "&amp;A106&amp;" + Line "&amp;A108</f>
        <v>Line 27 + Line 29</v>
      </c>
      <c r="J110" s="211">
        <f t="shared" si="3"/>
        <v>31</v>
      </c>
      <c r="L110" s="438"/>
      <c r="M110" s="428"/>
    </row>
    <row r="111" spans="1:13" ht="16.5" thickTop="1">
      <c r="B111" s="389"/>
      <c r="G111" s="439"/>
      <c r="H111" s="439"/>
      <c r="I111" s="409"/>
      <c r="J111" s="211"/>
      <c r="L111" s="438"/>
      <c r="M111" s="428"/>
    </row>
    <row r="112" spans="1:13">
      <c r="B112" s="389"/>
      <c r="G112" s="439"/>
      <c r="H112" s="439"/>
      <c r="I112" s="409"/>
      <c r="J112" s="211"/>
      <c r="L112" s="438"/>
      <c r="M112" s="428"/>
    </row>
    <row r="113" spans="1:13" ht="18.75">
      <c r="A113" s="334">
        <v>1</v>
      </c>
      <c r="B113" s="3" t="s">
        <v>759</v>
      </c>
      <c r="G113" s="439"/>
      <c r="H113" s="439"/>
      <c r="I113" s="409"/>
      <c r="J113" s="211"/>
      <c r="L113" s="438"/>
      <c r="M113" s="428"/>
    </row>
    <row r="114" spans="1:13" ht="18.75">
      <c r="A114" s="334"/>
      <c r="B114" s="3"/>
      <c r="G114" s="439"/>
      <c r="H114" s="439"/>
      <c r="I114" s="409"/>
      <c r="J114" s="211"/>
      <c r="L114" s="438"/>
      <c r="M114" s="428"/>
    </row>
    <row r="115" spans="1:13">
      <c r="A115" s="440"/>
      <c r="B115" s="210"/>
      <c r="C115" s="441"/>
      <c r="D115" s="441"/>
      <c r="E115" s="441"/>
      <c r="F115" s="441"/>
      <c r="G115" s="442"/>
      <c r="H115" s="442"/>
      <c r="I115" s="443"/>
      <c r="J115" s="211"/>
    </row>
    <row r="116" spans="1:13">
      <c r="B116" s="1303" t="s">
        <v>0</v>
      </c>
      <c r="C116" s="1303"/>
      <c r="D116" s="1303"/>
      <c r="E116" s="1303"/>
      <c r="F116" s="1303"/>
      <c r="G116" s="1303"/>
      <c r="H116" s="1303"/>
      <c r="I116" s="1303"/>
    </row>
    <row r="117" spans="1:13">
      <c r="B117" s="1303" t="s">
        <v>690</v>
      </c>
      <c r="C117" s="1303"/>
      <c r="D117" s="1303"/>
      <c r="E117" s="1303"/>
      <c r="F117" s="1303"/>
      <c r="G117" s="1303"/>
      <c r="H117" s="1303"/>
      <c r="I117" s="1303"/>
    </row>
    <row r="118" spans="1:13">
      <c r="B118" s="1303" t="s">
        <v>691</v>
      </c>
      <c r="C118" s="1303"/>
      <c r="D118" s="1303"/>
      <c r="E118" s="1303"/>
      <c r="F118" s="1303"/>
      <c r="G118" s="1303"/>
      <c r="H118" s="1303"/>
      <c r="I118" s="1303"/>
    </row>
    <row r="119" spans="1:13">
      <c r="B119" s="1305" t="str">
        <f>B5</f>
        <v>Base Period &amp; True-Up Period 12 - Months Ending December 31, 2024</v>
      </c>
      <c r="C119" s="1305"/>
      <c r="D119" s="1305"/>
      <c r="E119" s="1305"/>
      <c r="F119" s="1305"/>
      <c r="G119" s="1305"/>
      <c r="H119" s="1305"/>
      <c r="I119" s="1305"/>
    </row>
    <row r="120" spans="1:13">
      <c r="B120" s="1301" t="s">
        <v>3</v>
      </c>
      <c r="C120" s="1314"/>
      <c r="D120" s="1314"/>
      <c r="E120" s="1314"/>
      <c r="F120" s="1314"/>
      <c r="G120" s="1314"/>
      <c r="H120" s="1314"/>
      <c r="I120" s="1314"/>
    </row>
    <row r="122" spans="1:13">
      <c r="A122" s="211" t="s">
        <v>4</v>
      </c>
      <c r="B122" s="471"/>
      <c r="C122" s="471"/>
      <c r="D122" s="471"/>
      <c r="E122" s="471"/>
      <c r="F122" s="471"/>
      <c r="G122" s="471"/>
      <c r="H122" s="471"/>
      <c r="I122" s="409"/>
      <c r="J122" s="211" t="s">
        <v>4</v>
      </c>
    </row>
    <row r="123" spans="1:13">
      <c r="A123" s="211" t="s">
        <v>5</v>
      </c>
      <c r="B123" s="211"/>
      <c r="C123" s="211"/>
      <c r="D123" s="211"/>
      <c r="E123" s="211"/>
      <c r="F123" s="211"/>
      <c r="G123" s="845" t="s">
        <v>7</v>
      </c>
      <c r="H123" s="471"/>
      <c r="I123" s="1082" t="s">
        <v>8</v>
      </c>
      <c r="J123" s="211" t="s">
        <v>5</v>
      </c>
    </row>
    <row r="125" spans="1:13" ht="18.75">
      <c r="A125" s="211">
        <v>1</v>
      </c>
      <c r="B125" s="389" t="s">
        <v>760</v>
      </c>
      <c r="J125" s="211">
        <v>1</v>
      </c>
    </row>
    <row r="126" spans="1:13">
      <c r="A126" s="211">
        <f>A125+1</f>
        <v>2</v>
      </c>
      <c r="B126" s="419"/>
      <c r="J126" s="211">
        <f>J125+1</f>
        <v>2</v>
      </c>
    </row>
    <row r="127" spans="1:13">
      <c r="A127" s="211">
        <f>A126+1</f>
        <v>3</v>
      </c>
      <c r="B127" s="389" t="s">
        <v>736</v>
      </c>
      <c r="J127" s="211">
        <f>J126+1</f>
        <v>3</v>
      </c>
    </row>
    <row r="128" spans="1:13">
      <c r="A128" s="211">
        <f>A127+1</f>
        <v>4</v>
      </c>
      <c r="B128" s="471"/>
      <c r="J128" s="211">
        <f>J127+1</f>
        <v>4</v>
      </c>
    </row>
    <row r="129" spans="1:10">
      <c r="A129" s="211">
        <f t="shared" ref="A129:A155" si="4">A128+1</f>
        <v>5</v>
      </c>
      <c r="B129" s="349" t="s">
        <v>737</v>
      </c>
      <c r="J129" s="211">
        <f t="shared" ref="J129:J155" si="5">J128+1</f>
        <v>5</v>
      </c>
    </row>
    <row r="130" spans="1:10">
      <c r="A130" s="211">
        <f t="shared" si="4"/>
        <v>6</v>
      </c>
      <c r="B130" s="191" t="str">
        <f>B85</f>
        <v xml:space="preserve">     A = Sum of Preferred Stock and Return on Equity Component</v>
      </c>
      <c r="G130" s="421">
        <f>G65</f>
        <v>0</v>
      </c>
      <c r="I130" s="409" t="str">
        <f>"AV1; Line "&amp;A65</f>
        <v>AV1; Line 55</v>
      </c>
      <c r="J130" s="211">
        <f t="shared" si="5"/>
        <v>6</v>
      </c>
    </row>
    <row r="131" spans="1:10">
      <c r="A131" s="211">
        <f t="shared" si="4"/>
        <v>7</v>
      </c>
      <c r="B131" s="191" t="str">
        <f>B86</f>
        <v xml:space="preserve">     B = Transmission Total Federal Tax Adjustments</v>
      </c>
      <c r="G131" s="753">
        <v>0</v>
      </c>
      <c r="I131" s="408" t="s">
        <v>303</v>
      </c>
      <c r="J131" s="211">
        <f t="shared" si="5"/>
        <v>7</v>
      </c>
    </row>
    <row r="132" spans="1:10">
      <c r="A132" s="211">
        <f t="shared" si="4"/>
        <v>8</v>
      </c>
      <c r="B132" s="191" t="s">
        <v>761</v>
      </c>
      <c r="G132" s="766">
        <v>0</v>
      </c>
      <c r="I132" s="408" t="s">
        <v>303</v>
      </c>
      <c r="J132" s="211">
        <f t="shared" si="5"/>
        <v>8</v>
      </c>
    </row>
    <row r="133" spans="1:10">
      <c r="A133" s="211">
        <f t="shared" si="4"/>
        <v>9</v>
      </c>
      <c r="B133" s="191" t="s">
        <v>762</v>
      </c>
      <c r="G133" s="766">
        <v>0</v>
      </c>
      <c r="I133" s="408" t="s">
        <v>303</v>
      </c>
      <c r="J133" s="211">
        <f t="shared" si="5"/>
        <v>9</v>
      </c>
    </row>
    <row r="134" spans="1:10">
      <c r="A134" s="211">
        <f t="shared" si="4"/>
        <v>10</v>
      </c>
      <c r="B134" s="191" t="str">
        <f>B89</f>
        <v xml:space="preserve">     FT = Federal Income Tax Rate for Rate Effective Period</v>
      </c>
      <c r="G134" s="1093">
        <f>G89</f>
        <v>0.21</v>
      </c>
      <c r="I134" s="409" t="str">
        <f>"AV2; Line "&amp;A89</f>
        <v>AV2; Line 10</v>
      </c>
      <c r="J134" s="211">
        <f t="shared" si="5"/>
        <v>10</v>
      </c>
    </row>
    <row r="135" spans="1:10">
      <c r="A135" s="211">
        <f t="shared" si="4"/>
        <v>11</v>
      </c>
      <c r="G135" s="211"/>
      <c r="J135" s="211">
        <f t="shared" si="5"/>
        <v>11</v>
      </c>
    </row>
    <row r="136" spans="1:10">
      <c r="A136" s="211">
        <f t="shared" si="4"/>
        <v>12</v>
      </c>
      <c r="B136" s="191" t="s">
        <v>763</v>
      </c>
      <c r="G136" s="427">
        <f>IFERROR((((G130)+(G132/G133))*G134-(G131/G133))/(1-G134),0)</f>
        <v>0</v>
      </c>
      <c r="I136" s="409" t="s">
        <v>764</v>
      </c>
      <c r="J136" s="211">
        <f t="shared" si="5"/>
        <v>12</v>
      </c>
    </row>
    <row r="137" spans="1:10">
      <c r="A137" s="211">
        <f t="shared" si="4"/>
        <v>13</v>
      </c>
      <c r="B137" s="429" t="s">
        <v>746</v>
      </c>
      <c r="G137" s="754"/>
      <c r="J137" s="211">
        <f t="shared" si="5"/>
        <v>13</v>
      </c>
    </row>
    <row r="138" spans="1:10">
      <c r="A138" s="211">
        <f t="shared" si="4"/>
        <v>14</v>
      </c>
      <c r="G138" s="211"/>
      <c r="J138" s="211">
        <f t="shared" si="5"/>
        <v>14</v>
      </c>
    </row>
    <row r="139" spans="1:10">
      <c r="A139" s="211">
        <f t="shared" si="4"/>
        <v>15</v>
      </c>
      <c r="B139" s="389" t="s">
        <v>747</v>
      </c>
      <c r="G139" s="430"/>
      <c r="I139" s="431"/>
      <c r="J139" s="211">
        <f t="shared" si="5"/>
        <v>15</v>
      </c>
    </row>
    <row r="140" spans="1:10">
      <c r="A140" s="211">
        <f t="shared" si="4"/>
        <v>16</v>
      </c>
      <c r="B140" s="394"/>
      <c r="G140" s="430"/>
      <c r="I140" s="420"/>
      <c r="J140" s="211">
        <f t="shared" si="5"/>
        <v>16</v>
      </c>
    </row>
    <row r="141" spans="1:10">
      <c r="A141" s="211">
        <f t="shared" si="4"/>
        <v>17</v>
      </c>
      <c r="B141" s="349" t="s">
        <v>737</v>
      </c>
      <c r="G141" s="430"/>
      <c r="I141" s="420"/>
      <c r="J141" s="211">
        <f t="shared" si="5"/>
        <v>17</v>
      </c>
    </row>
    <row r="142" spans="1:10">
      <c r="A142" s="211">
        <f t="shared" si="4"/>
        <v>18</v>
      </c>
      <c r="B142" s="191" t="str">
        <f>B97</f>
        <v xml:space="preserve">     A = Sum of Preferred Stock and Return on Equity Component</v>
      </c>
      <c r="G142" s="414">
        <f>G130</f>
        <v>0</v>
      </c>
      <c r="I142" s="409" t="str">
        <f>"Line "&amp;A130&amp;" Above"</f>
        <v>Line 6 Above</v>
      </c>
      <c r="J142" s="211">
        <f t="shared" si="5"/>
        <v>18</v>
      </c>
    </row>
    <row r="143" spans="1:10">
      <c r="A143" s="211">
        <f t="shared" si="4"/>
        <v>19</v>
      </c>
      <c r="B143" s="191" t="str">
        <f>B98</f>
        <v xml:space="preserve">     B = Equity AFUDC Component of Transmission Depreciation Expense</v>
      </c>
      <c r="G143" s="280">
        <f>G132</f>
        <v>0</v>
      </c>
      <c r="I143" s="409" t="str">
        <f>"Line "&amp;A132&amp;" Above"</f>
        <v>Line 8 Above</v>
      </c>
      <c r="J143" s="211">
        <f t="shared" si="5"/>
        <v>19</v>
      </c>
    </row>
    <row r="144" spans="1:10">
      <c r="A144" s="211">
        <f t="shared" si="4"/>
        <v>20</v>
      </c>
      <c r="B144" s="191" t="s">
        <v>765</v>
      </c>
      <c r="G144" s="280">
        <f>G133</f>
        <v>0</v>
      </c>
      <c r="I144" s="409" t="str">
        <f>"Line "&amp;A133&amp;" Above"</f>
        <v>Line 9 Above</v>
      </c>
      <c r="J144" s="211">
        <f t="shared" si="5"/>
        <v>20</v>
      </c>
    </row>
    <row r="145" spans="1:10">
      <c r="A145" s="211">
        <f t="shared" si="4"/>
        <v>21</v>
      </c>
      <c r="B145" s="191" t="str">
        <f>B100</f>
        <v xml:space="preserve">     FT = Federal Income Tax Expense</v>
      </c>
      <c r="G145" s="435">
        <f>G136</f>
        <v>0</v>
      </c>
      <c r="I145" s="409" t="str">
        <f>"Line "&amp;A136&amp;" Above"</f>
        <v>Line 12 Above</v>
      </c>
      <c r="J145" s="211">
        <f t="shared" si="5"/>
        <v>21</v>
      </c>
    </row>
    <row r="146" spans="1:10">
      <c r="A146" s="211">
        <f t="shared" si="4"/>
        <v>22</v>
      </c>
      <c r="B146" s="191" t="str">
        <f>B101</f>
        <v xml:space="preserve">     ST = State Income Tax Rate for Rate Effective Period</v>
      </c>
      <c r="G146" s="1094">
        <f>G101</f>
        <v>8.8400000000000006E-2</v>
      </c>
      <c r="I146" s="409" t="str">
        <f>"AV2; Line "&amp;A101</f>
        <v>AV2; Line 22</v>
      </c>
      <c r="J146" s="211">
        <f t="shared" si="5"/>
        <v>22</v>
      </c>
    </row>
    <row r="147" spans="1:10">
      <c r="A147" s="211">
        <f t="shared" si="4"/>
        <v>23</v>
      </c>
      <c r="B147" s="210"/>
      <c r="G147" s="436"/>
      <c r="I147" s="433"/>
      <c r="J147" s="211">
        <f t="shared" si="5"/>
        <v>23</v>
      </c>
    </row>
    <row r="148" spans="1:10">
      <c r="A148" s="211">
        <f t="shared" si="4"/>
        <v>24</v>
      </c>
      <c r="B148" s="191" t="s">
        <v>753</v>
      </c>
      <c r="G148" s="1091">
        <f>IFERROR(((G142)+(G143/G144)+G136)*G146/(1-G146),0)</f>
        <v>0</v>
      </c>
      <c r="I148" s="409" t="s">
        <v>754</v>
      </c>
      <c r="J148" s="211">
        <f t="shared" si="5"/>
        <v>24</v>
      </c>
    </row>
    <row r="149" spans="1:10">
      <c r="A149" s="211">
        <f t="shared" si="4"/>
        <v>25</v>
      </c>
      <c r="B149" s="429" t="s">
        <v>755</v>
      </c>
      <c r="G149" s="211"/>
      <c r="I149" s="409"/>
      <c r="J149" s="211">
        <f t="shared" si="5"/>
        <v>25</v>
      </c>
    </row>
    <row r="150" spans="1:10">
      <c r="A150" s="211">
        <f t="shared" si="4"/>
        <v>26</v>
      </c>
      <c r="G150" s="211"/>
      <c r="I150" s="409"/>
      <c r="J150" s="211">
        <f t="shared" si="5"/>
        <v>26</v>
      </c>
    </row>
    <row r="151" spans="1:10">
      <c r="A151" s="211">
        <f t="shared" si="4"/>
        <v>27</v>
      </c>
      <c r="B151" s="389" t="s">
        <v>756</v>
      </c>
      <c r="G151" s="427">
        <f>G148+G136</f>
        <v>0</v>
      </c>
      <c r="I151" s="409" t="str">
        <f>"Line "&amp;A136&amp;" + Line "&amp;A148</f>
        <v>Line 12 + Line 24</v>
      </c>
      <c r="J151" s="211">
        <f t="shared" si="5"/>
        <v>27</v>
      </c>
    </row>
    <row r="152" spans="1:10">
      <c r="A152" s="211">
        <f t="shared" si="4"/>
        <v>28</v>
      </c>
      <c r="G152" s="211"/>
      <c r="I152" s="409"/>
      <c r="J152" s="211">
        <f t="shared" si="5"/>
        <v>28</v>
      </c>
    </row>
    <row r="153" spans="1:10">
      <c r="A153" s="211">
        <f t="shared" si="4"/>
        <v>29</v>
      </c>
      <c r="B153" s="389" t="s">
        <v>766</v>
      </c>
      <c r="G153" s="1095">
        <f>G63</f>
        <v>0</v>
      </c>
      <c r="I153" s="409" t="str">
        <f>"AV1; Line "&amp;A63</f>
        <v>AV1; Line 53</v>
      </c>
      <c r="J153" s="211">
        <f t="shared" si="5"/>
        <v>29</v>
      </c>
    </row>
    <row r="154" spans="1:10">
      <c r="A154" s="211">
        <f t="shared" si="4"/>
        <v>30</v>
      </c>
      <c r="G154" s="211"/>
      <c r="I154" s="409"/>
      <c r="J154" s="211">
        <f t="shared" si="5"/>
        <v>30</v>
      </c>
    </row>
    <row r="155" spans="1:10" ht="19.5" thickBot="1">
      <c r="A155" s="211">
        <f t="shared" si="4"/>
        <v>31</v>
      </c>
      <c r="B155" s="389" t="s">
        <v>767</v>
      </c>
      <c r="G155" s="1017">
        <f>G151+G153</f>
        <v>0</v>
      </c>
      <c r="I155" s="409" t="str">
        <f>"Line "&amp;A151&amp;" + Line "&amp;A153</f>
        <v>Line 27 + Line 29</v>
      </c>
      <c r="J155" s="211">
        <f t="shared" si="5"/>
        <v>31</v>
      </c>
    </row>
    <row r="156" spans="1:10" ht="16.5" thickTop="1"/>
    <row r="158" spans="1:10" ht="18.75">
      <c r="A158" s="405"/>
      <c r="B158" s="3"/>
    </row>
  </sheetData>
  <mergeCells count="15">
    <mergeCell ref="B2:I2"/>
    <mergeCell ref="B3:I3"/>
    <mergeCell ref="B4:I4"/>
    <mergeCell ref="B5:I5"/>
    <mergeCell ref="B6:I6"/>
    <mergeCell ref="B71:I71"/>
    <mergeCell ref="B72:I72"/>
    <mergeCell ref="B73:I73"/>
    <mergeCell ref="B74:I74"/>
    <mergeCell ref="B75:I75"/>
    <mergeCell ref="B116:I116"/>
    <mergeCell ref="B117:I117"/>
    <mergeCell ref="B118:I118"/>
    <mergeCell ref="B119:I119"/>
    <mergeCell ref="B120:I120"/>
  </mergeCells>
  <printOptions horizontalCentered="1"/>
  <pageMargins left="0.5" right="0.5" top="0.5" bottom="0.5" header="0.25" footer="0.25"/>
  <pageSetup scale="56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41"/>
  <sheetViews>
    <sheetView topLeftCell="A4" zoomScale="80" zoomScaleNormal="80" zoomScalePageLayoutView="80" workbookViewId="0">
      <selection activeCell="C34" sqref="C34"/>
    </sheetView>
  </sheetViews>
  <sheetFormatPr defaultColWidth="8.5703125" defaultRowHeight="15.75"/>
  <cols>
    <col min="1" max="1" width="5.140625" style="4" customWidth="1"/>
    <col min="2" max="2" width="62.42578125" style="3" customWidth="1"/>
    <col min="3" max="3" width="35.5703125" style="3" customWidth="1"/>
    <col min="4" max="4" width="5.140625" style="4" customWidth="1"/>
    <col min="5" max="16384" width="8.5703125" style="3"/>
  </cols>
  <sheetData>
    <row r="2" spans="1:4" ht="15.75" customHeight="1">
      <c r="B2" s="1327" t="s">
        <v>0</v>
      </c>
      <c r="C2" s="1327"/>
    </row>
    <row r="3" spans="1:4" ht="15.75" customHeight="1">
      <c r="B3" s="1303" t="s">
        <v>768</v>
      </c>
      <c r="C3" s="1303"/>
    </row>
    <row r="4" spans="1:4" ht="15.75" customHeight="1">
      <c r="B4" s="1327" t="str">
        <f>"For Completed Transmission Capital Projects from 2001 Through "&amp;Automation!B3</f>
        <v>For Completed Transmission Capital Projects from 2001 Through 2024</v>
      </c>
      <c r="C4" s="1327"/>
    </row>
    <row r="5" spans="1:4">
      <c r="B5" s="1303" t="str">
        <f>"Applicable to the "&amp;Automation!B3&amp;" Cycle "&amp;Automation!B2&amp;" Base Period &amp; True-Up Period"</f>
        <v>Applicable to the 2024 Cycle 8 Base Period &amp; True-Up Period</v>
      </c>
      <c r="C5" s="1303"/>
      <c r="D5" s="211"/>
    </row>
    <row r="6" spans="1:4" ht="15.75" customHeight="1">
      <c r="B6" s="1327" t="str">
        <f>" 12 Months Ending December 31, "&amp;Automation!$B$3</f>
        <v xml:space="preserve"> 12 Months Ending December 31, 2024</v>
      </c>
      <c r="C6" s="1327"/>
    </row>
    <row r="7" spans="1:4" ht="17.850000000000001" customHeight="1">
      <c r="B7" s="1326">
        <v>-1000</v>
      </c>
      <c r="C7" s="1326"/>
      <c r="D7" s="5"/>
    </row>
    <row r="8" spans="1:4" ht="17.850000000000001" customHeight="1" thickBot="1">
      <c r="B8" s="1110"/>
      <c r="C8" s="1110"/>
      <c r="D8" s="5"/>
    </row>
    <row r="9" spans="1:4" ht="17.850000000000001" customHeight="1">
      <c r="B9" s="908"/>
      <c r="C9" s="909" t="s">
        <v>769</v>
      </c>
      <c r="D9" s="5"/>
    </row>
    <row r="10" spans="1:4" ht="17.850000000000001" customHeight="1">
      <c r="A10" s="669" t="s">
        <v>4</v>
      </c>
      <c r="B10" s="473"/>
      <c r="C10" s="910" t="s">
        <v>770</v>
      </c>
      <c r="D10" s="669" t="s">
        <v>4</v>
      </c>
    </row>
    <row r="11" spans="1:4" ht="19.5" thickBot="1">
      <c r="A11" s="670" t="s">
        <v>5</v>
      </c>
      <c r="B11" s="911" t="s">
        <v>771</v>
      </c>
      <c r="C11" s="472" t="s">
        <v>772</v>
      </c>
      <c r="D11" s="671" t="s">
        <v>5</v>
      </c>
    </row>
    <row r="12" spans="1:4">
      <c r="A12" s="3"/>
      <c r="B12" s="912"/>
      <c r="C12" s="913"/>
      <c r="D12" s="3"/>
    </row>
    <row r="13" spans="1:4">
      <c r="A13" s="672">
        <v>1</v>
      </c>
      <c r="B13" s="6" t="s">
        <v>1044</v>
      </c>
      <c r="C13" s="884">
        <v>1263.87725</v>
      </c>
      <c r="D13" s="673">
        <f>A13</f>
        <v>1</v>
      </c>
    </row>
    <row r="14" spans="1:4">
      <c r="A14" s="213">
        <f>A13+1</f>
        <v>2</v>
      </c>
      <c r="B14" s="6"/>
      <c r="C14" s="914"/>
      <c r="D14" s="223">
        <f>D13+1</f>
        <v>2</v>
      </c>
    </row>
    <row r="15" spans="1:4">
      <c r="A15" s="213">
        <f t="shared" ref="A15:A31" si="0">A14+1</f>
        <v>3</v>
      </c>
      <c r="B15" s="6" t="s">
        <v>1045</v>
      </c>
      <c r="C15" s="775">
        <v>7507.3277900000003</v>
      </c>
      <c r="D15" s="223">
        <f t="shared" ref="D15:D31" si="1">D14+1</f>
        <v>3</v>
      </c>
    </row>
    <row r="16" spans="1:4">
      <c r="A16" s="213">
        <f t="shared" si="0"/>
        <v>4</v>
      </c>
      <c r="B16" s="6"/>
      <c r="C16" s="915"/>
      <c r="D16" s="223">
        <f t="shared" si="1"/>
        <v>4</v>
      </c>
    </row>
    <row r="17" spans="1:4" ht="16.5" thickBot="1">
      <c r="A17" s="213">
        <f t="shared" si="0"/>
        <v>5</v>
      </c>
      <c r="B17" s="916">
        <v>2021</v>
      </c>
      <c r="C17" s="571">
        <v>1024.76973</v>
      </c>
      <c r="D17" s="223">
        <f t="shared" si="1"/>
        <v>5</v>
      </c>
    </row>
    <row r="18" spans="1:4">
      <c r="A18" s="213">
        <f t="shared" si="0"/>
        <v>6</v>
      </c>
      <c r="B18" s="917"/>
      <c r="C18" s="918"/>
      <c r="D18" s="223">
        <f t="shared" si="1"/>
        <v>6</v>
      </c>
    </row>
    <row r="19" spans="1:4">
      <c r="A19" s="213">
        <f t="shared" si="0"/>
        <v>7</v>
      </c>
      <c r="B19" s="1282">
        <v>2022</v>
      </c>
      <c r="C19" s="1283">
        <v>1011.24193</v>
      </c>
      <c r="D19" s="223">
        <f t="shared" si="1"/>
        <v>7</v>
      </c>
    </row>
    <row r="20" spans="1:4">
      <c r="A20" s="213">
        <f t="shared" si="0"/>
        <v>8</v>
      </c>
      <c r="B20" s="1282"/>
      <c r="C20" s="1283"/>
      <c r="D20" s="223">
        <f t="shared" si="1"/>
        <v>8</v>
      </c>
    </row>
    <row r="21" spans="1:4">
      <c r="A21" s="213">
        <f t="shared" si="0"/>
        <v>9</v>
      </c>
      <c r="B21" s="1282">
        <v>2023</v>
      </c>
      <c r="C21" s="1283">
        <v>1051.7708500000001</v>
      </c>
      <c r="D21" s="223">
        <f t="shared" si="1"/>
        <v>9</v>
      </c>
    </row>
    <row r="22" spans="1:4">
      <c r="A22" s="213">
        <f t="shared" si="0"/>
        <v>10</v>
      </c>
      <c r="B22" s="1282"/>
      <c r="C22" s="1283"/>
      <c r="D22" s="223">
        <f t="shared" si="1"/>
        <v>10</v>
      </c>
    </row>
    <row r="23" spans="1:4">
      <c r="A23" s="213">
        <f t="shared" si="0"/>
        <v>11</v>
      </c>
      <c r="B23" s="1282">
        <v>2024</v>
      </c>
      <c r="C23" s="1284">
        <v>231.16991999999999</v>
      </c>
      <c r="D23" s="223">
        <f t="shared" si="1"/>
        <v>11</v>
      </c>
    </row>
    <row r="24" spans="1:4">
      <c r="A24" s="213">
        <f t="shared" si="0"/>
        <v>12</v>
      </c>
      <c r="B24" s="1285"/>
      <c r="C24" s="1096"/>
      <c r="D24" s="223">
        <f t="shared" si="1"/>
        <v>12</v>
      </c>
    </row>
    <row r="25" spans="1:4">
      <c r="A25" s="213">
        <f t="shared" si="0"/>
        <v>13</v>
      </c>
      <c r="B25" s="1285"/>
      <c r="C25" s="919"/>
      <c r="D25" s="223">
        <f t="shared" si="1"/>
        <v>13</v>
      </c>
    </row>
    <row r="26" spans="1:4">
      <c r="A26" s="213">
        <f t="shared" si="0"/>
        <v>14</v>
      </c>
      <c r="B26" s="1285" t="s">
        <v>80</v>
      </c>
      <c r="C26" s="920">
        <f>SUM(C13:C25)</f>
        <v>12090.157470000002</v>
      </c>
      <c r="D26" s="223">
        <f t="shared" si="1"/>
        <v>14</v>
      </c>
    </row>
    <row r="27" spans="1:4">
      <c r="A27" s="213">
        <f t="shared" si="0"/>
        <v>15</v>
      </c>
      <c r="B27" s="1285"/>
      <c r="C27" s="920"/>
      <c r="D27" s="223">
        <f t="shared" si="1"/>
        <v>15</v>
      </c>
    </row>
    <row r="28" spans="1:4">
      <c r="A28" s="213">
        <f t="shared" si="0"/>
        <v>16</v>
      </c>
      <c r="B28" s="1285" t="s">
        <v>773</v>
      </c>
      <c r="C28" s="1157">
        <f>-'AV-2B'!C19</f>
        <v>-197.33238</v>
      </c>
      <c r="D28" s="223">
        <f t="shared" si="1"/>
        <v>16</v>
      </c>
    </row>
    <row r="29" spans="1:4">
      <c r="A29" s="213">
        <f t="shared" si="0"/>
        <v>17</v>
      </c>
      <c r="B29" s="1285"/>
      <c r="C29" s="920"/>
      <c r="D29" s="223">
        <f t="shared" si="1"/>
        <v>17</v>
      </c>
    </row>
    <row r="30" spans="1:4" ht="48" thickBot="1">
      <c r="A30" s="213">
        <f t="shared" si="0"/>
        <v>18</v>
      </c>
      <c r="B30" s="1286" t="s">
        <v>774</v>
      </c>
      <c r="C30" s="674">
        <f>SUM(C26:C28)</f>
        <v>11892.825090000002</v>
      </c>
      <c r="D30" s="223">
        <f t="shared" si="1"/>
        <v>18</v>
      </c>
    </row>
    <row r="31" spans="1:4" ht="17.25" thickTop="1" thickBot="1">
      <c r="A31" s="213">
        <f t="shared" si="0"/>
        <v>19</v>
      </c>
      <c r="B31" s="1287"/>
      <c r="C31" s="675"/>
      <c r="D31" s="223">
        <f t="shared" si="1"/>
        <v>19</v>
      </c>
    </row>
    <row r="34" spans="1:2" ht="18.75">
      <c r="A34" s="334">
        <v>1</v>
      </c>
      <c r="B34" s="6" t="s">
        <v>1007</v>
      </c>
    </row>
    <row r="35" spans="1:2" ht="18.75">
      <c r="A35" s="334"/>
      <c r="B35" s="3" t="s">
        <v>1008</v>
      </c>
    </row>
    <row r="36" spans="1:2" ht="18.75">
      <c r="A36" s="334"/>
      <c r="B36" s="6"/>
    </row>
    <row r="37" spans="1:2">
      <c r="A37" s="3"/>
      <c r="B37" s="6"/>
    </row>
    <row r="38" spans="1:2">
      <c r="A38" s="3"/>
    </row>
    <row r="39" spans="1:2">
      <c r="A39" s="3"/>
    </row>
    <row r="41" spans="1:2" ht="18.75">
      <c r="A41" s="6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88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>
      <selection activeCell="C27" sqref="C27"/>
    </sheetView>
  </sheetViews>
  <sheetFormatPr defaultColWidth="8.5703125" defaultRowHeight="15.75"/>
  <cols>
    <col min="1" max="1" width="5.42578125" style="191" bestFit="1" customWidth="1"/>
    <col min="2" max="2" width="83.140625" style="191" bestFit="1" customWidth="1"/>
    <col min="3" max="3" width="18.5703125" style="191" customWidth="1"/>
    <col min="4" max="4" width="34.5703125" style="191" customWidth="1"/>
    <col min="5" max="5" width="5.42578125" style="211" bestFit="1" customWidth="1"/>
    <col min="6" max="16384" width="8.5703125" style="191"/>
  </cols>
  <sheetData>
    <row r="1" spans="1:7">
      <c r="A1" s="211"/>
    </row>
    <row r="2" spans="1:7">
      <c r="B2" s="1303" t="s">
        <v>0</v>
      </c>
      <c r="C2" s="1303"/>
      <c r="D2" s="1303"/>
      <c r="E2" s="471"/>
    </row>
    <row r="3" spans="1:7">
      <c r="B3" s="1303" t="str">
        <f>"TO"&amp;Automation!$B$1&amp;"-Cycle "&amp;Automation!$B$2&amp;" Annual Transmission Formula Filing"</f>
        <v>TO6-Cycle 8 Annual Transmission Formula Filing</v>
      </c>
      <c r="C3" s="1303"/>
      <c r="D3" s="1303"/>
      <c r="E3" s="471"/>
    </row>
    <row r="4" spans="1:7">
      <c r="B4" s="1303" t="s">
        <v>775</v>
      </c>
      <c r="C4" s="1303"/>
      <c r="D4" s="1303"/>
      <c r="E4" s="471"/>
    </row>
    <row r="5" spans="1:7">
      <c r="B5" s="1303" t="str">
        <f>" 12 Months Ending December 31, "&amp;Automation!$B$3</f>
        <v xml:space="preserve"> 12 Months Ending December 31, 2024</v>
      </c>
      <c r="C5" s="1303"/>
      <c r="D5" s="1303"/>
      <c r="G5" s="342"/>
    </row>
    <row r="6" spans="1:7">
      <c r="B6" s="1328">
        <v>-1000</v>
      </c>
      <c r="C6" s="1328"/>
      <c r="D6" s="1328"/>
      <c r="E6" s="323"/>
    </row>
    <row r="7" spans="1:7" ht="16.5" thickBot="1">
      <c r="A7" s="211"/>
      <c r="C7" s="211"/>
    </row>
    <row r="8" spans="1:7">
      <c r="A8" s="211" t="s">
        <v>4</v>
      </c>
      <c r="B8" s="921"/>
      <c r="C8" s="922"/>
      <c r="D8" s="923"/>
      <c r="E8" s="211" t="s">
        <v>4</v>
      </c>
    </row>
    <row r="9" spans="1:7" ht="16.5" thickBot="1">
      <c r="A9" s="211" t="s">
        <v>5</v>
      </c>
      <c r="B9" s="676" t="s">
        <v>258</v>
      </c>
      <c r="C9" s="677" t="s">
        <v>7</v>
      </c>
      <c r="D9" s="678" t="s">
        <v>8</v>
      </c>
      <c r="E9" s="211" t="s">
        <v>5</v>
      </c>
    </row>
    <row r="10" spans="1:7">
      <c r="A10" s="471"/>
      <c r="B10" s="679"/>
      <c r="C10" s="212"/>
      <c r="D10" s="924"/>
      <c r="E10" s="471"/>
    </row>
    <row r="11" spans="1:7">
      <c r="A11" s="211">
        <v>1</v>
      </c>
      <c r="B11" s="680" t="s">
        <v>776</v>
      </c>
      <c r="C11" s="796">
        <v>8358</v>
      </c>
      <c r="D11" s="221"/>
      <c r="E11" s="211">
        <f>A11</f>
        <v>1</v>
      </c>
    </row>
    <row r="12" spans="1:7">
      <c r="A12" s="211">
        <f>A11+1</f>
        <v>2</v>
      </c>
      <c r="B12" s="680"/>
      <c r="C12" s="796"/>
      <c r="D12" s="221"/>
      <c r="E12" s="211">
        <f>E11+1</f>
        <v>2</v>
      </c>
    </row>
    <row r="13" spans="1:7">
      <c r="A13" s="211">
        <f t="shared" ref="A13:A28" si="0">A12+1</f>
        <v>3</v>
      </c>
      <c r="B13" s="680" t="s">
        <v>777</v>
      </c>
      <c r="C13" s="1018">
        <v>0.70830000000000004</v>
      </c>
      <c r="D13" s="221"/>
      <c r="E13" s="211">
        <f t="shared" ref="E13:E28" si="1">E12+1</f>
        <v>3</v>
      </c>
    </row>
    <row r="14" spans="1:7">
      <c r="A14" s="211">
        <f t="shared" si="0"/>
        <v>4</v>
      </c>
      <c r="B14" s="680"/>
      <c r="C14" s="681"/>
      <c r="D14" s="221"/>
      <c r="E14" s="211">
        <f t="shared" si="1"/>
        <v>4</v>
      </c>
    </row>
    <row r="15" spans="1:7">
      <c r="A15" s="211">
        <f t="shared" si="0"/>
        <v>5</v>
      </c>
      <c r="B15" s="680" t="s">
        <v>778</v>
      </c>
      <c r="C15" s="797">
        <f>C11*C13</f>
        <v>5919.9714000000004</v>
      </c>
      <c r="D15" s="213" t="str">
        <f>"Line "&amp;A11&amp;" x Line "&amp;A13</f>
        <v>Line 1 x Line 3</v>
      </c>
      <c r="E15" s="211">
        <f t="shared" si="1"/>
        <v>5</v>
      </c>
    </row>
    <row r="16" spans="1:7">
      <c r="A16" s="211">
        <f t="shared" si="0"/>
        <v>6</v>
      </c>
      <c r="B16" s="680"/>
      <c r="C16" s="682"/>
      <c r="D16" s="213"/>
      <c r="E16" s="211">
        <f t="shared" si="1"/>
        <v>6</v>
      </c>
    </row>
    <row r="17" spans="1:7">
      <c r="A17" s="211">
        <f t="shared" si="0"/>
        <v>7</v>
      </c>
      <c r="B17" s="680" t="s">
        <v>779</v>
      </c>
      <c r="C17" s="1019">
        <f>1/30</f>
        <v>3.3333333333333333E-2</v>
      </c>
      <c r="D17" s="213" t="s">
        <v>780</v>
      </c>
      <c r="E17" s="211">
        <f t="shared" si="1"/>
        <v>7</v>
      </c>
    </row>
    <row r="18" spans="1:7">
      <c r="A18" s="211">
        <f t="shared" si="0"/>
        <v>8</v>
      </c>
      <c r="B18" s="680"/>
      <c r="C18" s="683"/>
      <c r="D18" s="213"/>
      <c r="E18" s="211">
        <f t="shared" si="1"/>
        <v>8</v>
      </c>
    </row>
    <row r="19" spans="1:7" ht="16.5" thickBot="1">
      <c r="A19" s="211">
        <f t="shared" si="0"/>
        <v>9</v>
      </c>
      <c r="B19" s="684" t="s">
        <v>781</v>
      </c>
      <c r="C19" s="247">
        <f>C15*C17</f>
        <v>197.33238</v>
      </c>
      <c r="D19" s="213" t="str">
        <f>"Line "&amp;A15&amp;" x Line "&amp;A17</f>
        <v>Line 5 x Line 7</v>
      </c>
      <c r="E19" s="211">
        <f t="shared" si="1"/>
        <v>9</v>
      </c>
    </row>
    <row r="20" spans="1:7" ht="16.5" thickTop="1">
      <c r="A20" s="211">
        <f t="shared" si="0"/>
        <v>10</v>
      </c>
      <c r="B20" s="680"/>
      <c r="C20" s="685"/>
      <c r="D20" s="221"/>
      <c r="E20" s="211">
        <f t="shared" si="1"/>
        <v>10</v>
      </c>
    </row>
    <row r="21" spans="1:7">
      <c r="A21" s="211">
        <f t="shared" si="0"/>
        <v>11</v>
      </c>
      <c r="B21" s="680" t="s">
        <v>782</v>
      </c>
      <c r="C21" s="1150">
        <v>0.27983599999999997</v>
      </c>
      <c r="D21" s="221"/>
      <c r="E21" s="211">
        <f t="shared" si="1"/>
        <v>11</v>
      </c>
      <c r="G21" s="342"/>
    </row>
    <row r="22" spans="1:7">
      <c r="A22" s="211">
        <f t="shared" si="0"/>
        <v>12</v>
      </c>
      <c r="B22" s="680"/>
      <c r="C22" s="686"/>
      <c r="D22" s="221"/>
      <c r="E22" s="211">
        <f t="shared" si="1"/>
        <v>12</v>
      </c>
    </row>
    <row r="23" spans="1:7">
      <c r="A23" s="211">
        <f t="shared" si="0"/>
        <v>13</v>
      </c>
      <c r="B23" s="680" t="s">
        <v>783</v>
      </c>
      <c r="C23" s="797">
        <f>C19*C21</f>
        <v>55.220703889679996</v>
      </c>
      <c r="D23" s="213" t="str">
        <f>"Line "&amp;A19&amp;" x Line "&amp;A21</f>
        <v>Line 9 x Line 11</v>
      </c>
      <c r="E23" s="211">
        <f t="shared" si="1"/>
        <v>13</v>
      </c>
    </row>
    <row r="24" spans="1:7">
      <c r="A24" s="211">
        <f t="shared" si="0"/>
        <v>14</v>
      </c>
      <c r="B24" s="680"/>
      <c r="C24" s="686"/>
      <c r="D24" s="221"/>
      <c r="E24" s="211">
        <f t="shared" si="1"/>
        <v>14</v>
      </c>
    </row>
    <row r="25" spans="1:7">
      <c r="A25" s="211">
        <f t="shared" si="0"/>
        <v>15</v>
      </c>
      <c r="B25" s="680" t="s">
        <v>784</v>
      </c>
      <c r="C25" s="1149">
        <v>1.3885726029071155</v>
      </c>
      <c r="D25" s="221"/>
      <c r="E25" s="211">
        <f t="shared" si="1"/>
        <v>15</v>
      </c>
      <c r="G25" s="342"/>
    </row>
    <row r="26" spans="1:7">
      <c r="A26" s="211">
        <f t="shared" si="0"/>
        <v>16</v>
      </c>
      <c r="B26" s="680"/>
      <c r="C26" s="686"/>
      <c r="D26" s="221"/>
      <c r="E26" s="211">
        <f t="shared" si="1"/>
        <v>16</v>
      </c>
    </row>
    <row r="27" spans="1:7" ht="16.5" thickBot="1">
      <c r="A27" s="211">
        <f t="shared" si="0"/>
        <v>17</v>
      </c>
      <c r="B27" s="684" t="s">
        <v>785</v>
      </c>
      <c r="C27" s="247">
        <f>C23*C25</f>
        <v>76.67795653445603</v>
      </c>
      <c r="D27" s="213" t="str">
        <f>"Line "&amp;A23&amp;" x Line "&amp;A25</f>
        <v>Line 13 x Line 15</v>
      </c>
      <c r="E27" s="211">
        <f t="shared" si="1"/>
        <v>17</v>
      </c>
    </row>
    <row r="28" spans="1:7" ht="17.25" thickTop="1" thickBot="1">
      <c r="A28" s="211">
        <f t="shared" si="0"/>
        <v>18</v>
      </c>
      <c r="B28" s="687"/>
      <c r="C28" s="662"/>
      <c r="D28" s="220"/>
      <c r="E28" s="211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>
      <selection activeCell="J36" sqref="J36"/>
    </sheetView>
  </sheetViews>
  <sheetFormatPr defaultColWidth="8.5703125" defaultRowHeight="15.75"/>
  <cols>
    <col min="1" max="1" width="5.140625" style="90" customWidth="1"/>
    <col min="2" max="2" width="83" style="13" customWidth="1"/>
    <col min="3" max="3" width="16.85546875" style="13" customWidth="1"/>
    <col min="4" max="4" width="1.5703125" style="13" customWidth="1"/>
    <col min="5" max="5" width="38.5703125" style="13" customWidth="1"/>
    <col min="6" max="6" width="5.140625" style="90" customWidth="1"/>
    <col min="7" max="16384" width="8.5703125" style="13"/>
  </cols>
  <sheetData>
    <row r="1" spans="1:8">
      <c r="A1" s="105"/>
      <c r="B1" s="62"/>
      <c r="C1" s="67"/>
      <c r="D1" s="67"/>
      <c r="E1" s="76"/>
      <c r="F1" s="105"/>
    </row>
    <row r="2" spans="1:8">
      <c r="A2" s="105"/>
      <c r="B2" s="1290" t="s">
        <v>0</v>
      </c>
      <c r="C2" s="1329"/>
      <c r="D2" s="1329"/>
      <c r="E2" s="1329"/>
      <c r="F2" s="105"/>
    </row>
    <row r="3" spans="1:8">
      <c r="A3" s="105" t="s">
        <v>183</v>
      </c>
      <c r="B3" s="1290" t="s">
        <v>786</v>
      </c>
      <c r="C3" s="1329"/>
      <c r="D3" s="1329"/>
      <c r="E3" s="1329"/>
      <c r="F3" s="105" t="s">
        <v>183</v>
      </c>
    </row>
    <row r="4" spans="1:8">
      <c r="A4" s="105"/>
      <c r="B4" s="1330" t="str">
        <f>'A. Sec.1 - Direct Maintenance'!B5</f>
        <v>Base Period &amp; True-Up Period 12 - Months Ending December 31, 2024</v>
      </c>
      <c r="C4" s="1331"/>
      <c r="D4" s="1331"/>
      <c r="E4" s="1331"/>
      <c r="F4" s="105"/>
      <c r="H4" s="700"/>
    </row>
    <row r="5" spans="1:8">
      <c r="A5" s="105"/>
      <c r="B5" s="1318" t="s">
        <v>3</v>
      </c>
      <c r="C5" s="1329"/>
      <c r="D5" s="1329"/>
      <c r="E5" s="1329"/>
      <c r="F5" s="105"/>
    </row>
    <row r="6" spans="1:8">
      <c r="A6" s="105"/>
      <c r="B6" s="1111"/>
      <c r="C6" s="62"/>
      <c r="D6" s="62"/>
      <c r="E6" s="62"/>
      <c r="F6" s="105"/>
    </row>
    <row r="7" spans="1:8">
      <c r="A7" s="105" t="s">
        <v>4</v>
      </c>
      <c r="B7" s="62"/>
      <c r="C7" s="68"/>
      <c r="D7" s="68"/>
      <c r="E7" s="76"/>
      <c r="F7" s="105" t="s">
        <v>4</v>
      </c>
    </row>
    <row r="8" spans="1:8">
      <c r="A8" s="105" t="s">
        <v>5</v>
      </c>
      <c r="B8" s="62" t="s">
        <v>183</v>
      </c>
      <c r="C8" s="1097" t="s">
        <v>7</v>
      </c>
      <c r="D8" s="68"/>
      <c r="E8" s="1098" t="s">
        <v>8</v>
      </c>
      <c r="F8" s="105" t="s">
        <v>5</v>
      </c>
    </row>
    <row r="9" spans="1:8">
      <c r="A9" s="105"/>
      <c r="B9" s="20" t="s">
        <v>787</v>
      </c>
      <c r="C9" s="71"/>
      <c r="D9" s="68"/>
      <c r="E9" s="76"/>
      <c r="F9" s="105"/>
    </row>
    <row r="10" spans="1:8">
      <c r="A10" s="105"/>
      <c r="B10" s="70"/>
      <c r="C10" s="71"/>
      <c r="D10" s="68"/>
      <c r="E10" s="76"/>
      <c r="F10" s="105"/>
    </row>
    <row r="11" spans="1:8">
      <c r="A11" s="105">
        <v>1</v>
      </c>
      <c r="B11" s="20" t="s">
        <v>788</v>
      </c>
      <c r="C11" s="71"/>
      <c r="D11" s="71"/>
      <c r="E11" s="76"/>
      <c r="F11" s="105">
        <f>A11</f>
        <v>1</v>
      </c>
    </row>
    <row r="12" spans="1:8">
      <c r="A12" s="105">
        <f>A11+1</f>
        <v>2</v>
      </c>
      <c r="B12" s="17" t="s">
        <v>789</v>
      </c>
      <c r="C12" s="543">
        <f>C75</f>
        <v>6269355.260646523</v>
      </c>
      <c r="D12" s="53"/>
      <c r="E12" s="69" t="str">
        <f>"Page 2; Line "&amp;A75</f>
        <v>Page 2; Line 16</v>
      </c>
      <c r="F12" s="105">
        <f>F11+1</f>
        <v>2</v>
      </c>
    </row>
    <row r="13" spans="1:8">
      <c r="A13" s="105">
        <f t="shared" ref="A13:A48" si="0">A12+1</f>
        <v>3</v>
      </c>
      <c r="B13" s="17" t="s">
        <v>197</v>
      </c>
      <c r="C13" s="299">
        <f>C76</f>
        <v>10465.084441768322</v>
      </c>
      <c r="D13" s="464"/>
      <c r="E13" s="69" t="str">
        <f>"Page 2; Line "&amp;A76</f>
        <v>Page 2; Line 17</v>
      </c>
      <c r="F13" s="105">
        <f t="shared" ref="F13:F48" si="1">F12+1</f>
        <v>3</v>
      </c>
    </row>
    <row r="14" spans="1:8">
      <c r="A14" s="105">
        <f t="shared" si="0"/>
        <v>4</v>
      </c>
      <c r="B14" s="17" t="s">
        <v>198</v>
      </c>
      <c r="C14" s="299">
        <f>C77</f>
        <v>39126.84913346071</v>
      </c>
      <c r="D14" s="464"/>
      <c r="E14" s="69" t="str">
        <f>"Page 2; Line "&amp;A77</f>
        <v>Page 2; Line 18</v>
      </c>
      <c r="F14" s="105">
        <f t="shared" si="1"/>
        <v>4</v>
      </c>
    </row>
    <row r="15" spans="1:8">
      <c r="A15" s="105">
        <f t="shared" si="0"/>
        <v>5</v>
      </c>
      <c r="B15" s="17" t="s">
        <v>790</v>
      </c>
      <c r="C15" s="1099">
        <f>C78</f>
        <v>119045.48118356634</v>
      </c>
      <c r="D15" s="464"/>
      <c r="E15" s="69" t="str">
        <f>"Page 2; Line "&amp;A78</f>
        <v>Page 2; Line 19</v>
      </c>
      <c r="F15" s="105">
        <f t="shared" si="1"/>
        <v>5</v>
      </c>
    </row>
    <row r="16" spans="1:8">
      <c r="A16" s="105">
        <f t="shared" si="0"/>
        <v>6</v>
      </c>
      <c r="B16" s="17" t="s">
        <v>791</v>
      </c>
      <c r="C16" s="1137">
        <f>SUM(C12:C15)</f>
        <v>6437992.6754053179</v>
      </c>
      <c r="D16" s="75"/>
      <c r="E16" s="69" t="str">
        <f>"Sum Lines "&amp;A12&amp;" thru "&amp;A15</f>
        <v>Sum Lines 2 thru 5</v>
      </c>
      <c r="F16" s="105">
        <f t="shared" si="1"/>
        <v>6</v>
      </c>
    </row>
    <row r="17" spans="1:6">
      <c r="A17" s="105">
        <f t="shared" si="0"/>
        <v>7</v>
      </c>
      <c r="B17" s="16"/>
      <c r="C17" s="553"/>
      <c r="D17" s="72"/>
      <c r="E17" s="76"/>
      <c r="F17" s="105">
        <f t="shared" si="1"/>
        <v>7</v>
      </c>
    </row>
    <row r="18" spans="1:6">
      <c r="A18" s="105">
        <f t="shared" si="0"/>
        <v>8</v>
      </c>
      <c r="B18" s="20" t="s">
        <v>792</v>
      </c>
      <c r="C18" s="553"/>
      <c r="D18" s="72"/>
      <c r="E18" s="76"/>
      <c r="F18" s="105">
        <f t="shared" si="1"/>
        <v>8</v>
      </c>
    </row>
    <row r="19" spans="1:6">
      <c r="A19" s="105">
        <f t="shared" si="0"/>
        <v>9</v>
      </c>
      <c r="B19" s="17" t="s">
        <v>793</v>
      </c>
      <c r="C19" s="554">
        <f>'Stmt AG'!E11</f>
        <v>0</v>
      </c>
      <c r="D19" s="68"/>
      <c r="E19" s="69" t="str">
        <f>"Statement AG; Line "&amp;'Stmt AG'!A11</f>
        <v>Statement AG; Line 1</v>
      </c>
      <c r="F19" s="105">
        <f t="shared" si="1"/>
        <v>9</v>
      </c>
    </row>
    <row r="20" spans="1:6">
      <c r="A20" s="105">
        <f t="shared" si="0"/>
        <v>10</v>
      </c>
      <c r="B20" s="17" t="s">
        <v>794</v>
      </c>
      <c r="C20" s="730">
        <f>'Stmt Misc.'!E12</f>
        <v>0</v>
      </c>
      <c r="D20" s="68"/>
      <c r="E20" s="69" t="str">
        <f>"Statement Misc.; Line "&amp;'Stmt Misc.'!A12</f>
        <v>Statement Misc.; Line 3</v>
      </c>
      <c r="F20" s="105">
        <f t="shared" si="1"/>
        <v>10</v>
      </c>
    </row>
    <row r="21" spans="1:6">
      <c r="A21" s="105">
        <f t="shared" si="0"/>
        <v>11</v>
      </c>
      <c r="B21" s="17" t="s">
        <v>795</v>
      </c>
      <c r="C21" s="1138">
        <f>C19+C20</f>
        <v>0</v>
      </c>
      <c r="D21" s="474"/>
      <c r="E21" s="69" t="str">
        <f>"Line "&amp;A19&amp;" + Line "&amp;A20</f>
        <v>Line 9 + Line 10</v>
      </c>
      <c r="F21" s="105">
        <f t="shared" si="1"/>
        <v>11</v>
      </c>
    </row>
    <row r="22" spans="1:6">
      <c r="A22" s="105">
        <f t="shared" si="0"/>
        <v>12</v>
      </c>
      <c r="B22" s="17"/>
      <c r="C22" s="555"/>
      <c r="D22" s="67"/>
      <c r="E22" s="76"/>
      <c r="F22" s="105">
        <f t="shared" si="1"/>
        <v>12</v>
      </c>
    </row>
    <row r="23" spans="1:6">
      <c r="A23" s="105">
        <f t="shared" si="0"/>
        <v>13</v>
      </c>
      <c r="B23" s="20" t="s">
        <v>796</v>
      </c>
      <c r="C23" s="553"/>
      <c r="D23" s="72"/>
      <c r="E23" s="76"/>
      <c r="F23" s="105">
        <f t="shared" si="1"/>
        <v>13</v>
      </c>
    </row>
    <row r="24" spans="1:6">
      <c r="A24" s="105">
        <f t="shared" si="0"/>
        <v>14</v>
      </c>
      <c r="B24" s="16" t="s">
        <v>797</v>
      </c>
      <c r="C24" s="556">
        <f>'Stmt AF'!I17</f>
        <v>-1153745.6802277174</v>
      </c>
      <c r="D24" s="68"/>
      <c r="E24" s="69" t="str">
        <f>"Statement AF; Line "&amp;'Stmt AF'!A17</f>
        <v>Statement AF; Line 7</v>
      </c>
      <c r="F24" s="105">
        <f t="shared" si="1"/>
        <v>14</v>
      </c>
    </row>
    <row r="25" spans="1:6">
      <c r="A25" s="105">
        <f t="shared" si="0"/>
        <v>15</v>
      </c>
      <c r="B25" s="16" t="s">
        <v>798</v>
      </c>
      <c r="C25" s="557">
        <f>'Stmt AF'!I21</f>
        <v>0</v>
      </c>
      <c r="D25" s="68"/>
      <c r="E25" s="69" t="str">
        <f>"Statement AF; Line "&amp;'Stmt AF'!A21</f>
        <v>Statement AF; Line 11</v>
      </c>
      <c r="F25" s="105">
        <f t="shared" si="1"/>
        <v>15</v>
      </c>
    </row>
    <row r="26" spans="1:6">
      <c r="A26" s="105">
        <f t="shared" si="0"/>
        <v>16</v>
      </c>
      <c r="B26" s="17" t="s">
        <v>799</v>
      </c>
      <c r="C26" s="1137">
        <f>SUM(C24:C25)</f>
        <v>-1153745.6802277174</v>
      </c>
      <c r="D26" s="75"/>
      <c r="E26" s="69" t="str">
        <f>"Line "&amp;A24&amp;" + Line "&amp;A25</f>
        <v>Line 14 + Line 15</v>
      </c>
      <c r="F26" s="105">
        <f t="shared" si="1"/>
        <v>16</v>
      </c>
    </row>
    <row r="27" spans="1:6">
      <c r="A27" s="105">
        <f t="shared" si="0"/>
        <v>17</v>
      </c>
      <c r="B27" s="62"/>
      <c r="C27" s="558"/>
      <c r="D27" s="73"/>
      <c r="E27" s="76"/>
      <c r="F27" s="105">
        <f t="shared" si="1"/>
        <v>17</v>
      </c>
    </row>
    <row r="28" spans="1:6">
      <c r="A28" s="105">
        <f t="shared" si="0"/>
        <v>18</v>
      </c>
      <c r="B28" s="20" t="s">
        <v>800</v>
      </c>
      <c r="C28" s="558"/>
      <c r="D28" s="73"/>
      <c r="E28" s="76"/>
      <c r="F28" s="105">
        <f t="shared" si="1"/>
        <v>18</v>
      </c>
    </row>
    <row r="29" spans="1:6">
      <c r="A29" s="105">
        <f t="shared" si="0"/>
        <v>19</v>
      </c>
      <c r="B29" s="17" t="s">
        <v>801</v>
      </c>
      <c r="C29" s="543">
        <f>'Stmt AL'!G15</f>
        <v>57049.318921595936</v>
      </c>
      <c r="D29" s="68"/>
      <c r="E29" s="69" t="str">
        <f>"Statement AL; Line "&amp;'Stmt AL'!A15</f>
        <v>Statement AL; Line 5</v>
      </c>
      <c r="F29" s="105">
        <f t="shared" si="1"/>
        <v>19</v>
      </c>
    </row>
    <row r="30" spans="1:6">
      <c r="A30" s="105">
        <f t="shared" si="0"/>
        <v>20</v>
      </c>
      <c r="B30" s="17" t="s">
        <v>802</v>
      </c>
      <c r="C30" s="299">
        <f>'Stmt AL'!G19</f>
        <v>34384.609098785462</v>
      </c>
      <c r="D30" s="68"/>
      <c r="E30" s="69" t="str">
        <f>"Statement AL; Line "&amp;'Stmt AL'!A19</f>
        <v>Statement AL; Line 9</v>
      </c>
      <c r="F30" s="105">
        <f t="shared" si="1"/>
        <v>20</v>
      </c>
    </row>
    <row r="31" spans="1:6">
      <c r="A31" s="105">
        <f t="shared" si="0"/>
        <v>21</v>
      </c>
      <c r="B31" s="17" t="s">
        <v>803</v>
      </c>
      <c r="C31" s="1099">
        <f>'Stmt AL'!E29</f>
        <v>14543.699082326495</v>
      </c>
      <c r="D31" s="68"/>
      <c r="E31" s="69" t="str">
        <f>"Statement AL; Line "&amp;'Stmt AL'!A29</f>
        <v>Statement AL; Line 19</v>
      </c>
      <c r="F31" s="105">
        <f t="shared" si="1"/>
        <v>21</v>
      </c>
    </row>
    <row r="32" spans="1:6">
      <c r="A32" s="105">
        <f t="shared" si="0"/>
        <v>22</v>
      </c>
      <c r="B32" s="17" t="s">
        <v>804</v>
      </c>
      <c r="C32" s="1137">
        <f>SUM(C29:C31)</f>
        <v>105977.62710270789</v>
      </c>
      <c r="D32" s="75"/>
      <c r="E32" s="69" t="str">
        <f>"Sum Lines "&amp;A29&amp;" thru "&amp;A31</f>
        <v>Sum Lines 19 thru 21</v>
      </c>
      <c r="F32" s="105">
        <f t="shared" si="1"/>
        <v>22</v>
      </c>
    </row>
    <row r="33" spans="1:6">
      <c r="A33" s="105">
        <f t="shared" si="0"/>
        <v>23</v>
      </c>
      <c r="B33" s="57"/>
      <c r="C33" s="559"/>
      <c r="D33" s="74"/>
      <c r="E33" s="76"/>
      <c r="F33" s="105">
        <f t="shared" si="1"/>
        <v>23</v>
      </c>
    </row>
    <row r="34" spans="1:6">
      <c r="A34" s="105">
        <f t="shared" si="0"/>
        <v>24</v>
      </c>
      <c r="B34" s="17" t="s">
        <v>805</v>
      </c>
      <c r="C34" s="1100">
        <f>'Stmt Misc.'!E14</f>
        <v>0</v>
      </c>
      <c r="D34" s="68"/>
      <c r="E34" s="69" t="str">
        <f>"Statement Misc.; Line "&amp;'Stmt Misc.'!A14</f>
        <v>Statement Misc.; Line 5</v>
      </c>
      <c r="F34" s="105">
        <f t="shared" si="1"/>
        <v>24</v>
      </c>
    </row>
    <row r="35" spans="1:6">
      <c r="A35" s="105">
        <f t="shared" si="0"/>
        <v>25</v>
      </c>
      <c r="B35" s="17"/>
      <c r="C35" s="559"/>
      <c r="D35" s="74"/>
      <c r="E35" s="76"/>
      <c r="F35" s="105">
        <f t="shared" si="1"/>
        <v>25</v>
      </c>
    </row>
    <row r="36" spans="1:6" ht="16.5" thickBot="1">
      <c r="A36" s="105">
        <f t="shared" si="0"/>
        <v>26</v>
      </c>
      <c r="B36" s="17" t="s">
        <v>806</v>
      </c>
      <c r="C36" s="1020">
        <f>C16+C21+C26+C32+C34</f>
        <v>5390224.622280308</v>
      </c>
      <c r="D36" s="75"/>
      <c r="E36" s="69" t="str">
        <f>"Sum Lines "&amp;A16&amp;", "&amp;A21&amp;", "&amp;A26&amp;", "&amp;A32&amp;", "&amp;A34</f>
        <v>Sum Lines 6, 11, 16, 22, 24</v>
      </c>
      <c r="F36" s="105">
        <f t="shared" si="1"/>
        <v>26</v>
      </c>
    </row>
    <row r="37" spans="1:6" ht="16.5" thickTop="1">
      <c r="A37" s="105">
        <f t="shared" si="0"/>
        <v>27</v>
      </c>
      <c r="B37" s="57"/>
      <c r="C37" s="560"/>
      <c r="D37" s="75"/>
      <c r="E37" s="76"/>
      <c r="F37" s="105">
        <f t="shared" si="1"/>
        <v>27</v>
      </c>
    </row>
    <row r="38" spans="1:6">
      <c r="A38" s="105">
        <f t="shared" si="0"/>
        <v>28</v>
      </c>
      <c r="B38" s="20" t="s">
        <v>807</v>
      </c>
      <c r="C38" s="560"/>
      <c r="D38" s="75"/>
      <c r="E38" s="76"/>
      <c r="F38" s="105">
        <f t="shared" si="1"/>
        <v>28</v>
      </c>
    </row>
    <row r="39" spans="1:6">
      <c r="A39" s="105">
        <f t="shared" si="0"/>
        <v>29</v>
      </c>
      <c r="B39" s="17" t="s">
        <v>808</v>
      </c>
      <c r="C39" s="751">
        <v>0</v>
      </c>
      <c r="D39" s="750"/>
      <c r="E39" s="69" t="s">
        <v>303</v>
      </c>
      <c r="F39" s="105">
        <f t="shared" si="1"/>
        <v>29</v>
      </c>
    </row>
    <row r="40" spans="1:6">
      <c r="A40" s="105">
        <f t="shared" si="0"/>
        <v>30</v>
      </c>
      <c r="B40" s="17" t="s">
        <v>809</v>
      </c>
      <c r="C40" s="767">
        <v>0</v>
      </c>
      <c r="D40" s="68"/>
      <c r="E40" s="69" t="s">
        <v>303</v>
      </c>
      <c r="F40" s="105">
        <f t="shared" si="1"/>
        <v>30</v>
      </c>
    </row>
    <row r="41" spans="1:6">
      <c r="A41" s="105">
        <f t="shared" si="0"/>
        <v>31</v>
      </c>
      <c r="B41" s="16" t="s">
        <v>810</v>
      </c>
      <c r="C41" s="1139">
        <f>C39+C40</f>
        <v>0</v>
      </c>
      <c r="D41" s="75"/>
      <c r="E41" s="69" t="str">
        <f>"Line "&amp;A39&amp;" + Line "&amp;A40</f>
        <v>Line 29 + Line 30</v>
      </c>
      <c r="F41" s="105">
        <f t="shared" si="1"/>
        <v>31</v>
      </c>
    </row>
    <row r="42" spans="1:6">
      <c r="A42" s="105">
        <f t="shared" si="0"/>
        <v>32</v>
      </c>
      <c r="B42" s="57"/>
      <c r="C42" s="560"/>
      <c r="D42" s="75"/>
      <c r="E42" s="76"/>
      <c r="F42" s="105">
        <f t="shared" si="1"/>
        <v>32</v>
      </c>
    </row>
    <row r="43" spans="1:6">
      <c r="A43" s="105">
        <f t="shared" si="0"/>
        <v>33</v>
      </c>
      <c r="B43" s="20" t="s">
        <v>811</v>
      </c>
      <c r="C43" s="560"/>
      <c r="D43" s="75"/>
      <c r="E43" s="76"/>
      <c r="F43" s="105">
        <f t="shared" si="1"/>
        <v>33</v>
      </c>
    </row>
    <row r="44" spans="1:6">
      <c r="A44" s="105">
        <f t="shared" si="0"/>
        <v>34</v>
      </c>
      <c r="B44" s="17" t="s">
        <v>812</v>
      </c>
      <c r="C44" s="751">
        <v>0</v>
      </c>
      <c r="D44" s="68"/>
      <c r="E44" s="69" t="s">
        <v>303</v>
      </c>
      <c r="F44" s="105">
        <f t="shared" si="1"/>
        <v>34</v>
      </c>
    </row>
    <row r="45" spans="1:6">
      <c r="A45" s="105">
        <f t="shared" si="0"/>
        <v>35</v>
      </c>
      <c r="B45" s="16" t="s">
        <v>813</v>
      </c>
      <c r="C45" s="1101">
        <v>0</v>
      </c>
      <c r="D45" s="68"/>
      <c r="E45" s="69" t="s">
        <v>303</v>
      </c>
      <c r="F45" s="105">
        <f t="shared" si="1"/>
        <v>35</v>
      </c>
    </row>
    <row r="46" spans="1:6">
      <c r="A46" s="105">
        <f t="shared" si="0"/>
        <v>36</v>
      </c>
      <c r="B46" s="16" t="s">
        <v>814</v>
      </c>
      <c r="C46" s="1139">
        <f>C44+C45</f>
        <v>0</v>
      </c>
      <c r="D46" s="75"/>
      <c r="E46" s="69" t="str">
        <f>"Line "&amp;A44&amp;" + Line "&amp;A45</f>
        <v>Line 34 + Line 35</v>
      </c>
      <c r="F46" s="105">
        <f t="shared" si="1"/>
        <v>36</v>
      </c>
    </row>
    <row r="47" spans="1:6">
      <c r="A47" s="105">
        <f t="shared" si="0"/>
        <v>37</v>
      </c>
      <c r="B47" s="57"/>
      <c r="C47" s="560"/>
      <c r="D47" s="75"/>
      <c r="E47" s="76"/>
      <c r="F47" s="105">
        <f t="shared" si="1"/>
        <v>37</v>
      </c>
    </row>
    <row r="48" spans="1:6" ht="16.5" thickBot="1">
      <c r="A48" s="105">
        <f t="shared" si="0"/>
        <v>38</v>
      </c>
      <c r="B48" s="20" t="s">
        <v>815</v>
      </c>
      <c r="C48" s="1021">
        <v>0</v>
      </c>
      <c r="D48" s="68"/>
      <c r="E48" s="69" t="s">
        <v>303</v>
      </c>
      <c r="F48" s="105">
        <f t="shared" si="1"/>
        <v>38</v>
      </c>
    </row>
    <row r="49" spans="1:8" ht="16.5" thickTop="1">
      <c r="A49" s="105"/>
      <c r="B49" s="57"/>
      <c r="C49" s="560"/>
      <c r="D49" s="75"/>
      <c r="E49" s="76"/>
      <c r="F49" s="105"/>
    </row>
    <row r="50" spans="1:8">
      <c r="A50" s="105"/>
      <c r="B50" s="76"/>
      <c r="C50" s="62"/>
      <c r="D50" s="62"/>
      <c r="E50" s="62"/>
      <c r="F50" s="105"/>
    </row>
    <row r="51" spans="1:8">
      <c r="A51" s="105"/>
      <c r="B51" s="1290" t="str">
        <f>B2</f>
        <v>SAN DIEGO GAS &amp; ELECTRIC COMPANY</v>
      </c>
      <c r="C51" s="1329"/>
      <c r="D51" s="1329"/>
      <c r="E51" s="1329"/>
      <c r="F51" s="105"/>
    </row>
    <row r="52" spans="1:8">
      <c r="A52" s="105"/>
      <c r="B52" s="1290" t="str">
        <f>B3</f>
        <v xml:space="preserve">Derivation of End Use Transmission Rate Base </v>
      </c>
      <c r="C52" s="1329"/>
      <c r="D52" s="1329"/>
      <c r="E52" s="1329"/>
      <c r="F52" s="105"/>
    </row>
    <row r="53" spans="1:8">
      <c r="A53" s="105"/>
      <c r="B53" s="1330" t="str">
        <f>B4</f>
        <v>Base Period &amp; True-Up Period 12 - Months Ending December 31, 2024</v>
      </c>
      <c r="C53" s="1331"/>
      <c r="D53" s="1331"/>
      <c r="E53" s="1331"/>
      <c r="F53" s="105"/>
    </row>
    <row r="54" spans="1:8">
      <c r="A54" s="105"/>
      <c r="B54" s="1318" t="s">
        <v>3</v>
      </c>
      <c r="C54" s="1329"/>
      <c r="D54" s="1329"/>
      <c r="E54" s="1329"/>
      <c r="F54" s="105"/>
    </row>
    <row r="55" spans="1:8">
      <c r="A55" s="105"/>
      <c r="B55" s="1111"/>
      <c r="C55" s="62"/>
      <c r="D55" s="62"/>
      <c r="E55" s="62"/>
      <c r="F55" s="105"/>
    </row>
    <row r="56" spans="1:8">
      <c r="A56" s="105" t="s">
        <v>4</v>
      </c>
      <c r="B56" s="1111"/>
      <c r="C56" s="62"/>
      <c r="D56" s="62"/>
      <c r="E56" s="62"/>
      <c r="F56" s="105"/>
    </row>
    <row r="57" spans="1:8">
      <c r="A57" s="105" t="s">
        <v>5</v>
      </c>
      <c r="B57" s="1111"/>
      <c r="C57" s="62"/>
      <c r="D57" s="62"/>
      <c r="E57" s="62"/>
      <c r="F57" s="105"/>
    </row>
    <row r="58" spans="1:8">
      <c r="A58" s="105"/>
      <c r="B58" s="20" t="s">
        <v>816</v>
      </c>
      <c r="C58" s="62"/>
      <c r="D58" s="62"/>
      <c r="E58" s="62"/>
      <c r="F58" s="105"/>
    </row>
    <row r="59" spans="1:8">
      <c r="A59" s="105"/>
      <c r="B59" s="70"/>
      <c r="C59" s="68"/>
      <c r="D59" s="68"/>
      <c r="E59" s="76"/>
      <c r="F59" s="105"/>
    </row>
    <row r="60" spans="1:8">
      <c r="A60" s="105">
        <v>1</v>
      </c>
      <c r="B60" s="20" t="s">
        <v>817</v>
      </c>
      <c r="C60" s="68"/>
      <c r="D60" s="68"/>
      <c r="E60" s="76"/>
      <c r="F60" s="105">
        <f t="shared" ref="F60:F84" si="2">A60</f>
        <v>1</v>
      </c>
    </row>
    <row r="61" spans="1:8">
      <c r="A61" s="105">
        <v>2</v>
      </c>
      <c r="B61" s="17" t="s">
        <v>789</v>
      </c>
      <c r="C61" s="561">
        <f>'Stmt AD'!I21</f>
        <v>8436617.1055796891</v>
      </c>
      <c r="D61" s="68"/>
      <c r="E61" s="69" t="str">
        <f>"Statement AD; Line "&amp;'Stmt AD'!A21</f>
        <v>Statement AD; Line 11</v>
      </c>
      <c r="F61" s="105">
        <f t="shared" si="2"/>
        <v>2</v>
      </c>
      <c r="G61" s="91"/>
      <c r="H61" s="92"/>
    </row>
    <row r="62" spans="1:8">
      <c r="A62" s="105">
        <v>3</v>
      </c>
      <c r="B62" s="17" t="s">
        <v>818</v>
      </c>
      <c r="C62" s="562">
        <f>'Stmt AD'!I37</f>
        <v>20113.834266235088</v>
      </c>
      <c r="D62" s="68"/>
      <c r="E62" s="69" t="str">
        <f>"Statement AD; Line "&amp;'Stmt AD'!A37</f>
        <v>Statement AD; Line 27</v>
      </c>
      <c r="F62" s="105">
        <f t="shared" si="2"/>
        <v>3</v>
      </c>
      <c r="G62" s="91"/>
      <c r="H62" s="92"/>
    </row>
    <row r="63" spans="1:8">
      <c r="A63" s="105">
        <v>4</v>
      </c>
      <c r="B63" s="17" t="s">
        <v>198</v>
      </c>
      <c r="C63" s="562">
        <f>'Stmt AD'!I39</f>
        <v>70461.848749219716</v>
      </c>
      <c r="D63" s="68"/>
      <c r="E63" s="69" t="str">
        <f>"Statement AD; Line "&amp;'Stmt AD'!A39</f>
        <v>Statement AD; Line 29</v>
      </c>
      <c r="F63" s="105">
        <f t="shared" si="2"/>
        <v>4</v>
      </c>
      <c r="G63" s="91"/>
      <c r="H63" s="93"/>
    </row>
    <row r="64" spans="1:8">
      <c r="A64" s="105">
        <v>5</v>
      </c>
      <c r="B64" s="17" t="s">
        <v>790</v>
      </c>
      <c r="C64" s="1102">
        <f>'Stmt AD'!I41</f>
        <v>209834.39963011243</v>
      </c>
      <c r="D64" s="68"/>
      <c r="E64" s="69" t="str">
        <f>"Statement AD; Line "&amp;'Stmt AD'!A41</f>
        <v>Statement AD; Line 31</v>
      </c>
      <c r="F64" s="105">
        <f t="shared" si="2"/>
        <v>5</v>
      </c>
      <c r="G64" s="92"/>
      <c r="H64" s="92"/>
    </row>
    <row r="65" spans="1:8">
      <c r="A65" s="105">
        <v>6</v>
      </c>
      <c r="B65" s="17" t="s">
        <v>819</v>
      </c>
      <c r="C65" s="1137">
        <f>SUM(C61:C64)</f>
        <v>8737027.1882252563</v>
      </c>
      <c r="D65" s="75"/>
      <c r="E65" s="69" t="str">
        <f>"Sum Lines "&amp;A61&amp;" thru "&amp;A64</f>
        <v>Sum Lines 2 thru 5</v>
      </c>
      <c r="F65" s="105">
        <f t="shared" si="2"/>
        <v>6</v>
      </c>
      <c r="G65" s="91"/>
      <c r="H65" s="92"/>
    </row>
    <row r="66" spans="1:8">
      <c r="A66" s="105">
        <v>7</v>
      </c>
      <c r="B66" s="16"/>
      <c r="C66" s="563"/>
      <c r="D66" s="68"/>
      <c r="E66" s="76"/>
      <c r="F66" s="105">
        <f t="shared" si="2"/>
        <v>7</v>
      </c>
      <c r="G66" s="92"/>
      <c r="H66" s="92"/>
    </row>
    <row r="67" spans="1:8">
      <c r="A67" s="105">
        <v>8</v>
      </c>
      <c r="B67" s="19" t="s">
        <v>820</v>
      </c>
      <c r="C67" s="563"/>
      <c r="D67" s="68"/>
      <c r="E67" s="76"/>
      <c r="F67" s="105">
        <f t="shared" si="2"/>
        <v>8</v>
      </c>
      <c r="G67" s="92"/>
      <c r="H67" s="92"/>
    </row>
    <row r="68" spans="1:8">
      <c r="A68" s="105">
        <v>9</v>
      </c>
      <c r="B68" s="16" t="s">
        <v>821</v>
      </c>
      <c r="C68" s="561">
        <f>'Stmt AE'!I11</f>
        <v>2167261.8449331662</v>
      </c>
      <c r="D68" s="68"/>
      <c r="E68" s="69" t="str">
        <f>"Statement AE; Line "&amp;'Stmt AE'!A11</f>
        <v>Statement AE; Line 1</v>
      </c>
      <c r="F68" s="105">
        <f t="shared" si="2"/>
        <v>9</v>
      </c>
      <c r="G68" s="92"/>
      <c r="H68" s="92"/>
    </row>
    <row r="69" spans="1:8">
      <c r="A69" s="105">
        <v>10</v>
      </c>
      <c r="B69" s="16" t="s">
        <v>298</v>
      </c>
      <c r="C69" s="562">
        <f>'Stmt AE'!I21</f>
        <v>9648.7498244667659</v>
      </c>
      <c r="D69" s="68"/>
      <c r="E69" s="69" t="str">
        <f>"Statement AE; Line "&amp;'Stmt AE'!A21</f>
        <v>Statement AE; Line 11</v>
      </c>
      <c r="F69" s="105">
        <f t="shared" si="2"/>
        <v>10</v>
      </c>
      <c r="G69" s="92"/>
      <c r="H69" s="92"/>
    </row>
    <row r="70" spans="1:8">
      <c r="A70" s="105">
        <v>11</v>
      </c>
      <c r="B70" s="16" t="s">
        <v>822</v>
      </c>
      <c r="C70" s="562">
        <f>'Stmt AE'!I23</f>
        <v>31334.999615759007</v>
      </c>
      <c r="D70" s="68"/>
      <c r="E70" s="69" t="str">
        <f>"Statement AE; Line "&amp;'Stmt AE'!A23</f>
        <v>Statement AE; Line 13</v>
      </c>
      <c r="F70" s="105">
        <f t="shared" si="2"/>
        <v>11</v>
      </c>
      <c r="G70" s="92"/>
      <c r="H70" s="92"/>
    </row>
    <row r="71" spans="1:8">
      <c r="A71" s="105">
        <v>12</v>
      </c>
      <c r="B71" s="16" t="s">
        <v>823</v>
      </c>
      <c r="C71" s="1102">
        <f>'Stmt AE'!I25</f>
        <v>90788.918446546086</v>
      </c>
      <c r="D71" s="68"/>
      <c r="E71" s="69" t="str">
        <f>"Statement AE; Line "&amp;'Stmt AE'!A25</f>
        <v>Statement AE; Line 15</v>
      </c>
      <c r="F71" s="105">
        <f t="shared" si="2"/>
        <v>12</v>
      </c>
      <c r="G71" s="92"/>
      <c r="H71" s="92"/>
    </row>
    <row r="72" spans="1:8">
      <c r="A72" s="105">
        <v>13</v>
      </c>
      <c r="B72" s="476" t="s">
        <v>301</v>
      </c>
      <c r="C72" s="1137">
        <f>SUM(C68:C71)</f>
        <v>2299034.5128199379</v>
      </c>
      <c r="D72" s="75"/>
      <c r="E72" s="69" t="str">
        <f>"Sum Lines "&amp;A68&amp;" thru "&amp;A71</f>
        <v>Sum Lines 9 thru 12</v>
      </c>
      <c r="F72" s="105">
        <f t="shared" si="2"/>
        <v>13</v>
      </c>
      <c r="G72" s="92"/>
      <c r="H72" s="92"/>
    </row>
    <row r="73" spans="1:8">
      <c r="A73" s="105">
        <v>14</v>
      </c>
      <c r="B73" s="476"/>
      <c r="C73" s="558"/>
      <c r="D73" s="73"/>
      <c r="E73" s="76"/>
      <c r="F73" s="105">
        <f t="shared" si="2"/>
        <v>14</v>
      </c>
      <c r="G73" s="92"/>
      <c r="H73" s="92"/>
    </row>
    <row r="74" spans="1:8">
      <c r="A74" s="105">
        <v>15</v>
      </c>
      <c r="B74" s="20" t="s">
        <v>788</v>
      </c>
      <c r="C74" s="558"/>
      <c r="D74" s="73"/>
      <c r="E74" s="76"/>
      <c r="F74" s="105">
        <f t="shared" si="2"/>
        <v>15</v>
      </c>
      <c r="G74" s="92"/>
      <c r="H74" s="92"/>
    </row>
    <row r="75" spans="1:8">
      <c r="A75" s="105">
        <v>16</v>
      </c>
      <c r="B75" s="17" t="s">
        <v>789</v>
      </c>
      <c r="C75" s="564">
        <f>C61-C68</f>
        <v>6269355.260646523</v>
      </c>
      <c r="D75" s="77"/>
      <c r="E75" s="69" t="str">
        <f>"Line "&amp;A61&amp;" Minus Line "&amp;A68</f>
        <v>Line 2 Minus Line 9</v>
      </c>
      <c r="F75" s="105">
        <f t="shared" si="2"/>
        <v>16</v>
      </c>
      <c r="G75" s="92"/>
      <c r="H75" s="92"/>
    </row>
    <row r="76" spans="1:8">
      <c r="A76" s="105">
        <v>17</v>
      </c>
      <c r="B76" s="17" t="s">
        <v>197</v>
      </c>
      <c r="C76" s="565">
        <f>C62-C69</f>
        <v>10465.084441768322</v>
      </c>
      <c r="D76" s="78"/>
      <c r="E76" s="69" t="str">
        <f>"Line "&amp;A62&amp;" Minus Line "&amp;A69</f>
        <v>Line 3 Minus Line 10</v>
      </c>
      <c r="F76" s="105">
        <f t="shared" si="2"/>
        <v>17</v>
      </c>
      <c r="G76" s="92"/>
      <c r="H76" s="92"/>
    </row>
    <row r="77" spans="1:8">
      <c r="A77" s="105">
        <v>18</v>
      </c>
      <c r="B77" s="17" t="s">
        <v>198</v>
      </c>
      <c r="C77" s="565">
        <f>C63-C70</f>
        <v>39126.84913346071</v>
      </c>
      <c r="D77" s="78"/>
      <c r="E77" s="69" t="str">
        <f>"Line "&amp;A63&amp;" Minus Line "&amp;A70</f>
        <v>Line 4 Minus Line 11</v>
      </c>
      <c r="F77" s="105">
        <f t="shared" si="2"/>
        <v>18</v>
      </c>
    </row>
    <row r="78" spans="1:8">
      <c r="A78" s="105">
        <v>19</v>
      </c>
      <c r="B78" s="17" t="s">
        <v>790</v>
      </c>
      <c r="C78" s="1103">
        <f>C64-C71</f>
        <v>119045.48118356634</v>
      </c>
      <c r="D78" s="475"/>
      <c r="E78" s="69" t="str">
        <f>"Line "&amp;A64&amp;" Minus Line "&amp;A71</f>
        <v>Line 5 Minus Line 12</v>
      </c>
      <c r="F78" s="105">
        <f t="shared" si="2"/>
        <v>19</v>
      </c>
    </row>
    <row r="79" spans="1:8" ht="16.5" thickBot="1">
      <c r="A79" s="105">
        <v>20</v>
      </c>
      <c r="B79" s="16" t="s">
        <v>791</v>
      </c>
      <c r="C79" s="1104">
        <f>SUM(C75:C78)</f>
        <v>6437992.6754053179</v>
      </c>
      <c r="D79" s="75"/>
      <c r="E79" s="69" t="str">
        <f>"Sum Lines "&amp;A75&amp;" thru "&amp;A78</f>
        <v>Sum Lines 16 thru 19</v>
      </c>
      <c r="F79" s="105">
        <f t="shared" si="2"/>
        <v>20</v>
      </c>
    </row>
    <row r="80" spans="1:8" ht="16.5" thickTop="1">
      <c r="A80" s="105">
        <v>21</v>
      </c>
      <c r="B80" s="57"/>
      <c r="C80" s="75"/>
      <c r="D80" s="75"/>
      <c r="E80" s="76"/>
      <c r="F80" s="105">
        <f t="shared" si="2"/>
        <v>21</v>
      </c>
    </row>
    <row r="81" spans="1:6">
      <c r="A81" s="105">
        <v>22</v>
      </c>
      <c r="B81" s="20" t="s">
        <v>824</v>
      </c>
      <c r="C81" s="75"/>
      <c r="D81" s="75"/>
      <c r="E81" s="76"/>
      <c r="F81" s="105">
        <f t="shared" si="2"/>
        <v>22</v>
      </c>
    </row>
    <row r="82" spans="1:6">
      <c r="A82" s="105">
        <v>23</v>
      </c>
      <c r="B82" s="17" t="s">
        <v>825</v>
      </c>
      <c r="C82" s="751">
        <v>0</v>
      </c>
      <c r="D82" s="75"/>
      <c r="E82" s="69" t="s">
        <v>303</v>
      </c>
      <c r="F82" s="105">
        <f t="shared" si="2"/>
        <v>23</v>
      </c>
    </row>
    <row r="83" spans="1:6">
      <c r="A83" s="105">
        <v>24</v>
      </c>
      <c r="B83" s="16" t="s">
        <v>826</v>
      </c>
      <c r="C83" s="1101">
        <v>0</v>
      </c>
      <c r="D83" s="75"/>
      <c r="E83" s="69" t="s">
        <v>303</v>
      </c>
      <c r="F83" s="105">
        <f t="shared" si="2"/>
        <v>24</v>
      </c>
    </row>
    <row r="84" spans="1:6" ht="16.5" thickBot="1">
      <c r="A84" s="105">
        <v>25</v>
      </c>
      <c r="B84" s="17" t="s">
        <v>827</v>
      </c>
      <c r="C84" s="1020">
        <f>C82-C83</f>
        <v>0</v>
      </c>
      <c r="D84" s="75"/>
      <c r="E84" s="69" t="str">
        <f>"Line "&amp;A82&amp;" Minus Line "&amp;A83</f>
        <v>Line 23 Minus Line 24</v>
      </c>
      <c r="F84" s="105">
        <f t="shared" si="2"/>
        <v>25</v>
      </c>
    </row>
    <row r="85" spans="1:6" ht="16.5" thickTop="1">
      <c r="A85" s="105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  <customProperties>
    <customPr name="_pios_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>
      <selection activeCell="E34" sqref="E34"/>
    </sheetView>
  </sheetViews>
  <sheetFormatPr defaultColWidth="8.85546875" defaultRowHeight="15.75"/>
  <cols>
    <col min="1" max="1" width="5.42578125" style="211" customWidth="1"/>
    <col min="2" max="2" width="50.85546875" style="191" customWidth="1"/>
    <col min="3" max="3" width="21.425781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E1" s="326"/>
      <c r="F1" s="326"/>
      <c r="G1" s="211"/>
      <c r="H1" s="211"/>
    </row>
    <row r="2" spans="1:10">
      <c r="B2" s="1303" t="s">
        <v>0</v>
      </c>
      <c r="C2" s="1303"/>
      <c r="D2" s="1303"/>
      <c r="E2" s="1303"/>
      <c r="F2" s="1303"/>
      <c r="G2" s="1303"/>
      <c r="H2" s="211"/>
    </row>
    <row r="3" spans="1:10">
      <c r="B3" s="1303" t="s">
        <v>828</v>
      </c>
      <c r="C3" s="1303"/>
      <c r="D3" s="1303"/>
      <c r="E3" s="1332"/>
      <c r="F3" s="1332"/>
      <c r="G3" s="1332"/>
      <c r="H3" s="211"/>
    </row>
    <row r="4" spans="1:10">
      <c r="B4" s="1305" t="str">
        <f>'A. Sec.1 - Direct Maintenance'!B5</f>
        <v>Base Period &amp; True-Up Period 12 - Months Ending December 31, 2024</v>
      </c>
      <c r="C4" s="1305"/>
      <c r="D4" s="1305"/>
      <c r="E4" s="1305"/>
      <c r="F4" s="1305"/>
      <c r="G4" s="1305"/>
      <c r="H4" s="211"/>
      <c r="J4" s="1180"/>
    </row>
    <row r="5" spans="1:10">
      <c r="B5" s="1301" t="s">
        <v>3</v>
      </c>
      <c r="C5" s="1314"/>
      <c r="D5" s="1314"/>
      <c r="E5" s="1314"/>
      <c r="F5" s="1314"/>
      <c r="G5" s="1314"/>
      <c r="H5" s="211"/>
    </row>
    <row r="6" spans="1:10">
      <c r="B6" s="211"/>
      <c r="C6" s="211"/>
      <c r="D6" s="211"/>
      <c r="E6" s="211"/>
      <c r="F6" s="211"/>
      <c r="G6" s="211"/>
      <c r="H6" s="211"/>
    </row>
    <row r="7" spans="1:10">
      <c r="A7" s="211" t="s">
        <v>4</v>
      </c>
      <c r="B7" s="729"/>
      <c r="C7" s="211" t="s">
        <v>186</v>
      </c>
      <c r="D7" s="471"/>
      <c r="E7" s="471"/>
      <c r="F7" s="471"/>
      <c r="G7" s="211"/>
      <c r="H7" s="211" t="s">
        <v>4</v>
      </c>
    </row>
    <row r="8" spans="1:10">
      <c r="A8" s="211" t="s">
        <v>5</v>
      </c>
      <c r="B8" s="211"/>
      <c r="C8" s="845" t="s">
        <v>188</v>
      </c>
      <c r="D8" s="471"/>
      <c r="E8" s="845" t="s">
        <v>7</v>
      </c>
      <c r="F8" s="471"/>
      <c r="G8" s="845" t="s">
        <v>8</v>
      </c>
      <c r="H8" s="211" t="s">
        <v>5</v>
      </c>
    </row>
    <row r="9" spans="1:10">
      <c r="C9" s="211"/>
      <c r="D9" s="211"/>
      <c r="F9" s="471"/>
      <c r="H9" s="211"/>
      <c r="J9" s="342"/>
    </row>
    <row r="10" spans="1:10" ht="16.5" thickBot="1">
      <c r="A10" s="211">
        <v>1</v>
      </c>
      <c r="B10" s="349" t="s">
        <v>829</v>
      </c>
      <c r="C10" s="211"/>
      <c r="D10" s="211"/>
      <c r="E10" s="1021">
        <v>0</v>
      </c>
      <c r="F10" s="471"/>
      <c r="G10" s="211" t="s">
        <v>303</v>
      </c>
      <c r="H10" s="211">
        <f>A10</f>
        <v>1</v>
      </c>
    </row>
    <row r="11" spans="1:10" ht="16.5" thickTop="1">
      <c r="A11" s="211">
        <f t="shared" ref="A11:A16" si="0">A10+1</f>
        <v>2</v>
      </c>
      <c r="C11" s="211"/>
      <c r="D11" s="211"/>
      <c r="F11" s="471"/>
      <c r="H11" s="105">
        <f>H10+1</f>
        <v>2</v>
      </c>
    </row>
    <row r="12" spans="1:10" ht="19.5" thickBot="1">
      <c r="A12" s="211">
        <f t="shared" si="0"/>
        <v>3</v>
      </c>
      <c r="B12" s="349" t="s">
        <v>830</v>
      </c>
      <c r="E12" s="1022">
        <v>0</v>
      </c>
      <c r="F12" s="471"/>
      <c r="G12" s="211"/>
      <c r="H12" s="105">
        <f t="shared" ref="H12:H16" si="1">H11+1</f>
        <v>3</v>
      </c>
    </row>
    <row r="13" spans="1:10" ht="16.5" thickTop="1">
      <c r="A13" s="211">
        <f t="shared" si="0"/>
        <v>4</v>
      </c>
      <c r="F13" s="471"/>
      <c r="H13" s="105">
        <f t="shared" si="1"/>
        <v>4</v>
      </c>
    </row>
    <row r="14" spans="1:10" ht="19.5" thickBot="1">
      <c r="A14" s="211">
        <f t="shared" si="0"/>
        <v>5</v>
      </c>
      <c r="B14" s="349" t="s">
        <v>831</v>
      </c>
      <c r="E14" s="1022">
        <v>0</v>
      </c>
      <c r="F14" s="471"/>
      <c r="G14" s="211"/>
      <c r="H14" s="105">
        <f t="shared" si="1"/>
        <v>5</v>
      </c>
    </row>
    <row r="15" spans="1:10" ht="16.5" thickTop="1">
      <c r="A15" s="211">
        <f t="shared" si="0"/>
        <v>6</v>
      </c>
      <c r="B15" s="349"/>
      <c r="E15" s="752"/>
      <c r="F15" s="471"/>
      <c r="G15" s="211"/>
      <c r="H15" s="105">
        <f t="shared" si="1"/>
        <v>6</v>
      </c>
    </row>
    <row r="16" spans="1:10" ht="16.5" thickBot="1">
      <c r="A16" s="211">
        <f t="shared" si="0"/>
        <v>7</v>
      </c>
      <c r="B16" s="349" t="s">
        <v>812</v>
      </c>
      <c r="E16" s="1021">
        <v>0</v>
      </c>
      <c r="F16" s="471"/>
      <c r="G16" s="211" t="s">
        <v>303</v>
      </c>
      <c r="H16" s="105">
        <f t="shared" si="1"/>
        <v>7</v>
      </c>
    </row>
    <row r="17" spans="1:8" ht="16.5" thickTop="1">
      <c r="H17" s="211"/>
    </row>
    <row r="18" spans="1:8">
      <c r="H18" s="211"/>
    </row>
    <row r="19" spans="1:8" ht="18.75">
      <c r="A19" s="405">
        <v>1</v>
      </c>
      <c r="B19" s="191" t="s">
        <v>1043</v>
      </c>
      <c r="H19" s="211"/>
    </row>
    <row r="20" spans="1:8">
      <c r="B20" s="191" t="s">
        <v>971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zoomScale="80" zoomScaleNormal="80" workbookViewId="0">
      <selection activeCell="B38" sqref="B38"/>
    </sheetView>
  </sheetViews>
  <sheetFormatPr defaultColWidth="8.5703125" defaultRowHeight="15.75"/>
  <cols>
    <col min="1" max="1" width="5.140625" style="211" customWidth="1"/>
    <col min="2" max="2" width="69.140625" style="3" customWidth="1"/>
    <col min="3" max="3" width="14.85546875" style="3" customWidth="1"/>
    <col min="4" max="4" width="50.85546875" style="3" bestFit="1" customWidth="1"/>
    <col min="5" max="5" width="5.140625" style="211" customWidth="1"/>
    <col min="6" max="6" width="8.5703125" style="3"/>
    <col min="7" max="7" width="9" style="3" bestFit="1" customWidth="1"/>
    <col min="8" max="16384" width="8.5703125" style="3"/>
  </cols>
  <sheetData>
    <row r="1" spans="1:8">
      <c r="A1" s="479"/>
      <c r="B1" s="76"/>
      <c r="C1" s="76"/>
      <c r="D1" s="76"/>
      <c r="E1" s="479"/>
    </row>
    <row r="2" spans="1:8">
      <c r="A2" s="479"/>
      <c r="B2" s="1290" t="str">
        <f>'Summary of Cost Components'!B2:D2</f>
        <v>SAN DIEGO GAS &amp; ELECTRIC COMPANY</v>
      </c>
      <c r="C2" s="1290"/>
      <c r="D2" s="1290"/>
      <c r="E2" s="479"/>
    </row>
    <row r="3" spans="1:8">
      <c r="B3" s="1290" t="str">
        <f>'Summary of Cost Components'!B3:D3</f>
        <v>CITIZENS' SHARE OF THE BORDER EAST LINE</v>
      </c>
      <c r="C3" s="1290"/>
      <c r="D3" s="1290"/>
      <c r="E3" s="95"/>
    </row>
    <row r="4" spans="1:8">
      <c r="B4" s="1290" t="s">
        <v>152</v>
      </c>
      <c r="C4" s="1290"/>
      <c r="D4" s="1290"/>
      <c r="E4" s="95"/>
      <c r="G4" s="700"/>
    </row>
    <row r="5" spans="1:8">
      <c r="A5" s="479"/>
      <c r="B5" s="1289" t="str">
        <f>"Rate Effective Period January 1, "&amp;Automation!B3+1 &amp;" - December 31, "&amp;Automation!B3+1</f>
        <v>Rate Effective Period January 1, 2025 - December 31, 2025</v>
      </c>
      <c r="C5" s="1289"/>
      <c r="D5" s="1289"/>
      <c r="E5" s="479"/>
      <c r="G5" s="700"/>
      <c r="H5" s="700"/>
    </row>
    <row r="6" spans="1:8">
      <c r="B6" s="1291" t="s">
        <v>3</v>
      </c>
      <c r="C6" s="1290"/>
      <c r="D6" s="1290"/>
      <c r="E6" s="95"/>
      <c r="G6" s="700"/>
    </row>
    <row r="7" spans="1:8" ht="16.5" thickBot="1">
      <c r="A7" s="479"/>
      <c r="B7" s="76"/>
      <c r="C7" s="62"/>
      <c r="D7" s="62"/>
      <c r="E7" s="479"/>
    </row>
    <row r="8" spans="1:8">
      <c r="A8" s="480" t="s">
        <v>4</v>
      </c>
      <c r="B8" s="809"/>
      <c r="C8" s="810"/>
      <c r="D8" s="811"/>
      <c r="E8" s="481" t="s">
        <v>4</v>
      </c>
    </row>
    <row r="9" spans="1:8">
      <c r="A9" s="480" t="s">
        <v>5</v>
      </c>
      <c r="B9" s="1023" t="s">
        <v>6</v>
      </c>
      <c r="C9" s="1023" t="s">
        <v>7</v>
      </c>
      <c r="D9" s="1024" t="s">
        <v>8</v>
      </c>
      <c r="E9" s="481" t="s">
        <v>5</v>
      </c>
    </row>
    <row r="10" spans="1:8">
      <c r="A10" s="480"/>
      <c r="B10" s="812"/>
      <c r="C10" s="56"/>
      <c r="D10" s="925"/>
      <c r="E10" s="481"/>
    </row>
    <row r="11" spans="1:8">
      <c r="A11" s="480">
        <v>1</v>
      </c>
      <c r="B11" s="17" t="s">
        <v>9</v>
      </c>
      <c r="C11" s="738">
        <v>93.329648765131054</v>
      </c>
      <c r="D11" s="629" t="str">
        <f>"Cycle "&amp;Automation!B2+5&amp;"; Summary of Cost Components; Line 1"</f>
        <v>Cycle 13; Summary of Cost Components; Line 1</v>
      </c>
      <c r="E11" s="481">
        <f>A11</f>
        <v>1</v>
      </c>
      <c r="G11" s="1173"/>
    </row>
    <row r="12" spans="1:8">
      <c r="A12" s="480">
        <f>A11+1</f>
        <v>2</v>
      </c>
      <c r="B12" s="16"/>
      <c r="C12" s="716"/>
      <c r="D12" s="927"/>
      <c r="E12" s="481">
        <f>E11+1</f>
        <v>2</v>
      </c>
    </row>
    <row r="13" spans="1:8">
      <c r="A13" s="480">
        <f t="shared" ref="A13:A28" si="0">A12+1</f>
        <v>3</v>
      </c>
      <c r="B13" s="17" t="s">
        <v>10</v>
      </c>
      <c r="C13" s="568">
        <v>3065.6490704530197</v>
      </c>
      <c r="D13" s="926" t="str">
        <f>"Cycle "&amp;Automation!B2+5&amp;"; Summary of Cost Components; Line 3"</f>
        <v>Cycle 13; Summary of Cost Components; Line 3</v>
      </c>
      <c r="E13" s="481">
        <f t="shared" ref="E13:E28" si="1">E12+1</f>
        <v>3</v>
      </c>
      <c r="G13" s="1173"/>
    </row>
    <row r="14" spans="1:8">
      <c r="A14" s="480">
        <f t="shared" si="0"/>
        <v>4</v>
      </c>
      <c r="B14" s="16"/>
      <c r="C14" s="716"/>
      <c r="D14" s="928"/>
      <c r="E14" s="481">
        <f t="shared" si="1"/>
        <v>4</v>
      </c>
    </row>
    <row r="15" spans="1:8">
      <c r="A15" s="480">
        <f t="shared" si="0"/>
        <v>5</v>
      </c>
      <c r="B15" s="17" t="s">
        <v>11</v>
      </c>
      <c r="C15" s="1025">
        <v>731.50998905158451</v>
      </c>
      <c r="D15" s="566" t="str">
        <f>"Cycle "&amp;Automation!B2+5&amp;"; Summary of Cost Components; Line 5"</f>
        <v>Cycle 13; Summary of Cost Components; Line 5</v>
      </c>
      <c r="E15" s="481">
        <f t="shared" si="1"/>
        <v>5</v>
      </c>
      <c r="G15" s="1173"/>
    </row>
    <row r="16" spans="1:8">
      <c r="A16" s="480">
        <f t="shared" si="0"/>
        <v>6</v>
      </c>
      <c r="B16" s="57"/>
      <c r="C16" s="716"/>
      <c r="D16" s="929"/>
      <c r="E16" s="481">
        <f t="shared" si="1"/>
        <v>6</v>
      </c>
    </row>
    <row r="17" spans="1:12">
      <c r="A17" s="480">
        <f t="shared" si="0"/>
        <v>7</v>
      </c>
      <c r="B17" s="718" t="s">
        <v>12</v>
      </c>
      <c r="C17" s="716">
        <f>C11+C13+C15</f>
        <v>3890.4887082697351</v>
      </c>
      <c r="D17" s="85" t="str">
        <f>"Sum Lines "&amp;A11&amp;", "&amp;A13&amp;", "&amp;A15</f>
        <v>Sum Lines 1, 3, 5</v>
      </c>
      <c r="E17" s="481">
        <f t="shared" si="1"/>
        <v>7</v>
      </c>
      <c r="H17" s="700"/>
      <c r="L17" s="700"/>
    </row>
    <row r="18" spans="1:12">
      <c r="A18" s="480">
        <f t="shared" si="0"/>
        <v>8</v>
      </c>
      <c r="B18" s="57"/>
      <c r="C18" s="716"/>
      <c r="D18" s="722"/>
      <c r="E18" s="481">
        <f t="shared" si="1"/>
        <v>8</v>
      </c>
    </row>
    <row r="19" spans="1:12">
      <c r="A19" s="480">
        <f t="shared" si="0"/>
        <v>9</v>
      </c>
      <c r="B19" s="17" t="s">
        <v>13</v>
      </c>
      <c r="C19" s="568">
        <v>-107.93901655902985</v>
      </c>
      <c r="D19" s="566" t="str">
        <f>"Cycle "&amp;Automation!B2+5&amp;"; Summary of Cost Components; Line 9"</f>
        <v>Cycle 13; Summary of Cost Components; Line 9</v>
      </c>
      <c r="E19" s="481">
        <f t="shared" si="1"/>
        <v>9</v>
      </c>
      <c r="G19" s="1173"/>
    </row>
    <row r="20" spans="1:12">
      <c r="A20" s="480">
        <f t="shared" si="0"/>
        <v>10</v>
      </c>
      <c r="B20" s="17"/>
      <c r="C20" s="716"/>
      <c r="D20" s="930"/>
      <c r="E20" s="481">
        <f t="shared" si="1"/>
        <v>10</v>
      </c>
    </row>
    <row r="21" spans="1:12">
      <c r="A21" s="480">
        <f t="shared" si="0"/>
        <v>11</v>
      </c>
      <c r="B21" s="17" t="s">
        <v>14</v>
      </c>
      <c r="C21" s="1025">
        <v>-2.2771871656527569</v>
      </c>
      <c r="D21" s="566" t="str">
        <f>"Cycle "&amp;Automation!B2+5&amp;"; Summary of Cost Components; Line 11"</f>
        <v>Cycle 13; Summary of Cost Components; Line 11</v>
      </c>
      <c r="E21" s="481">
        <f t="shared" si="1"/>
        <v>11</v>
      </c>
      <c r="G21" s="1173"/>
    </row>
    <row r="22" spans="1:12">
      <c r="A22" s="480">
        <f t="shared" si="0"/>
        <v>12</v>
      </c>
      <c r="B22" s="57"/>
      <c r="C22" s="717"/>
      <c r="D22" s="931"/>
      <c r="E22" s="481">
        <f t="shared" si="1"/>
        <v>12</v>
      </c>
    </row>
    <row r="23" spans="1:12">
      <c r="A23" s="480">
        <f t="shared" si="0"/>
        <v>13</v>
      </c>
      <c r="B23" s="57" t="s">
        <v>15</v>
      </c>
      <c r="C23" s="796">
        <f>C17+C19+C21</f>
        <v>3780.2725045450525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12">
      <c r="A24" s="480">
        <f t="shared" si="0"/>
        <v>14</v>
      </c>
      <c r="B24" s="57"/>
      <c r="C24" s="717"/>
      <c r="D24" s="931"/>
      <c r="E24" s="481">
        <f t="shared" si="1"/>
        <v>14</v>
      </c>
    </row>
    <row r="25" spans="1:12">
      <c r="A25" s="480">
        <f t="shared" si="0"/>
        <v>15</v>
      </c>
      <c r="B25" s="17" t="s">
        <v>16</v>
      </c>
      <c r="C25" s="1026">
        <v>7.53</v>
      </c>
      <c r="D25" s="566" t="s">
        <v>17</v>
      </c>
      <c r="E25" s="481">
        <f t="shared" si="1"/>
        <v>15</v>
      </c>
      <c r="G25" s="1174"/>
    </row>
    <row r="26" spans="1:12">
      <c r="A26" s="480">
        <f t="shared" si="0"/>
        <v>16</v>
      </c>
      <c r="B26" s="62"/>
      <c r="C26" s="813"/>
      <c r="D26" s="931"/>
      <c r="E26" s="481">
        <f t="shared" si="1"/>
        <v>16</v>
      </c>
    </row>
    <row r="27" spans="1:12" ht="16.5" thickBot="1">
      <c r="A27" s="480">
        <f t="shared" si="0"/>
        <v>17</v>
      </c>
      <c r="B27" s="718" t="s">
        <v>18</v>
      </c>
      <c r="C27" s="509">
        <f>C23+C25</f>
        <v>3787.8025045450527</v>
      </c>
      <c r="D27" s="21" t="str">
        <f>"Line "&amp;A23&amp;" + Line "&amp;A25</f>
        <v>Line 13 + Line 15</v>
      </c>
      <c r="E27" s="481">
        <f t="shared" si="1"/>
        <v>17</v>
      </c>
      <c r="H27" s="607"/>
      <c r="I27" s="609"/>
    </row>
    <row r="28" spans="1:12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30" spans="1:12" ht="16.5" thickBot="1">
      <c r="A30" s="479"/>
      <c r="B30" s="820"/>
      <c r="C30" s="821"/>
      <c r="D30" s="821"/>
      <c r="E30" s="479"/>
    </row>
    <row r="31" spans="1:12">
      <c r="A31" s="480" t="s">
        <v>4</v>
      </c>
      <c r="B31" s="55"/>
      <c r="C31" s="55"/>
      <c r="D31" s="927"/>
      <c r="E31" s="481" t="s">
        <v>4</v>
      </c>
    </row>
    <row r="32" spans="1:12">
      <c r="A32" s="480" t="s">
        <v>5</v>
      </c>
      <c r="B32" s="1023" t="s">
        <v>19</v>
      </c>
      <c r="C32" s="1023" t="str">
        <f>C9</f>
        <v>Amounts</v>
      </c>
      <c r="D32" s="1024" t="str">
        <f>D9</f>
        <v>Reference</v>
      </c>
      <c r="E32" s="481" t="s">
        <v>5</v>
      </c>
    </row>
    <row r="33" spans="1:12">
      <c r="A33" s="480">
        <f>A28+1</f>
        <v>19</v>
      </c>
      <c r="B33" s="54"/>
      <c r="C33" s="56"/>
      <c r="D33" s="925"/>
      <c r="E33" s="481">
        <f>E28+1</f>
        <v>19</v>
      </c>
    </row>
    <row r="34" spans="1:12">
      <c r="A34" s="480">
        <f>A33+1</f>
        <v>20</v>
      </c>
      <c r="B34" s="734" t="str">
        <f>B11</f>
        <v>Section 1 - Direct Maintenance Expense Cost Component</v>
      </c>
      <c r="C34" s="732">
        <f>C11/12</f>
        <v>7.7774707304275879</v>
      </c>
      <c r="D34" s="926" t="str">
        <f>"Line "&amp;A11&amp;" / "&amp;C50&amp;" Months"</f>
        <v>Line 1 / 12 Months</v>
      </c>
      <c r="E34" s="481">
        <f>E33+1</f>
        <v>20</v>
      </c>
    </row>
    <row r="35" spans="1:12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12">
      <c r="A36" s="480">
        <f t="shared" si="2"/>
        <v>22</v>
      </c>
      <c r="B36" s="734" t="str">
        <f>B13</f>
        <v>Section 2 - Non-Direct Expense Cost Component</v>
      </c>
      <c r="C36" s="733">
        <f>C13/12</f>
        <v>255.47075587108498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12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12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60.959165754298709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12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12">
      <c r="A40" s="480">
        <f t="shared" si="2"/>
        <v>26</v>
      </c>
      <c r="B40" s="718" t="s">
        <v>20</v>
      </c>
      <c r="C40" s="771">
        <f>C17/12</f>
        <v>324.20739235581124</v>
      </c>
      <c r="D40" s="85" t="str">
        <f>"Sum Lines "&amp;A34&amp;", "&amp;A36&amp;", "&amp;A38</f>
        <v>Sum Lines 20, 22, 24</v>
      </c>
      <c r="E40" s="481">
        <f t="shared" si="3"/>
        <v>26</v>
      </c>
      <c r="H40" s="1194"/>
      <c r="L40" s="700"/>
    </row>
    <row r="41" spans="1:12">
      <c r="A41" s="480">
        <f t="shared" si="2"/>
        <v>27</v>
      </c>
      <c r="B41" s="54"/>
      <c r="C41" s="691"/>
      <c r="D41" s="928"/>
      <c r="E41" s="481">
        <f t="shared" si="3"/>
        <v>27</v>
      </c>
      <c r="H41" s="1194"/>
    </row>
    <row r="42" spans="1:12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-8.9949180465858216</v>
      </c>
      <c r="D42" s="926" t="str">
        <f>"Line "&amp;A19&amp;" / "&amp;C4913&amp;" Months"</f>
        <v>Line 9 /  Months</v>
      </c>
      <c r="E42" s="481">
        <f t="shared" si="3"/>
        <v>28</v>
      </c>
      <c r="G42" s="1151"/>
    </row>
    <row r="43" spans="1:12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12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-0.18976559713772975</v>
      </c>
      <c r="D44" s="931" t="str">
        <f>"Line "&amp;A21&amp;" / "&amp;C50&amp;" Months"</f>
        <v>Line 11 / 12 Months</v>
      </c>
      <c r="E44" s="481">
        <f t="shared" si="3"/>
        <v>30</v>
      </c>
      <c r="G44" s="1151"/>
    </row>
    <row r="45" spans="1:12">
      <c r="A45" s="480">
        <f t="shared" si="2"/>
        <v>31</v>
      </c>
      <c r="B45" s="84"/>
      <c r="C45" s="692"/>
      <c r="D45" s="935"/>
      <c r="E45" s="481">
        <f t="shared" si="3"/>
        <v>31</v>
      </c>
      <c r="G45" s="1151"/>
    </row>
    <row r="46" spans="1:12">
      <c r="A46" s="480">
        <f t="shared" si="2"/>
        <v>32</v>
      </c>
      <c r="B46" s="17" t="str">
        <f>B25</f>
        <v>Other Adjustments</v>
      </c>
      <c r="C46" s="1027">
        <f>C25/12</f>
        <v>0.62750000000000006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12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12" ht="16.5" thickBot="1">
      <c r="A48" s="480">
        <f t="shared" si="2"/>
        <v>34</v>
      </c>
      <c r="B48" s="57" t="s">
        <v>21</v>
      </c>
      <c r="C48" s="735">
        <f>C27/12</f>
        <v>315.6502087120877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288">
        <f>C48*C50</f>
        <v>3787.8025045450522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C13 Invoice Summary</oddFooter>
  </headerFooter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>
      <selection activeCell="B3" sqref="B3"/>
    </sheetView>
  </sheetViews>
  <sheetFormatPr defaultColWidth="8.5703125" defaultRowHeight="15.75"/>
  <cols>
    <col min="1" max="1" width="28.85546875" style="13" customWidth="1"/>
    <col min="2" max="2" width="14.140625" style="13" customWidth="1"/>
    <col min="3" max="3" width="29.5703125" style="13" customWidth="1"/>
    <col min="4" max="4" width="17.42578125" style="13" customWidth="1"/>
    <col min="5" max="16384" width="8.5703125" style="13"/>
  </cols>
  <sheetData>
    <row r="1" spans="1:3">
      <c r="A1" s="125" t="s">
        <v>832</v>
      </c>
      <c r="B1" s="124">
        <v>6</v>
      </c>
      <c r="C1" s="124"/>
    </row>
    <row r="2" spans="1:3">
      <c r="A2" s="125" t="s">
        <v>833</v>
      </c>
      <c r="B2" s="124">
        <v>8</v>
      </c>
      <c r="C2" s="124"/>
    </row>
    <row r="3" spans="1:3">
      <c r="A3" s="125" t="s">
        <v>834</v>
      </c>
      <c r="B3" s="124">
        <v>2024</v>
      </c>
      <c r="C3" s="124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zoomScale="80" zoomScaleNormal="80" workbookViewId="0">
      <selection activeCell="C52" sqref="C52"/>
    </sheetView>
  </sheetViews>
  <sheetFormatPr defaultColWidth="8.5703125" defaultRowHeight="15.75"/>
  <cols>
    <col min="1" max="1" width="5" style="211" customWidth="1"/>
    <col min="2" max="2" width="69" style="3" customWidth="1"/>
    <col min="3" max="3" width="14.85546875" style="3" customWidth="1"/>
    <col min="4" max="4" width="50.85546875" style="3" bestFit="1" customWidth="1"/>
    <col min="5" max="5" width="5" style="211" customWidth="1"/>
    <col min="6" max="6" width="8.5703125" style="3"/>
    <col min="7" max="7" width="8.5703125" style="3" bestFit="1"/>
    <col min="8" max="16384" width="8.5703125" style="3"/>
  </cols>
  <sheetData>
    <row r="1" spans="1:7">
      <c r="A1" s="1158"/>
      <c r="B1" s="76"/>
      <c r="C1" s="76"/>
      <c r="D1" s="76"/>
      <c r="E1" s="1158"/>
    </row>
    <row r="2" spans="1:7">
      <c r="A2" s="1158"/>
      <c r="B2" s="1290" t="s">
        <v>0</v>
      </c>
      <c r="C2" s="1290"/>
      <c r="D2" s="1290"/>
      <c r="E2" s="1158"/>
    </row>
    <row r="3" spans="1:7">
      <c r="B3" s="1290" t="s">
        <v>1</v>
      </c>
      <c r="C3" s="1290"/>
      <c r="D3" s="1290"/>
      <c r="E3" s="95"/>
    </row>
    <row r="4" spans="1:7">
      <c r="B4" s="1290" t="s">
        <v>152</v>
      </c>
      <c r="C4" s="1290"/>
      <c r="D4" s="1290"/>
      <c r="E4" s="95"/>
      <c r="G4" s="700"/>
    </row>
    <row r="5" spans="1:7">
      <c r="A5" s="1158"/>
      <c r="B5" s="1289" t="s">
        <v>1011</v>
      </c>
      <c r="C5" s="1289"/>
      <c r="D5" s="1289"/>
      <c r="E5" s="1158"/>
      <c r="G5" s="700"/>
    </row>
    <row r="6" spans="1:7">
      <c r="B6" s="1291" t="s">
        <v>3</v>
      </c>
      <c r="C6" s="1290"/>
      <c r="D6" s="1290"/>
      <c r="E6" s="95"/>
      <c r="G6" s="700"/>
    </row>
    <row r="7" spans="1:7" ht="16.5" thickBot="1">
      <c r="A7" s="1158"/>
      <c r="B7" s="76"/>
      <c r="C7" s="62"/>
      <c r="D7" s="62"/>
      <c r="E7" s="1158"/>
      <c r="G7" s="700"/>
    </row>
    <row r="8" spans="1:7">
      <c r="A8" s="480" t="s">
        <v>4</v>
      </c>
      <c r="B8" s="809"/>
      <c r="C8" s="810"/>
      <c r="D8" s="811"/>
      <c r="E8" s="481" t="s">
        <v>4</v>
      </c>
    </row>
    <row r="9" spans="1:7">
      <c r="A9" s="480" t="s">
        <v>5</v>
      </c>
      <c r="B9" s="1159" t="s">
        <v>6</v>
      </c>
      <c r="C9" s="1159" t="s">
        <v>7</v>
      </c>
      <c r="D9" s="1160" t="s">
        <v>8</v>
      </c>
      <c r="E9" s="481" t="s">
        <v>5</v>
      </c>
    </row>
    <row r="10" spans="1:7">
      <c r="A10" s="480"/>
      <c r="B10" s="812"/>
      <c r="C10" s="56"/>
      <c r="D10" s="925"/>
      <c r="E10" s="481"/>
    </row>
    <row r="11" spans="1:7">
      <c r="A11" s="480">
        <v>1</v>
      </c>
      <c r="B11" s="17" t="s">
        <v>9</v>
      </c>
      <c r="C11" s="738">
        <v>17.335895461388862</v>
      </c>
      <c r="D11" s="629" t="str">
        <f>"Cycle "&amp;Automation!B2+4&amp;"; Summary of Cost Components; Line 1"</f>
        <v>Cycle 12; Summary of Cost Components; Line 1</v>
      </c>
      <c r="E11" s="481">
        <f>A11</f>
        <v>1</v>
      </c>
      <c r="G11" s="1173"/>
    </row>
    <row r="12" spans="1:7">
      <c r="A12" s="480">
        <f>A11+1</f>
        <v>2</v>
      </c>
      <c r="B12" s="16"/>
      <c r="C12" s="716"/>
      <c r="D12" s="927"/>
      <c r="E12" s="481">
        <f>E11+1</f>
        <v>2</v>
      </c>
    </row>
    <row r="13" spans="1:7">
      <c r="A13" s="480">
        <f t="shared" ref="A13:A28" si="0">A12+1</f>
        <v>3</v>
      </c>
      <c r="B13" s="17" t="s">
        <v>10</v>
      </c>
      <c r="C13" s="568">
        <v>3081.3739624729433</v>
      </c>
      <c r="D13" s="926" t="str">
        <f>"Cycle "&amp;Automation!B2+4&amp;"; Summary of Cost Components; Line 3"</f>
        <v>Cycle 12; Summary of Cost Components; Line 3</v>
      </c>
      <c r="E13" s="481">
        <f t="shared" ref="E13:E28" si="1">E12+1</f>
        <v>3</v>
      </c>
      <c r="G13" s="1173"/>
    </row>
    <row r="14" spans="1:7">
      <c r="A14" s="480">
        <f t="shared" si="0"/>
        <v>4</v>
      </c>
      <c r="B14" s="16"/>
      <c r="C14" s="716"/>
      <c r="D14" s="928"/>
      <c r="E14" s="481">
        <f t="shared" si="1"/>
        <v>4</v>
      </c>
    </row>
    <row r="15" spans="1:7">
      <c r="A15" s="480">
        <f t="shared" si="0"/>
        <v>5</v>
      </c>
      <c r="B15" s="17" t="s">
        <v>11</v>
      </c>
      <c r="C15" s="1025">
        <v>728.17667218680617</v>
      </c>
      <c r="D15" s="566" t="str">
        <f>"Cycle "&amp;Automation!B2+4&amp;"; Summary of Cost Components; Line 5"</f>
        <v>Cycle 12; Summary of Cost Components; Line 5</v>
      </c>
      <c r="E15" s="481">
        <f t="shared" si="1"/>
        <v>5</v>
      </c>
      <c r="G15" s="1173"/>
    </row>
    <row r="16" spans="1:7">
      <c r="A16" s="480">
        <f t="shared" si="0"/>
        <v>6</v>
      </c>
      <c r="B16" s="57"/>
      <c r="C16" s="716"/>
      <c r="D16" s="929"/>
      <c r="E16" s="481">
        <f t="shared" si="1"/>
        <v>6</v>
      </c>
    </row>
    <row r="17" spans="1:9">
      <c r="A17" s="480">
        <f t="shared" si="0"/>
        <v>7</v>
      </c>
      <c r="B17" s="718" t="s">
        <v>12</v>
      </c>
      <c r="C17" s="716">
        <f>C11+C13+C15</f>
        <v>3826.8865301211381</v>
      </c>
      <c r="D17" s="85" t="str">
        <f>"Sum Lines "&amp;A11&amp;", "&amp;A13&amp;", "&amp;A15</f>
        <v>Sum Lines 1, 3, 5</v>
      </c>
      <c r="E17" s="481">
        <f t="shared" si="1"/>
        <v>7</v>
      </c>
    </row>
    <row r="18" spans="1:9">
      <c r="A18" s="480">
        <f t="shared" si="0"/>
        <v>8</v>
      </c>
      <c r="B18" s="57"/>
      <c r="C18" s="716"/>
      <c r="D18" s="722"/>
      <c r="E18" s="481">
        <f t="shared" si="1"/>
        <v>8</v>
      </c>
    </row>
    <row r="19" spans="1:9">
      <c r="A19" s="480">
        <f t="shared" si="0"/>
        <v>9</v>
      </c>
      <c r="B19" s="17" t="s">
        <v>13</v>
      </c>
      <c r="C19" s="568">
        <v>-18.497623661295503</v>
      </c>
      <c r="D19" s="566" t="str">
        <f>"Cycle "&amp;Automation!B2+4&amp;"; Summary of Cost Components; Line 9"</f>
        <v>Cycle 12; Summary of Cost Components; Line 9</v>
      </c>
      <c r="E19" s="481">
        <f t="shared" si="1"/>
        <v>9</v>
      </c>
      <c r="G19" s="1173"/>
    </row>
    <row r="20" spans="1:9">
      <c r="A20" s="480">
        <f t="shared" si="0"/>
        <v>10</v>
      </c>
      <c r="B20" s="17"/>
      <c r="C20" s="716"/>
      <c r="D20" s="930"/>
      <c r="E20" s="481">
        <f t="shared" si="1"/>
        <v>10</v>
      </c>
    </row>
    <row r="21" spans="1:9">
      <c r="A21" s="480">
        <f t="shared" si="0"/>
        <v>11</v>
      </c>
      <c r="B21" s="17" t="s">
        <v>14</v>
      </c>
      <c r="C21" s="1025">
        <v>3.1453614926939317</v>
      </c>
      <c r="D21" s="566" t="str">
        <f>"Cycle "&amp;Automation!B2+4&amp;"; Summary of Cost Components; Line 11"</f>
        <v>Cycle 12; Summary of Cost Components; Line 11</v>
      </c>
      <c r="E21" s="481">
        <f t="shared" si="1"/>
        <v>11</v>
      </c>
      <c r="G21" s="1173"/>
    </row>
    <row r="22" spans="1:9">
      <c r="A22" s="480">
        <f t="shared" si="0"/>
        <v>12</v>
      </c>
      <c r="B22" s="57"/>
      <c r="C22" s="717"/>
      <c r="D22" s="931"/>
      <c r="E22" s="481">
        <f t="shared" si="1"/>
        <v>12</v>
      </c>
    </row>
    <row r="23" spans="1:9">
      <c r="A23" s="480">
        <f t="shared" si="0"/>
        <v>13</v>
      </c>
      <c r="B23" s="57" t="s">
        <v>15</v>
      </c>
      <c r="C23" s="796">
        <f>C17+C19+C21</f>
        <v>3811.5342679525365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9">
      <c r="A24" s="480">
        <f t="shared" si="0"/>
        <v>14</v>
      </c>
      <c r="B24" s="57"/>
      <c r="C24" s="717"/>
      <c r="D24" s="931"/>
      <c r="E24" s="481">
        <f t="shared" si="1"/>
        <v>14</v>
      </c>
    </row>
    <row r="25" spans="1:9">
      <c r="A25" s="480">
        <f t="shared" si="0"/>
        <v>15</v>
      </c>
      <c r="B25" s="17" t="s">
        <v>16</v>
      </c>
      <c r="C25" s="1026">
        <v>53</v>
      </c>
      <c r="D25" s="566" t="s">
        <v>17</v>
      </c>
      <c r="E25" s="481">
        <f t="shared" si="1"/>
        <v>15</v>
      </c>
      <c r="G25" s="608"/>
    </row>
    <row r="26" spans="1:9">
      <c r="A26" s="480">
        <f t="shared" si="0"/>
        <v>16</v>
      </c>
      <c r="B26" s="62"/>
      <c r="C26" s="813"/>
      <c r="D26" s="931"/>
      <c r="E26" s="481">
        <f t="shared" si="1"/>
        <v>16</v>
      </c>
    </row>
    <row r="27" spans="1:9" ht="16.5" thickBot="1">
      <c r="A27" s="480">
        <f t="shared" si="0"/>
        <v>17</v>
      </c>
      <c r="B27" s="718" t="s">
        <v>18</v>
      </c>
      <c r="C27" s="509">
        <f>C23+C25</f>
        <v>3864.5342679525365</v>
      </c>
      <c r="D27" s="1161" t="str">
        <f>"Line "&amp;A23&amp;" + Line "&amp;A25</f>
        <v>Line 13 + Line 15</v>
      </c>
      <c r="E27" s="481">
        <f t="shared" si="1"/>
        <v>17</v>
      </c>
      <c r="H27" s="607"/>
      <c r="I27" s="609"/>
    </row>
    <row r="28" spans="1:9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30" spans="1:9" ht="16.5" thickBot="1">
      <c r="A30" s="1158"/>
      <c r="B30" s="899"/>
      <c r="C30" s="821"/>
      <c r="D30" s="821"/>
      <c r="E30" s="1158"/>
    </row>
    <row r="31" spans="1:9">
      <c r="A31" s="480" t="s">
        <v>4</v>
      </c>
      <c r="B31" s="55"/>
      <c r="C31" s="55"/>
      <c r="D31" s="927"/>
      <c r="E31" s="481" t="s">
        <v>4</v>
      </c>
    </row>
    <row r="32" spans="1:9">
      <c r="A32" s="480" t="s">
        <v>5</v>
      </c>
      <c r="B32" s="1159" t="s">
        <v>19</v>
      </c>
      <c r="C32" s="1159" t="str">
        <f>C9</f>
        <v>Amounts</v>
      </c>
      <c r="D32" s="1160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5"/>
      <c r="E33" s="481">
        <f>E28+1</f>
        <v>19</v>
      </c>
    </row>
    <row r="34" spans="1:7">
      <c r="A34" s="480">
        <f>A33+1</f>
        <v>20</v>
      </c>
      <c r="B34" s="734" t="str">
        <f>B11</f>
        <v>Section 1 - Direct Maintenance Expense Cost Component</v>
      </c>
      <c r="C34" s="732">
        <f>C11/12</f>
        <v>1.4446579551157386</v>
      </c>
      <c r="D34" s="926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7">
      <c r="A36" s="480">
        <f t="shared" si="2"/>
        <v>22</v>
      </c>
      <c r="B36" s="734" t="str">
        <f>B13</f>
        <v>Section 2 - Non-Direct Expense Cost Component</v>
      </c>
      <c r="C36" s="733">
        <f>C13/12</f>
        <v>256.78116353941192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7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60.681389348900517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7">
      <c r="A40" s="480">
        <f t="shared" si="2"/>
        <v>26</v>
      </c>
      <c r="B40" s="718" t="s">
        <v>20</v>
      </c>
      <c r="C40" s="771">
        <f>C17/12</f>
        <v>318.90721084342817</v>
      </c>
      <c r="D40" s="85" t="str">
        <f>"Sum Lines "&amp;A34&amp;", "&amp;A36&amp;", "&amp;A38</f>
        <v>Sum Lines 20, 22, 24</v>
      </c>
      <c r="E40" s="481">
        <f t="shared" si="3"/>
        <v>26</v>
      </c>
    </row>
    <row r="41" spans="1:7">
      <c r="A41" s="480">
        <f t="shared" si="2"/>
        <v>27</v>
      </c>
      <c r="B41" s="54"/>
      <c r="C41" s="691"/>
      <c r="D41" s="928"/>
      <c r="E41" s="481">
        <f t="shared" si="3"/>
        <v>27</v>
      </c>
    </row>
    <row r="42" spans="1:7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-1.5414686384412919</v>
      </c>
      <c r="D42" s="926" t="str">
        <f>"Line "&amp;A19&amp;" / "&amp;C4913&amp;" Months"</f>
        <v>Line 9 /  Months</v>
      </c>
      <c r="E42" s="481">
        <f t="shared" si="3"/>
        <v>28</v>
      </c>
    </row>
    <row r="43" spans="1:7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7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0.26211345772449429</v>
      </c>
      <c r="D44" s="931" t="str">
        <f>"Line "&amp;A21&amp;" / "&amp;C50&amp;" Months"</f>
        <v>Line 11 / 12 Months</v>
      </c>
      <c r="E44" s="481">
        <f t="shared" si="3"/>
        <v>30</v>
      </c>
      <c r="G44" s="1221"/>
    </row>
    <row r="45" spans="1:7">
      <c r="A45" s="480">
        <f t="shared" si="2"/>
        <v>31</v>
      </c>
      <c r="B45" s="84"/>
      <c r="C45" s="692"/>
      <c r="D45" s="935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27">
        <f>C25/12</f>
        <v>4.416666666666667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5">
        <f>C27/12</f>
        <v>322.04452232937803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288">
        <f>C48*C50</f>
        <v>3864.5342679525365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70" orientation="portrait" r:id="rId1"/>
  <headerFooter scaleWithDoc="0">
    <oddFooter>&amp;C&amp;"Times New Roman,Regular"&amp;10Section 4
C12 Invoice Summary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topLeftCell="C1" zoomScale="80" zoomScaleNormal="80" zoomScaleSheetLayoutView="70" workbookViewId="0">
      <selection activeCell="H17" sqref="H17"/>
    </sheetView>
  </sheetViews>
  <sheetFormatPr defaultColWidth="9.140625" defaultRowHeight="15.75"/>
  <cols>
    <col min="1" max="1" width="5.42578125" style="211" customWidth="1"/>
    <col min="2" max="3" width="19.5703125" style="191" customWidth="1"/>
    <col min="4" max="5" width="20.85546875" style="191" customWidth="1"/>
    <col min="6" max="6" width="35.5703125" style="191" customWidth="1"/>
    <col min="7" max="7" width="20.85546875" style="191" customWidth="1"/>
    <col min="8" max="8" width="35.42578125" style="191" customWidth="1"/>
    <col min="9" max="9" width="5.42578125" style="211" customWidth="1"/>
    <col min="10" max="10" width="8.5703125" style="191" customWidth="1"/>
    <col min="11" max="11" width="9" style="191" customWidth="1"/>
    <col min="12" max="12" width="14" style="191" customWidth="1"/>
    <col min="13" max="13" width="13.140625" style="191" customWidth="1"/>
    <col min="14" max="14" width="12.85546875" style="19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3">
      <c r="M1" s="626"/>
    </row>
    <row r="2" spans="1:13">
      <c r="B2" s="1303" t="str">
        <f>'Summary of Cost Components'!B2:D2</f>
        <v>SAN DIEGO GAS &amp; ELECTRIC COMPANY</v>
      </c>
      <c r="C2" s="1303"/>
      <c r="D2" s="1303"/>
      <c r="E2" s="1303"/>
      <c r="F2" s="1303"/>
      <c r="G2" s="1303"/>
      <c r="H2" s="1303"/>
      <c r="M2" s="626"/>
    </row>
    <row r="3" spans="1:13">
      <c r="B3" s="1303" t="str">
        <f>'Summary of Cost Components'!B3:D3</f>
        <v>CITIZENS' SHARE OF THE BORDER EAST LINE</v>
      </c>
      <c r="C3" s="1303"/>
      <c r="D3" s="1303"/>
      <c r="E3" s="1303"/>
      <c r="F3" s="1303"/>
      <c r="G3" s="1303"/>
      <c r="H3" s="1303"/>
      <c r="I3" s="471"/>
      <c r="J3" s="1175"/>
      <c r="M3" s="626"/>
    </row>
    <row r="4" spans="1:13">
      <c r="B4" s="1304" t="str">
        <f>"Derivation of Interest on the 12-Month True-Up Adjustment Applicable to Citizens Cycle "&amp;Automation!B2+5</f>
        <v>Derivation of Interest on the 12-Month True-Up Adjustment Applicable to Citizens Cycle 13</v>
      </c>
      <c r="C4" s="1304"/>
      <c r="D4" s="1304"/>
      <c r="E4" s="1304"/>
      <c r="F4" s="1304"/>
      <c r="G4" s="1304"/>
      <c r="H4" s="1304"/>
      <c r="I4" s="471"/>
      <c r="J4" s="1176"/>
      <c r="M4" s="626"/>
    </row>
    <row r="5" spans="1:13">
      <c r="B5" s="1305" t="str">
        <f>'D. Sec.4 - TU'!B5:N5</f>
        <v>True-Up Period - January 1, 2024 to December 31, 2024</v>
      </c>
      <c r="C5" s="1305"/>
      <c r="D5" s="1305"/>
      <c r="E5" s="1305"/>
      <c r="F5" s="1305"/>
      <c r="G5" s="1305"/>
      <c r="H5" s="1305"/>
      <c r="I5" s="471"/>
      <c r="J5" s="471"/>
      <c r="M5" s="626"/>
    </row>
    <row r="6" spans="1:13">
      <c r="B6" s="1301" t="s">
        <v>3</v>
      </c>
      <c r="C6" s="1301"/>
      <c r="D6" s="1301"/>
      <c r="E6" s="1301"/>
      <c r="F6" s="1301"/>
      <c r="G6" s="1301"/>
      <c r="H6" s="1301"/>
      <c r="I6" s="471"/>
      <c r="J6" s="471"/>
    </row>
    <row r="7" spans="1:13">
      <c r="A7" s="471"/>
      <c r="B7" s="471"/>
      <c r="C7" s="471"/>
      <c r="D7" s="471"/>
      <c r="E7" s="471"/>
      <c r="F7" s="471"/>
      <c r="G7" s="471"/>
      <c r="H7" s="471"/>
      <c r="I7" s="471"/>
      <c r="J7" s="471"/>
    </row>
    <row r="8" spans="1:13">
      <c r="A8" s="211" t="s">
        <v>4</v>
      </c>
      <c r="B8" s="471"/>
      <c r="C8" s="471"/>
      <c r="D8" s="471"/>
      <c r="E8" s="471"/>
      <c r="F8" s="471"/>
      <c r="G8" s="471"/>
      <c r="H8" s="471"/>
      <c r="I8" s="211" t="s">
        <v>4</v>
      </c>
      <c r="J8" s="471"/>
    </row>
    <row r="9" spans="1:13">
      <c r="A9" s="211" t="s">
        <v>5</v>
      </c>
      <c r="E9" s="618"/>
      <c r="I9" s="211" t="s">
        <v>5</v>
      </c>
      <c r="J9" s="409"/>
    </row>
    <row r="10" spans="1:13">
      <c r="A10" s="409"/>
      <c r="E10" s="618"/>
      <c r="I10" s="409"/>
      <c r="J10" s="409"/>
    </row>
    <row r="11" spans="1:13">
      <c r="A11" s="211">
        <v>1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211">
        <f>A11</f>
        <v>1</v>
      </c>
      <c r="J11" s="211"/>
    </row>
    <row r="12" spans="1:13">
      <c r="A12" s="211">
        <f>A11+1</f>
        <v>2</v>
      </c>
      <c r="B12" s="349" t="s">
        <v>112</v>
      </c>
      <c r="C12" s="574"/>
      <c r="D12" s="211"/>
      <c r="E12" s="211" t="str">
        <f>"See Footnote "&amp;A33</f>
        <v>See Footnote 2</v>
      </c>
      <c r="F12" s="211" t="str">
        <f>"See Footnote "&amp;A34</f>
        <v>See Footnote 3</v>
      </c>
      <c r="G12" s="341" t="str">
        <f>"See Footnote "&amp;A35</f>
        <v>See Footnote 4</v>
      </c>
      <c r="H12" s="341" t="str">
        <f>"= "&amp;F11&amp;" + "&amp;G11</f>
        <v>= Col. 4 + Col. 5</v>
      </c>
      <c r="I12" s="211">
        <f>I11+1</f>
        <v>2</v>
      </c>
      <c r="J12" s="211"/>
    </row>
    <row r="13" spans="1:13">
      <c r="A13" s="211">
        <f t="shared" ref="A13:A29" si="0">A12+1</f>
        <v>3</v>
      </c>
      <c r="C13" s="574"/>
      <c r="D13" s="574"/>
      <c r="E13" s="574"/>
      <c r="F13" s="471"/>
      <c r="G13" s="574"/>
      <c r="H13" s="574"/>
      <c r="I13" s="211">
        <f t="shared" ref="I13:I29" si="1">I12+1</f>
        <v>3</v>
      </c>
      <c r="J13" s="211"/>
    </row>
    <row r="14" spans="1:13">
      <c r="A14" s="211">
        <f t="shared" si="0"/>
        <v>4</v>
      </c>
      <c r="C14" s="471"/>
      <c r="D14" s="471" t="s">
        <v>153</v>
      </c>
      <c r="E14" s="471" t="s">
        <v>114</v>
      </c>
      <c r="F14" s="471" t="s">
        <v>154</v>
      </c>
      <c r="H14" s="471" t="s">
        <v>154</v>
      </c>
      <c r="I14" s="211">
        <f t="shared" si="1"/>
        <v>4</v>
      </c>
      <c r="J14" s="211"/>
    </row>
    <row r="15" spans="1:13">
      <c r="A15" s="211">
        <f t="shared" si="0"/>
        <v>5</v>
      </c>
      <c r="C15" s="471"/>
      <c r="D15" s="471" t="s">
        <v>155</v>
      </c>
      <c r="E15" s="471" t="s">
        <v>121</v>
      </c>
      <c r="F15" s="471" t="s">
        <v>156</v>
      </c>
      <c r="G15" s="471"/>
      <c r="H15" s="471" t="s">
        <v>156</v>
      </c>
      <c r="I15" s="211">
        <f t="shared" si="1"/>
        <v>5</v>
      </c>
      <c r="J15" s="211"/>
    </row>
    <row r="16" spans="1:13" ht="18.75">
      <c r="A16" s="211">
        <f t="shared" si="0"/>
        <v>6</v>
      </c>
      <c r="B16" s="575" t="s">
        <v>123</v>
      </c>
      <c r="C16" s="575" t="s">
        <v>124</v>
      </c>
      <c r="D16" s="426" t="s">
        <v>157</v>
      </c>
      <c r="E16" s="426" t="s">
        <v>83</v>
      </c>
      <c r="F16" s="426" t="s">
        <v>131</v>
      </c>
      <c r="G16" s="426" t="s">
        <v>121</v>
      </c>
      <c r="H16" s="426" t="s">
        <v>132</v>
      </c>
      <c r="I16" s="211">
        <f t="shared" si="1"/>
        <v>6</v>
      </c>
      <c r="J16" s="211"/>
    </row>
    <row r="17" spans="1:10">
      <c r="A17" s="211">
        <f t="shared" si="0"/>
        <v>7</v>
      </c>
      <c r="B17" s="18" t="s">
        <v>133</v>
      </c>
      <c r="C17" s="577" t="str">
        <f>RIGHT(B5,4)</f>
        <v>2024</v>
      </c>
      <c r="D17" s="1195">
        <f>'D1. Sec.4 - C13 Invoice Summary'!$C$19</f>
        <v>-107.93901655902985</v>
      </c>
      <c r="E17" s="630">
        <f>'D. Sec.4 - TU'!J19</f>
        <v>7.1999999999999998E-3</v>
      </c>
      <c r="F17" s="434">
        <f>D17</f>
        <v>-107.93901655902985</v>
      </c>
      <c r="G17" s="1218">
        <f>((E17))*F17</f>
        <v>-0.77716091922501496</v>
      </c>
      <c r="H17" s="434">
        <f t="shared" ref="H17:H28" si="2">F17+G17</f>
        <v>-108.71617747825486</v>
      </c>
      <c r="I17" s="211">
        <f t="shared" si="1"/>
        <v>7</v>
      </c>
      <c r="J17" s="211"/>
    </row>
    <row r="18" spans="1:10">
      <c r="A18" s="211">
        <f t="shared" si="0"/>
        <v>8</v>
      </c>
      <c r="B18" s="18" t="s">
        <v>134</v>
      </c>
      <c r="C18" s="577" t="str">
        <f>$C$17</f>
        <v>2024</v>
      </c>
      <c r="D18" s="584"/>
      <c r="E18" s="630">
        <f>'D. Sec.4 - TU'!J20</f>
        <v>6.7999999999999996E-3</v>
      </c>
      <c r="F18" s="621">
        <f>H17</f>
        <v>-108.71617747825486</v>
      </c>
      <c r="G18" s="1219">
        <f>((H17+F18)/2)*E18</f>
        <v>-0.73927000685213307</v>
      </c>
      <c r="H18" s="621">
        <f t="shared" si="2"/>
        <v>-109.455447485107</v>
      </c>
      <c r="I18" s="211">
        <f t="shared" si="1"/>
        <v>8</v>
      </c>
      <c r="J18" s="211"/>
    </row>
    <row r="19" spans="1:10">
      <c r="A19" s="211">
        <f t="shared" si="0"/>
        <v>9</v>
      </c>
      <c r="B19" s="18" t="s">
        <v>158</v>
      </c>
      <c r="C19" s="577" t="str">
        <f t="shared" ref="C19:C28" si="3">$C$17</f>
        <v>2024</v>
      </c>
      <c r="D19" s="584"/>
      <c r="E19" s="630">
        <f>'D. Sec.4 - TU'!J21</f>
        <v>7.1999999999999998E-3</v>
      </c>
      <c r="F19" s="621">
        <f>H18</f>
        <v>-109.455447485107</v>
      </c>
      <c r="G19" s="1219">
        <f t="shared" ref="G19:G20" si="4">((H18+F19)/2)*E19</f>
        <v>-0.78807922189277035</v>
      </c>
      <c r="H19" s="621">
        <f t="shared" si="2"/>
        <v>-110.24352670699977</v>
      </c>
      <c r="I19" s="211">
        <f t="shared" si="1"/>
        <v>9</v>
      </c>
      <c r="J19" s="211"/>
    </row>
    <row r="20" spans="1:10">
      <c r="A20" s="211">
        <f t="shared" si="0"/>
        <v>10</v>
      </c>
      <c r="B20" s="18" t="s">
        <v>159</v>
      </c>
      <c r="C20" s="577" t="str">
        <f t="shared" si="3"/>
        <v>2024</v>
      </c>
      <c r="D20" s="584"/>
      <c r="E20" s="630">
        <f>'D. Sec.4 - TU'!J22</f>
        <v>7.0000000000000001E-3</v>
      </c>
      <c r="F20" s="621">
        <f>H19</f>
        <v>-110.24352670699977</v>
      </c>
      <c r="G20" s="1219">
        <f t="shared" si="4"/>
        <v>-0.77170468694899841</v>
      </c>
      <c r="H20" s="621">
        <f t="shared" si="2"/>
        <v>-111.01523139394877</v>
      </c>
      <c r="I20" s="211">
        <f t="shared" si="1"/>
        <v>10</v>
      </c>
      <c r="J20" s="211"/>
    </row>
    <row r="21" spans="1:10">
      <c r="A21" s="211">
        <f t="shared" si="0"/>
        <v>11</v>
      </c>
      <c r="B21" s="18" t="s">
        <v>160</v>
      </c>
      <c r="C21" s="577" t="str">
        <f t="shared" si="3"/>
        <v>2024</v>
      </c>
      <c r="D21" s="584"/>
      <c r="E21" s="630">
        <f>'D. Sec.4 - TU'!J23</f>
        <v>7.1999999999999998E-3</v>
      </c>
      <c r="F21" s="621">
        <f>H20</f>
        <v>-111.01523139394877</v>
      </c>
      <c r="G21" s="1219">
        <f>((H20+F21)/2)*E21</f>
        <v>-0.79930966603643105</v>
      </c>
      <c r="H21" s="621">
        <f t="shared" si="2"/>
        <v>-111.8145410599852</v>
      </c>
      <c r="I21" s="211">
        <f t="shared" si="1"/>
        <v>11</v>
      </c>
      <c r="J21" s="211"/>
    </row>
    <row r="22" spans="1:10">
      <c r="A22" s="211">
        <f t="shared" si="0"/>
        <v>12</v>
      </c>
      <c r="B22" s="18" t="s">
        <v>161</v>
      </c>
      <c r="C22" s="577" t="str">
        <f t="shared" si="3"/>
        <v>2024</v>
      </c>
      <c r="E22" s="630">
        <f>'D. Sec.4 - TU'!J24</f>
        <v>7.0000000000000001E-3</v>
      </c>
      <c r="F22" s="621">
        <f t="shared" ref="F22:F28" si="5">H21</f>
        <v>-111.8145410599852</v>
      </c>
      <c r="G22" s="1219">
        <f>((H21+F22)/2)*E22</f>
        <v>-0.78270178741989649</v>
      </c>
      <c r="H22" s="621">
        <f t="shared" si="2"/>
        <v>-112.5972428474051</v>
      </c>
      <c r="I22" s="211">
        <f t="shared" si="1"/>
        <v>12</v>
      </c>
      <c r="J22" s="211"/>
    </row>
    <row r="23" spans="1:10">
      <c r="A23" s="211">
        <f t="shared" si="0"/>
        <v>13</v>
      </c>
      <c r="B23" s="18" t="s">
        <v>162</v>
      </c>
      <c r="C23" s="577" t="str">
        <f t="shared" si="3"/>
        <v>2024</v>
      </c>
      <c r="D23" s="584"/>
      <c r="E23" s="630">
        <f>'D. Sec.4 - TU'!J25</f>
        <v>7.1999999999999998E-3</v>
      </c>
      <c r="F23" s="621">
        <f t="shared" si="5"/>
        <v>-112.5972428474051</v>
      </c>
      <c r="G23" s="1219">
        <f t="shared" ref="G23:G28" si="6">((H22+F23)/2)*E23</f>
        <v>-0.81070014850131666</v>
      </c>
      <c r="H23" s="621">
        <f t="shared" si="2"/>
        <v>-113.40794299590641</v>
      </c>
      <c r="I23" s="211">
        <f t="shared" si="1"/>
        <v>13</v>
      </c>
      <c r="J23" s="211"/>
    </row>
    <row r="24" spans="1:10">
      <c r="A24" s="211">
        <f t="shared" si="0"/>
        <v>14</v>
      </c>
      <c r="B24" s="18" t="s">
        <v>163</v>
      </c>
      <c r="C24" s="577" t="str">
        <f t="shared" si="3"/>
        <v>2024</v>
      </c>
      <c r="D24" s="584"/>
      <c r="E24" s="630">
        <f>'D. Sec.4 - TU'!J26</f>
        <v>7.1999999999999998E-3</v>
      </c>
      <c r="F24" s="621">
        <f t="shared" si="5"/>
        <v>-113.40794299590641</v>
      </c>
      <c r="G24" s="1219">
        <f t="shared" si="6"/>
        <v>-0.81653718957052612</v>
      </c>
      <c r="H24" s="621">
        <f t="shared" si="2"/>
        <v>-114.22448018547693</v>
      </c>
      <c r="I24" s="211">
        <f t="shared" si="1"/>
        <v>14</v>
      </c>
      <c r="J24" s="211"/>
    </row>
    <row r="25" spans="1:10">
      <c r="A25" s="211">
        <f t="shared" si="0"/>
        <v>15</v>
      </c>
      <c r="B25" s="18" t="s">
        <v>164</v>
      </c>
      <c r="C25" s="577" t="str">
        <f t="shared" si="3"/>
        <v>2024</v>
      </c>
      <c r="D25" s="584"/>
      <c r="E25" s="630">
        <f>'D. Sec.4 - TU'!J27</f>
        <v>7.0000000000000001E-3</v>
      </c>
      <c r="F25" s="621">
        <f t="shared" si="5"/>
        <v>-114.22448018547693</v>
      </c>
      <c r="G25" s="1219">
        <f t="shared" si="6"/>
        <v>-0.79957136129833861</v>
      </c>
      <c r="H25" s="621">
        <f t="shared" si="2"/>
        <v>-115.02405154677527</v>
      </c>
      <c r="I25" s="211">
        <f t="shared" si="1"/>
        <v>15</v>
      </c>
      <c r="J25" s="211"/>
    </row>
    <row r="26" spans="1:10">
      <c r="A26" s="211">
        <f t="shared" si="0"/>
        <v>16</v>
      </c>
      <c r="B26" s="18" t="s">
        <v>165</v>
      </c>
      <c r="C26" s="577" t="str">
        <f t="shared" si="3"/>
        <v>2024</v>
      </c>
      <c r="D26" s="584"/>
      <c r="E26" s="630">
        <f>'D. Sec.4 - TU'!J28</f>
        <v>7.1999999999999998E-3</v>
      </c>
      <c r="F26" s="621">
        <f t="shared" si="5"/>
        <v>-115.02405154677527</v>
      </c>
      <c r="G26" s="1219">
        <f t="shared" si="6"/>
        <v>-0.8281731711367819</v>
      </c>
      <c r="H26" s="621">
        <f t="shared" si="2"/>
        <v>-115.85222471791205</v>
      </c>
      <c r="I26" s="211">
        <f t="shared" si="1"/>
        <v>16</v>
      </c>
      <c r="J26" s="211"/>
    </row>
    <row r="27" spans="1:10">
      <c r="A27" s="211">
        <f t="shared" si="0"/>
        <v>17</v>
      </c>
      <c r="B27" s="18" t="s">
        <v>166</v>
      </c>
      <c r="C27" s="577" t="str">
        <f t="shared" si="3"/>
        <v>2024</v>
      </c>
      <c r="D27" s="584"/>
      <c r="E27" s="630">
        <f>'D. Sec.4 - TU'!J29</f>
        <v>7.0000000000000001E-3</v>
      </c>
      <c r="F27" s="621">
        <f t="shared" si="5"/>
        <v>-115.85222471791205</v>
      </c>
      <c r="G27" s="1219">
        <f t="shared" si="6"/>
        <v>-0.81096557302538441</v>
      </c>
      <c r="H27" s="621">
        <f t="shared" si="2"/>
        <v>-116.66319029093744</v>
      </c>
      <c r="I27" s="211">
        <f t="shared" si="1"/>
        <v>17</v>
      </c>
      <c r="J27" s="211"/>
    </row>
    <row r="28" spans="1:10">
      <c r="A28" s="211">
        <f>A27+1</f>
        <v>18</v>
      </c>
      <c r="B28" s="833" t="s">
        <v>167</v>
      </c>
      <c r="C28" s="834" t="str">
        <f t="shared" si="3"/>
        <v>2024</v>
      </c>
      <c r="D28" s="838"/>
      <c r="E28" s="839">
        <f>'D. Sec.4 - TU'!J30</f>
        <v>7.1999999999999998E-3</v>
      </c>
      <c r="F28" s="1154">
        <f t="shared" si="5"/>
        <v>-116.66319029093744</v>
      </c>
      <c r="G28" s="1219">
        <f t="shared" si="6"/>
        <v>-0.83997497009474953</v>
      </c>
      <c r="H28" s="1154">
        <f t="shared" si="2"/>
        <v>-117.50316526103218</v>
      </c>
      <c r="I28" s="211">
        <f>I27+1</f>
        <v>18</v>
      </c>
      <c r="J28" s="211"/>
    </row>
    <row r="29" spans="1:10" ht="16.5" thickBot="1">
      <c r="A29" s="211">
        <f t="shared" si="0"/>
        <v>19</v>
      </c>
      <c r="B29" s="18"/>
      <c r="C29" s="577"/>
      <c r="D29" s="584"/>
      <c r="E29" s="418"/>
      <c r="F29" s="631"/>
      <c r="G29" s="1220">
        <f>SUM(G17:G28)</f>
        <v>-9.5641487020023401</v>
      </c>
      <c r="H29" s="631"/>
      <c r="I29" s="211">
        <f t="shared" si="1"/>
        <v>19</v>
      </c>
      <c r="J29" s="211"/>
    </row>
    <row r="30" spans="1:10" ht="16.5" thickTop="1">
      <c r="B30" s="18"/>
      <c r="C30" s="577"/>
      <c r="D30" s="584"/>
      <c r="E30" s="418"/>
      <c r="F30" s="631"/>
      <c r="G30" s="631"/>
      <c r="H30" s="631"/>
      <c r="J30" s="211"/>
    </row>
    <row r="31" spans="1:10">
      <c r="B31" s="18"/>
      <c r="C31" s="577"/>
      <c r="D31" s="632"/>
      <c r="E31" s="584"/>
      <c r="F31" s="618"/>
      <c r="G31" s="418"/>
      <c r="H31" s="584"/>
      <c r="I31" s="633"/>
      <c r="J31" s="584"/>
    </row>
    <row r="32" spans="1:10" ht="18.75">
      <c r="A32" s="583">
        <v>1</v>
      </c>
      <c r="B32" s="18" t="s">
        <v>168</v>
      </c>
      <c r="C32" s="577"/>
      <c r="D32" s="632"/>
      <c r="E32" s="584"/>
      <c r="F32" s="618"/>
      <c r="G32" s="418"/>
      <c r="H32" s="584"/>
      <c r="I32" s="633"/>
      <c r="J32" s="584"/>
    </row>
    <row r="33" spans="1:10" ht="18.75">
      <c r="A33" s="405">
        <v>2</v>
      </c>
      <c r="B33" s="18" t="s">
        <v>149</v>
      </c>
      <c r="C33" s="577"/>
      <c r="D33" s="632"/>
      <c r="E33" s="584"/>
      <c r="F33" s="618"/>
      <c r="G33" s="418"/>
      <c r="H33" s="584"/>
      <c r="I33" s="633"/>
      <c r="J33" s="584"/>
    </row>
    <row r="34" spans="1:10" ht="18.75">
      <c r="A34" s="583">
        <v>3</v>
      </c>
      <c r="B34" s="191" t="s">
        <v>169</v>
      </c>
      <c r="C34" s="577"/>
      <c r="D34" s="632"/>
      <c r="E34" s="584"/>
      <c r="F34" s="618"/>
      <c r="G34" s="418"/>
      <c r="H34" s="584"/>
      <c r="I34" s="633"/>
      <c r="J34" s="584"/>
    </row>
    <row r="35" spans="1:10" ht="18.75">
      <c r="A35" s="583">
        <v>4</v>
      </c>
      <c r="B35" s="191" t="s">
        <v>170</v>
      </c>
    </row>
    <row r="36" spans="1:10">
      <c r="B36" s="191" t="s">
        <v>171</v>
      </c>
    </row>
    <row r="37" spans="1:10" ht="18.75">
      <c r="A37" s="583"/>
      <c r="B37" s="124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(BP)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zoomScale="80" zoomScaleNormal="80" zoomScaleSheetLayoutView="70" workbookViewId="0">
      <selection activeCell="I40" sqref="I40"/>
    </sheetView>
  </sheetViews>
  <sheetFormatPr defaultColWidth="9.140625" defaultRowHeight="15.75"/>
  <cols>
    <col min="1" max="1" width="5.140625" style="124" customWidth="1"/>
    <col min="2" max="3" width="21.42578125" style="124" customWidth="1"/>
    <col min="4" max="9" width="22" style="124" customWidth="1"/>
    <col min="10" max="10" width="5.42578125" style="90" customWidth="1"/>
    <col min="11" max="11" width="14" style="124" customWidth="1"/>
    <col min="12" max="12" width="13.140625" style="124" customWidth="1"/>
    <col min="13" max="13" width="12.85546875" style="124" customWidth="1"/>
    <col min="14" max="14" width="13.5703125" style="124" customWidth="1"/>
    <col min="15" max="15" width="12.5703125" style="124" customWidth="1"/>
    <col min="16" max="16384" width="9.140625" style="124"/>
  </cols>
  <sheetData>
    <row r="1" spans="1:10">
      <c r="A1" s="1106"/>
      <c r="B1" s="199"/>
      <c r="C1" s="589"/>
      <c r="D1" s="590"/>
      <c r="E1" s="591"/>
      <c r="F1" s="592"/>
      <c r="G1" s="593"/>
      <c r="H1" s="594"/>
      <c r="I1" s="594"/>
      <c r="J1" s="595"/>
    </row>
    <row r="2" spans="1:10">
      <c r="A2" s="1106"/>
      <c r="B2" s="1307" t="str">
        <f>'Summary of Cost Components'!B2:D2</f>
        <v>SAN DIEGO GAS &amp; ELECTRIC COMPANY</v>
      </c>
      <c r="C2" s="1307"/>
      <c r="D2" s="1307"/>
      <c r="E2" s="1307"/>
      <c r="F2" s="1307"/>
      <c r="G2" s="1307"/>
      <c r="H2" s="1307"/>
      <c r="I2" s="1307"/>
      <c r="J2" s="595"/>
    </row>
    <row r="3" spans="1:10">
      <c r="B3" s="1303" t="str">
        <f>'Summary of Cost Components'!B3:D3</f>
        <v>CITIZENS' SHARE OF THE BORDER EAST LINE</v>
      </c>
      <c r="C3" s="1303"/>
      <c r="D3" s="1303"/>
      <c r="E3" s="1303"/>
      <c r="F3" s="1303"/>
      <c r="G3" s="1303"/>
      <c r="H3" s="1303"/>
      <c r="I3" s="1303"/>
      <c r="J3" s="1106"/>
    </row>
    <row r="4" spans="1:10">
      <c r="B4" s="1305" t="str">
        <f>'E. Sec.5 - Interest TU (BP)'!B4:H4</f>
        <v>Derivation of Interest on the 12-Month True-Up Adjustment Applicable to Citizens Cycle 13</v>
      </c>
      <c r="C4" s="1305"/>
      <c r="D4" s="1305"/>
      <c r="E4" s="1305"/>
      <c r="F4" s="1305"/>
      <c r="G4" s="1305"/>
      <c r="H4" s="1305"/>
      <c r="I4" s="1305"/>
      <c r="J4" s="1106"/>
    </row>
    <row r="5" spans="1:10">
      <c r="B5" s="1305" t="str">
        <f>'E. Sec.5 - Interest TU (BP)'!B5:H5</f>
        <v>True-Up Period - January 1, 2024 to December 31, 2024</v>
      </c>
      <c r="C5" s="1305"/>
      <c r="D5" s="1305"/>
      <c r="E5" s="1305"/>
      <c r="F5" s="1305"/>
      <c r="G5" s="1305"/>
      <c r="H5" s="1305"/>
      <c r="I5" s="1305"/>
      <c r="J5" s="1106"/>
    </row>
    <row r="6" spans="1:10">
      <c r="B6" s="1306" t="s">
        <v>3</v>
      </c>
      <c r="C6" s="1306"/>
      <c r="D6" s="1306"/>
      <c r="E6" s="1306"/>
      <c r="F6" s="1306"/>
      <c r="G6" s="1306"/>
      <c r="H6" s="1306"/>
      <c r="I6" s="1306"/>
      <c r="J6" s="1106"/>
    </row>
    <row r="7" spans="1:10">
      <c r="A7" s="1106"/>
      <c r="B7" s="1106"/>
      <c r="C7" s="1106"/>
      <c r="D7" s="1106"/>
      <c r="E7" s="1106"/>
      <c r="F7" s="1106"/>
      <c r="G7" s="1106"/>
      <c r="H7" s="1106"/>
      <c r="I7" s="1106"/>
      <c r="J7" s="1106"/>
    </row>
    <row r="8" spans="1:10">
      <c r="A8" s="211" t="s">
        <v>4</v>
      </c>
      <c r="B8" s="18"/>
      <c r="C8" s="577"/>
      <c r="D8" s="586"/>
      <c r="E8" s="584"/>
      <c r="F8" s="587"/>
      <c r="G8" s="585"/>
      <c r="H8" s="588"/>
      <c r="I8" s="588"/>
      <c r="J8" s="211" t="s">
        <v>4</v>
      </c>
    </row>
    <row r="9" spans="1:10">
      <c r="A9" s="211" t="s">
        <v>5</v>
      </c>
      <c r="B9" s="18"/>
      <c r="C9" s="577"/>
      <c r="D9" s="586"/>
      <c r="E9" s="584"/>
      <c r="F9" s="587"/>
      <c r="G9" s="585"/>
      <c r="H9" s="588"/>
      <c r="I9" s="588"/>
      <c r="J9" s="211" t="s">
        <v>5</v>
      </c>
    </row>
    <row r="10" spans="1:10">
      <c r="B10" s="18"/>
      <c r="C10" s="577"/>
      <c r="D10" s="586"/>
      <c r="E10" s="584"/>
      <c r="F10" s="587"/>
      <c r="G10" s="585"/>
      <c r="H10" s="588"/>
      <c r="I10" s="588"/>
    </row>
    <row r="11" spans="1:10">
      <c r="A11" s="90">
        <v>1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574" t="s">
        <v>107</v>
      </c>
      <c r="J11" s="90">
        <f>A11</f>
        <v>1</v>
      </c>
    </row>
    <row r="12" spans="1:10">
      <c r="A12" s="90">
        <f>A11+1</f>
        <v>2</v>
      </c>
      <c r="C12" s="574"/>
      <c r="D12" s="211"/>
      <c r="E12" s="211" t="str">
        <f>"See Footnote "&amp;A34</f>
        <v>See Footnote 2</v>
      </c>
      <c r="F12" s="211" t="str">
        <f>"See Footnote "&amp;A36</f>
        <v>See Footnote 3</v>
      </c>
      <c r="G12" s="341" t="str">
        <f>"= - ("&amp;F11&amp;" + "&amp;H11&amp;")"</f>
        <v>= - (Col. 4 + Col. 6)</v>
      </c>
      <c r="H12" s="341" t="str">
        <f>"= "&amp;D11&amp;" x "&amp;E11</f>
        <v>= Col. 2 x Col. 3</v>
      </c>
      <c r="I12" s="341" t="str">
        <f>"= "&amp;E11&amp;" - "&amp;G11</f>
        <v>= Col. 3 - Col. 5</v>
      </c>
      <c r="J12" s="90">
        <f>J11+1</f>
        <v>2</v>
      </c>
    </row>
    <row r="13" spans="1:10">
      <c r="A13" s="90">
        <f t="shared" ref="A13:A30" si="0">A12+1</f>
        <v>3</v>
      </c>
      <c r="C13" s="574"/>
      <c r="D13" s="211"/>
      <c r="E13" s="211"/>
      <c r="F13" s="1106"/>
      <c r="I13" s="574"/>
      <c r="J13" s="90">
        <f t="shared" ref="J13:J30" si="1">J12+1</f>
        <v>3</v>
      </c>
    </row>
    <row r="14" spans="1:10">
      <c r="A14" s="90">
        <f t="shared" si="0"/>
        <v>4</v>
      </c>
      <c r="B14" s="18"/>
      <c r="C14" s="577"/>
      <c r="D14" s="471" t="s">
        <v>114</v>
      </c>
      <c r="E14" s="595" t="s">
        <v>123</v>
      </c>
      <c r="F14" s="1106"/>
      <c r="I14" s="596" t="s">
        <v>123</v>
      </c>
      <c r="J14" s="90">
        <f t="shared" si="1"/>
        <v>4</v>
      </c>
    </row>
    <row r="15" spans="1:10">
      <c r="A15" s="90">
        <f t="shared" si="0"/>
        <v>5</v>
      </c>
      <c r="C15" s="577"/>
      <c r="D15" s="471" t="s">
        <v>121</v>
      </c>
      <c r="E15" s="595" t="s">
        <v>172</v>
      </c>
      <c r="F15" s="1106"/>
      <c r="I15" s="596" t="s">
        <v>173</v>
      </c>
      <c r="J15" s="90">
        <f t="shared" si="1"/>
        <v>5</v>
      </c>
    </row>
    <row r="16" spans="1:10" ht="18.75">
      <c r="A16" s="90">
        <f t="shared" si="0"/>
        <v>6</v>
      </c>
      <c r="B16" s="575" t="s">
        <v>864</v>
      </c>
      <c r="C16" s="575" t="s">
        <v>124</v>
      </c>
      <c r="D16" s="426" t="s">
        <v>174</v>
      </c>
      <c r="E16" s="597" t="s">
        <v>175</v>
      </c>
      <c r="F16" s="576" t="s">
        <v>176</v>
      </c>
      <c r="G16" s="426" t="s">
        <v>177</v>
      </c>
      <c r="H16" s="426" t="s">
        <v>121</v>
      </c>
      <c r="I16" s="574" t="s">
        <v>175</v>
      </c>
      <c r="J16" s="90">
        <f t="shared" si="1"/>
        <v>6</v>
      </c>
    </row>
    <row r="17" spans="1:13">
      <c r="A17" s="90">
        <f t="shared" si="0"/>
        <v>7</v>
      </c>
      <c r="B17" s="18" t="s">
        <v>133</v>
      </c>
      <c r="C17" s="598">
        <f>Automation!B3+1</f>
        <v>2025</v>
      </c>
      <c r="D17" s="599">
        <f>AVERAGE('D. Sec.4 - TU'!J19:J30)</f>
        <v>7.0999999999999995E-3</v>
      </c>
      <c r="E17" s="600">
        <f>'E. Sec.5 - Interest TU (BP)'!H28</f>
        <v>-117.50316526103218</v>
      </c>
      <c r="F17" s="572">
        <f>-E17/(((1+D17)^12-1)/(D17*(1+D17)^12))</f>
        <v>10.249688736047887</v>
      </c>
      <c r="G17" s="572">
        <f>-(F17+H17)</f>
        <v>-9.4154162626945581</v>
      </c>
      <c r="H17" s="572">
        <f>E17*D17</f>
        <v>-0.83427247335332844</v>
      </c>
      <c r="I17" s="601">
        <f>E17-G17</f>
        <v>-108.08774899833762</v>
      </c>
      <c r="J17" s="90">
        <f t="shared" si="1"/>
        <v>7</v>
      </c>
    </row>
    <row r="18" spans="1:13">
      <c r="A18" s="90">
        <f t="shared" si="0"/>
        <v>8</v>
      </c>
      <c r="B18" s="18" t="s">
        <v>134</v>
      </c>
      <c r="C18" s="598">
        <f>$C$17</f>
        <v>2025</v>
      </c>
      <c r="D18" s="585">
        <f t="shared" ref="D18:D28" si="2">$D$17</f>
        <v>7.0999999999999995E-3</v>
      </c>
      <c r="E18" s="579">
        <f>I17</f>
        <v>-108.08774899833762</v>
      </c>
      <c r="F18" s="573">
        <f>-E17/(((1+D17)^12-1)/(D17*(1+D17)^12))</f>
        <v>10.249688736047887</v>
      </c>
      <c r="G18" s="573">
        <f>-(F18+H18)</f>
        <v>-9.4822657181596899</v>
      </c>
      <c r="H18" s="573">
        <f t="shared" ref="H18:H28" si="3">E18*D18</f>
        <v>-0.767423017888197</v>
      </c>
      <c r="I18" s="602">
        <f>E18-G18</f>
        <v>-98.605483280177921</v>
      </c>
      <c r="J18" s="90">
        <f t="shared" si="1"/>
        <v>8</v>
      </c>
      <c r="L18" s="603"/>
    </row>
    <row r="19" spans="1:13">
      <c r="A19" s="90">
        <f t="shared" si="0"/>
        <v>9</v>
      </c>
      <c r="B19" s="18" t="s">
        <v>158</v>
      </c>
      <c r="C19" s="598">
        <f t="shared" ref="C19:C23" si="4">$C$17</f>
        <v>2025</v>
      </c>
      <c r="D19" s="585">
        <f t="shared" si="2"/>
        <v>7.0999999999999995E-3</v>
      </c>
      <c r="E19" s="579">
        <f t="shared" ref="E19:E28" si="5">I18</f>
        <v>-98.605483280177921</v>
      </c>
      <c r="F19" s="573">
        <f>-E17/(((1+D17)^12-1)/(D17*(1+D17)^12))</f>
        <v>10.249688736047887</v>
      </c>
      <c r="G19" s="573">
        <f>-(F19+H19)</f>
        <v>-9.5495898047586234</v>
      </c>
      <c r="H19" s="573">
        <f t="shared" si="3"/>
        <v>-0.70009893128926315</v>
      </c>
      <c r="I19" s="602">
        <f>E19-G19</f>
        <v>-89.055893475419296</v>
      </c>
      <c r="J19" s="90">
        <f t="shared" si="1"/>
        <v>9</v>
      </c>
    </row>
    <row r="20" spans="1:13">
      <c r="A20" s="90">
        <f t="shared" si="0"/>
        <v>10</v>
      </c>
      <c r="B20" s="18" t="s">
        <v>159</v>
      </c>
      <c r="C20" s="598">
        <f t="shared" si="4"/>
        <v>2025</v>
      </c>
      <c r="D20" s="585">
        <f t="shared" si="2"/>
        <v>7.0999999999999995E-3</v>
      </c>
      <c r="E20" s="579">
        <f t="shared" si="5"/>
        <v>-89.055893475419296</v>
      </c>
      <c r="F20" s="573">
        <f>-E17/(((1+D17)^12-1)/(D17*(1+D17)^12))</f>
        <v>10.249688736047887</v>
      </c>
      <c r="G20" s="573">
        <f t="shared" ref="G20:G28" si="6">-(F20+H20)</f>
        <v>-9.6173918923724102</v>
      </c>
      <c r="H20" s="573">
        <f t="shared" si="3"/>
        <v>-0.632296843675477</v>
      </c>
      <c r="I20" s="602">
        <f>E20-G20</f>
        <v>-79.438501583046886</v>
      </c>
      <c r="J20" s="90">
        <f t="shared" si="1"/>
        <v>10</v>
      </c>
    </row>
    <row r="21" spans="1:13">
      <c r="A21" s="90">
        <f t="shared" si="0"/>
        <v>11</v>
      </c>
      <c r="B21" s="18" t="s">
        <v>160</v>
      </c>
      <c r="C21" s="598">
        <f t="shared" si="4"/>
        <v>2025</v>
      </c>
      <c r="D21" s="585">
        <f t="shared" si="2"/>
        <v>7.0999999999999995E-3</v>
      </c>
      <c r="E21" s="579">
        <f t="shared" si="5"/>
        <v>-79.438501583046886</v>
      </c>
      <c r="F21" s="573">
        <f>-E17/(((1+D17)^12-1)/(D17*(1+D17)^12))</f>
        <v>10.249688736047887</v>
      </c>
      <c r="G21" s="573">
        <f t="shared" si="6"/>
        <v>-9.6856753748082536</v>
      </c>
      <c r="H21" s="573">
        <f t="shared" si="3"/>
        <v>-0.56401336123963286</v>
      </c>
      <c r="I21" s="602">
        <f t="shared" ref="I21:I28" si="7">E21-G21</f>
        <v>-69.752826208238631</v>
      </c>
      <c r="J21" s="90">
        <f t="shared" si="1"/>
        <v>11</v>
      </c>
    </row>
    <row r="22" spans="1:13">
      <c r="A22" s="90">
        <f t="shared" si="0"/>
        <v>12</v>
      </c>
      <c r="B22" s="18" t="s">
        <v>161</v>
      </c>
      <c r="C22" s="598">
        <f t="shared" si="4"/>
        <v>2025</v>
      </c>
      <c r="D22" s="585">
        <f t="shared" si="2"/>
        <v>7.0999999999999995E-3</v>
      </c>
      <c r="E22" s="579">
        <f t="shared" si="5"/>
        <v>-69.752826208238631</v>
      </c>
      <c r="F22" s="573">
        <f>-E17/(((1+D17)^12-1)/(D17*(1+D17)^12))</f>
        <v>10.249688736047887</v>
      </c>
      <c r="G22" s="573">
        <f t="shared" si="6"/>
        <v>-9.7544436699693922</v>
      </c>
      <c r="H22" s="573">
        <f t="shared" si="3"/>
        <v>-0.49524506607849422</v>
      </c>
      <c r="I22" s="602">
        <f t="shared" si="7"/>
        <v>-59.99838253826924</v>
      </c>
      <c r="J22" s="90">
        <f t="shared" si="1"/>
        <v>12</v>
      </c>
    </row>
    <row r="23" spans="1:13">
      <c r="A23" s="90">
        <f t="shared" si="0"/>
        <v>13</v>
      </c>
      <c r="B23" s="18" t="s">
        <v>162</v>
      </c>
      <c r="C23" s="598">
        <f t="shared" si="4"/>
        <v>2025</v>
      </c>
      <c r="D23" s="585">
        <f t="shared" si="2"/>
        <v>7.0999999999999995E-3</v>
      </c>
      <c r="E23" s="579">
        <f t="shared" si="5"/>
        <v>-59.99838253826924</v>
      </c>
      <c r="F23" s="573">
        <f>-E17/(((1+D17)^12-1)/(D17*(1+D17)^12))</f>
        <v>10.249688736047887</v>
      </c>
      <c r="G23" s="573">
        <f t="shared" si="6"/>
        <v>-9.8237002200261756</v>
      </c>
      <c r="H23" s="573">
        <f t="shared" si="3"/>
        <v>-0.42598851602171156</v>
      </c>
      <c r="I23" s="602">
        <f t="shared" si="7"/>
        <v>-50.174682318243065</v>
      </c>
      <c r="J23" s="90">
        <f t="shared" si="1"/>
        <v>13</v>
      </c>
    </row>
    <row r="24" spans="1:13">
      <c r="A24" s="90">
        <f t="shared" si="0"/>
        <v>14</v>
      </c>
      <c r="B24" s="18" t="s">
        <v>163</v>
      </c>
      <c r="C24" s="598">
        <f>Automation!B3+1</f>
        <v>2025</v>
      </c>
      <c r="D24" s="585">
        <f t="shared" si="2"/>
        <v>7.0999999999999995E-3</v>
      </c>
      <c r="E24" s="579">
        <f t="shared" si="5"/>
        <v>-50.174682318243065</v>
      </c>
      <c r="F24" s="573">
        <f>-E17/(((1+D17)^12-1)/(D17*(1+D17)^12))</f>
        <v>10.249688736047887</v>
      </c>
      <c r="G24" s="573">
        <f t="shared" si="6"/>
        <v>-9.8934484915883605</v>
      </c>
      <c r="H24" s="573">
        <f t="shared" si="3"/>
        <v>-0.35624024445952573</v>
      </c>
      <c r="I24" s="602">
        <f t="shared" si="7"/>
        <v>-40.281233826654706</v>
      </c>
      <c r="J24" s="90">
        <f t="shared" si="1"/>
        <v>14</v>
      </c>
    </row>
    <row r="25" spans="1:13">
      <c r="A25" s="90">
        <f t="shared" si="0"/>
        <v>15</v>
      </c>
      <c r="B25" s="18" t="s">
        <v>164</v>
      </c>
      <c r="C25" s="598">
        <f>$C$24</f>
        <v>2025</v>
      </c>
      <c r="D25" s="585">
        <f t="shared" si="2"/>
        <v>7.0999999999999995E-3</v>
      </c>
      <c r="E25" s="579">
        <f t="shared" si="5"/>
        <v>-40.281233826654706</v>
      </c>
      <c r="F25" s="573">
        <f>-E17/(((1+D17)^12-1)/(D17*(1+D17)^12))</f>
        <v>10.249688736047887</v>
      </c>
      <c r="G25" s="573">
        <f t="shared" si="6"/>
        <v>-9.9636919758786373</v>
      </c>
      <c r="H25" s="573">
        <f t="shared" si="3"/>
        <v>-0.28599676016924841</v>
      </c>
      <c r="I25" s="602">
        <f t="shared" si="7"/>
        <v>-30.317541850776067</v>
      </c>
      <c r="J25" s="90">
        <f t="shared" si="1"/>
        <v>15</v>
      </c>
      <c r="K25" s="604"/>
    </row>
    <row r="26" spans="1:13">
      <c r="A26" s="90">
        <f t="shared" si="0"/>
        <v>16</v>
      </c>
      <c r="B26" s="18" t="s">
        <v>165</v>
      </c>
      <c r="C26" s="598">
        <f>$C$24</f>
        <v>2025</v>
      </c>
      <c r="D26" s="585">
        <f t="shared" si="2"/>
        <v>7.0999999999999995E-3</v>
      </c>
      <c r="E26" s="579">
        <f t="shared" si="5"/>
        <v>-30.317541850776067</v>
      </c>
      <c r="F26" s="573">
        <f>-E17/(((1+D17)^12-1)/(D17*(1+D17)^12))</f>
        <v>10.249688736047887</v>
      </c>
      <c r="G26" s="573">
        <f t="shared" si="6"/>
        <v>-10.034434188907376</v>
      </c>
      <c r="H26" s="573">
        <f t="shared" si="3"/>
        <v>-0.21525454714051007</v>
      </c>
      <c r="I26" s="602">
        <f t="shared" si="7"/>
        <v>-20.283107661868691</v>
      </c>
      <c r="J26" s="90">
        <f t="shared" si="1"/>
        <v>16</v>
      </c>
      <c r="K26" s="604"/>
      <c r="M26" s="581"/>
    </row>
    <row r="27" spans="1:13">
      <c r="A27" s="90">
        <f t="shared" si="0"/>
        <v>17</v>
      </c>
      <c r="B27" s="18" t="s">
        <v>166</v>
      </c>
      <c r="C27" s="598">
        <f>$C$24</f>
        <v>2025</v>
      </c>
      <c r="D27" s="585">
        <f t="shared" si="2"/>
        <v>7.0999999999999995E-3</v>
      </c>
      <c r="E27" s="579">
        <f t="shared" si="5"/>
        <v>-20.283107661868691</v>
      </c>
      <c r="F27" s="573">
        <f>-E17/(((1+D17)^12-1)/(D17*(1+D17)^12))</f>
        <v>10.249688736047887</v>
      </c>
      <c r="G27" s="573">
        <f t="shared" si="6"/>
        <v>-10.105678671648619</v>
      </c>
      <c r="H27" s="573">
        <f t="shared" si="3"/>
        <v>-0.1440100643992677</v>
      </c>
      <c r="I27" s="602">
        <f t="shared" si="7"/>
        <v>-10.177428990220072</v>
      </c>
      <c r="J27" s="90">
        <f t="shared" si="1"/>
        <v>17</v>
      </c>
      <c r="K27" s="604"/>
    </row>
    <row r="28" spans="1:13">
      <c r="A28" s="90">
        <f t="shared" si="0"/>
        <v>18</v>
      </c>
      <c r="B28" s="833" t="s">
        <v>167</v>
      </c>
      <c r="C28" s="840">
        <f>$C$24</f>
        <v>2025</v>
      </c>
      <c r="D28" s="841">
        <f t="shared" si="2"/>
        <v>7.0999999999999995E-3</v>
      </c>
      <c r="E28" s="842">
        <f t="shared" si="5"/>
        <v>-10.177428990220072</v>
      </c>
      <c r="F28" s="843">
        <f>-E17/(((1+D17)^12-1)/(D17*(1+D17)^12))</f>
        <v>10.249688736047887</v>
      </c>
      <c r="G28" s="843">
        <f t="shared" si="6"/>
        <v>-10.177428990217324</v>
      </c>
      <c r="H28" s="843">
        <f t="shared" si="3"/>
        <v>-7.2259745830562508E-2</v>
      </c>
      <c r="I28" s="844">
        <f t="shared" si="7"/>
        <v>-2.7480240305521875E-12</v>
      </c>
      <c r="J28" s="90">
        <f t="shared" si="1"/>
        <v>18</v>
      </c>
      <c r="K28" s="1169"/>
      <c r="L28" s="1162"/>
    </row>
    <row r="29" spans="1:13" ht="18.75">
      <c r="A29" s="90">
        <f t="shared" si="0"/>
        <v>19</v>
      </c>
      <c r="B29" s="199" t="s">
        <v>859</v>
      </c>
      <c r="C29" s="598"/>
      <c r="D29" s="585"/>
      <c r="E29" s="768"/>
      <c r="F29" s="769"/>
      <c r="G29" s="769"/>
      <c r="H29" s="769">
        <f>'E. Sec.5 - Interest TU (BP)'!G29</f>
        <v>-9.5641487020023401</v>
      </c>
      <c r="I29" s="770"/>
      <c r="J29" s="90">
        <f t="shared" si="1"/>
        <v>19</v>
      </c>
      <c r="K29" s="1170"/>
    </row>
    <row r="30" spans="1:13" ht="16.5" thickBot="1">
      <c r="A30" s="90">
        <f t="shared" si="0"/>
        <v>20</v>
      </c>
      <c r="B30" s="199" t="s">
        <v>178</v>
      </c>
      <c r="C30" s="577"/>
      <c r="D30" s="586"/>
      <c r="E30" s="605"/>
      <c r="F30" s="582"/>
      <c r="H30" s="1172">
        <f>SUM(H17:H29)</f>
        <v>-15.057248273547559</v>
      </c>
      <c r="I30" s="582"/>
      <c r="J30" s="90">
        <f t="shared" si="1"/>
        <v>20</v>
      </c>
      <c r="K30" s="1169"/>
    </row>
    <row r="31" spans="1:13" ht="16.5" thickTop="1">
      <c r="A31" s="90"/>
    </row>
    <row r="32" spans="1:13">
      <c r="A32" s="90"/>
    </row>
    <row r="33" spans="1:2" ht="18.75">
      <c r="A33" s="583">
        <v>1</v>
      </c>
      <c r="B33" s="124" t="s">
        <v>179</v>
      </c>
    </row>
    <row r="34" spans="1:2" ht="18.75">
      <c r="A34" s="583">
        <v>2</v>
      </c>
      <c r="B34" s="124" t="s">
        <v>180</v>
      </c>
    </row>
    <row r="35" spans="1:2" ht="18.75">
      <c r="A35" s="583"/>
      <c r="B35" s="124" t="s">
        <v>181</v>
      </c>
    </row>
    <row r="36" spans="1:2" ht="18.75">
      <c r="A36" s="583">
        <v>3</v>
      </c>
      <c r="B36" s="124" t="s">
        <v>865</v>
      </c>
    </row>
    <row r="37" spans="1:2">
      <c r="B37" s="124" t="s">
        <v>182</v>
      </c>
    </row>
    <row r="38" spans="1:2" ht="18.75">
      <c r="A38" s="583">
        <v>4</v>
      </c>
      <c r="B38" s="124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.75">
      <c r="A39" s="583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(CY)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http://purl.org/dc/terms/"/>
    <ds:schemaRef ds:uri="http://purl.org/dc/dcmitype/"/>
    <ds:schemaRef ds:uri="2402e27d-cbdc-4559-a5c7-f7461c001834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5725FF3-74DF-4939-B07E-52075EADD5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C13 Invoice Summary</vt:lpstr>
      <vt:lpstr>D2. Sec.4 C12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C13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2025-07-10T20:41:16Z</cp:lastPrinted>
  <dcterms:created xsi:type="dcterms:W3CDTF">2016-08-29T13:22:03Z</dcterms:created>
  <dcterms:modified xsi:type="dcterms:W3CDTF">2025-09-26T07:03:40Z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