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4/Citizens/Sunrise/Cycle 13 Annual Filing/Sunrise Cycle 13 Oct Filing/"/>
    </mc:Choice>
  </mc:AlternateContent>
  <xr:revisionPtr revIDLastSave="1" documentId="8_{AFD386E3-5C54-4515-A517-992781B835AC}" xr6:coauthVersionLast="47" xr6:coauthVersionMax="47" xr10:uidLastSave="{3AC50634-B530-4507-8DAD-2C28B933FAA7}"/>
  <bookViews>
    <workbookView xWindow="-110" yWindow="-110" windowWidth="19420" windowHeight="10420" xr2:uid="{A1AA674E-836A-4CFE-B14F-C8BAAC5651C2}"/>
  </bookViews>
  <sheets>
    <sheet name="Pg1 App X C12 Cost Adj" sheetId="1" r:id="rId1"/>
    <sheet name="Pg2 App X C12 Comparison" sheetId="16" r:id="rId2"/>
    <sheet name="Pg3 Rev App. X C12" sheetId="15" r:id="rId3"/>
    <sheet name="Pg4 As Filed-Orig. App X C12" sheetId="34" r:id="rId4"/>
    <sheet name="Pg5 Rev Sec.2-Non-Direct Exp" sheetId="13" r:id="rId5"/>
    <sheet name="Pg6 As Filed Sec 2-Non Dir Exp" sheetId="27" r:id="rId6"/>
    <sheet name="Pg7 Rev Sec 4-TU" sheetId="12" r:id="rId7"/>
    <sheet name="Pg7.1 As Filed Sec 4-TU" sheetId="45" r:id="rId8"/>
    <sheet name="Pg8 Rev Stmt AF" sheetId="51" r:id="rId9"/>
    <sheet name="Pg8.1 As Filed Stmt AF" sheetId="49" r:id="rId10"/>
    <sheet name="Pg8.2 Rev AF-2" sheetId="50" r:id="rId11"/>
    <sheet name="Pg8.3 As Filed AF-2" sheetId="47" r:id="rId12"/>
    <sheet name="Pg9 Rev Stmt AH" sheetId="19" r:id="rId13"/>
    <sheet name="Pg9.1 As Filed-Stmt AH" sheetId="32" r:id="rId14"/>
    <sheet name="Pg9.2 Rev AH-2" sheetId="53" r:id="rId15"/>
    <sheet name="Pg9.3 As Filed AH-2" sheetId="52" r:id="rId16"/>
    <sheet name="Pg9.4 Rev AH-3" sheetId="18" r:id="rId17"/>
    <sheet name="Pg9.5 As Filed-AH-3" sheetId="31" r:id="rId18"/>
    <sheet name="Pg10 Rev Stmt AL" sheetId="17" r:id="rId19"/>
    <sheet name="Pg10.1 As Filed-Smt AL" sheetId="33" r:id="rId20"/>
    <sheet name="Pg11 Rev Stmt AV" sheetId="11" r:id="rId21"/>
    <sheet name="Pg12 As Filed Stmt AV" sheetId="46" r:id="rId22"/>
    <sheet name="Pg13 Rev AV-4" sheetId="21" r:id="rId23"/>
    <sheet name="Pg14 As Filed AV-4" sheetId="30" r:id="rId24"/>
    <sheet name="Pg15 App X C12 Int Calc" sheetId="26" r:id="rId25"/>
  </sheets>
  <definedNames>
    <definedName name="_xlnm.Print_Area" localSheetId="19">'Pg10.1 As Filed-Smt AL'!$A$2:$J$33</definedName>
    <definedName name="_xlnm.Print_Area" localSheetId="21">'Pg12 As Filed Stmt AV'!$A$2:$J$156</definedName>
    <definedName name="_xlnm.Print_Area" localSheetId="23">'Pg14 As Filed AV-4'!$A$2:$F$85</definedName>
    <definedName name="_xlnm.Print_Area" localSheetId="3">'Pg4 As Filed-Orig. App X C12'!$A$2:$E$54</definedName>
    <definedName name="_xlnm.Print_Area" localSheetId="5">'Pg6 As Filed Sec 2-Non Dir Exp'!$A$2:$H$98</definedName>
    <definedName name="_xlnm.Print_Area" localSheetId="7">'Pg7.1 As Filed Sec 4-TU'!$A$2:$N$42</definedName>
    <definedName name="_xlnm.Print_Area" localSheetId="9">'Pg8.1 As Filed Stmt AF'!$A$2:$L$30</definedName>
    <definedName name="_xlnm.Print_Area" localSheetId="11">'Pg8.3 As Filed AF-2'!$A$2:$K$46</definedName>
    <definedName name="_xlnm.Print_Area" localSheetId="13">'Pg9.1 As Filed-Stmt AH'!$A$2:$H$72</definedName>
    <definedName name="_xlnm.Print_Area" localSheetId="15">'Pg9.3 As Filed AH-2'!$A$2:$H$75</definedName>
    <definedName name="_xlnm.Print_Area" localSheetId="16">'Pg9.4 Rev AH-3'!$A$1:$L$78</definedName>
    <definedName name="_xlnm.Print_Area" localSheetId="17">'Pg9.5 As Filed-AH-3'!$A$2:$H$68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5" l="1"/>
  <c r="C17" i="15"/>
  <c r="L62" i="18"/>
  <c r="L63" i="18" s="1"/>
  <c r="A62" i="18"/>
  <c r="A63" i="18" s="1"/>
  <c r="B107" i="13"/>
  <c r="B106" i="13"/>
  <c r="B105" i="13"/>
  <c r="E53" i="16" l="1"/>
  <c r="E41" i="16"/>
  <c r="E28" i="16"/>
  <c r="E24" i="16"/>
  <c r="E18" i="16"/>
  <c r="H21" i="18"/>
  <c r="G27" i="53" l="1"/>
  <c r="G43" i="53" s="1"/>
  <c r="G47" i="53" s="1"/>
  <c r="E27" i="19" s="1"/>
  <c r="E28" i="19" s="1"/>
  <c r="K77" i="53"/>
  <c r="K78" i="53" s="1"/>
  <c r="A77" i="53"/>
  <c r="A78" i="53" s="1"/>
  <c r="H15" i="18"/>
  <c r="I45" i="53"/>
  <c r="G41" i="53"/>
  <c r="E66" i="52"/>
  <c r="E39" i="52" s="1"/>
  <c r="F39" i="52" s="1"/>
  <c r="E65" i="52"/>
  <c r="E38" i="52" s="1"/>
  <c r="F38" i="52" s="1"/>
  <c r="E64" i="52"/>
  <c r="E63" i="52"/>
  <c r="E25" i="52" s="1"/>
  <c r="F25" i="52" s="1"/>
  <c r="E56" i="52"/>
  <c r="E23" i="52" s="1"/>
  <c r="F23" i="52" s="1"/>
  <c r="E55" i="52"/>
  <c r="F46" i="52"/>
  <c r="D42" i="52"/>
  <c r="D44" i="52" s="1"/>
  <c r="D48" i="52" s="1"/>
  <c r="F40" i="52"/>
  <c r="E37" i="52"/>
  <c r="F36" i="52"/>
  <c r="F35" i="52"/>
  <c r="F34" i="52"/>
  <c r="F33" i="52"/>
  <c r="F32" i="52"/>
  <c r="F31" i="52"/>
  <c r="D28" i="52"/>
  <c r="F26" i="52"/>
  <c r="E24" i="52"/>
  <c r="F24" i="52" s="1"/>
  <c r="F22" i="52"/>
  <c r="E20" i="52"/>
  <c r="F20" i="52" s="1"/>
  <c r="F19" i="52"/>
  <c r="F18" i="52"/>
  <c r="F17" i="52"/>
  <c r="E16" i="52"/>
  <c r="F16" i="52" s="1"/>
  <c r="F15" i="52"/>
  <c r="F14" i="52"/>
  <c r="F13" i="52"/>
  <c r="A13" i="52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H12" i="52"/>
  <c r="H13" i="52" s="1"/>
  <c r="H14" i="52" s="1"/>
  <c r="H15" i="52" s="1"/>
  <c r="H16" i="52" s="1"/>
  <c r="H17" i="52" s="1"/>
  <c r="H18" i="52" s="1"/>
  <c r="H19" i="52" s="1"/>
  <c r="H20" i="52" s="1"/>
  <c r="H21" i="52" s="1"/>
  <c r="H22" i="52" s="1"/>
  <c r="H23" i="52" s="1"/>
  <c r="H24" i="52" s="1"/>
  <c r="H25" i="52" s="1"/>
  <c r="H26" i="52" s="1"/>
  <c r="H27" i="52" s="1"/>
  <c r="H28" i="52" s="1"/>
  <c r="H29" i="52" s="1"/>
  <c r="H30" i="52" s="1"/>
  <c r="H31" i="52" s="1"/>
  <c r="H32" i="52" s="1"/>
  <c r="H33" i="52" s="1"/>
  <c r="H34" i="52" s="1"/>
  <c r="H35" i="52" s="1"/>
  <c r="H36" i="52" s="1"/>
  <c r="H37" i="52" s="1"/>
  <c r="H38" i="52" s="1"/>
  <c r="H39" i="52" s="1"/>
  <c r="H40" i="52" s="1"/>
  <c r="H41" i="52" s="1"/>
  <c r="H42" i="52" s="1"/>
  <c r="H43" i="52" s="1"/>
  <c r="H44" i="52" s="1"/>
  <c r="H45" i="52" s="1"/>
  <c r="H46" i="52" s="1"/>
  <c r="H47" i="52" s="1"/>
  <c r="H48" i="52" s="1"/>
  <c r="H49" i="52" s="1"/>
  <c r="H50" i="52" s="1"/>
  <c r="H51" i="52" s="1"/>
  <c r="H52" i="52" s="1"/>
  <c r="H53" i="52" s="1"/>
  <c r="H54" i="52" s="1"/>
  <c r="H55" i="52" s="1"/>
  <c r="H56" i="52" s="1"/>
  <c r="H57" i="52" s="1"/>
  <c r="H58" i="52" s="1"/>
  <c r="H59" i="52" s="1"/>
  <c r="H60" i="52" s="1"/>
  <c r="H61" i="52" s="1"/>
  <c r="H62" i="52" s="1"/>
  <c r="H63" i="52" s="1"/>
  <c r="H64" i="52" s="1"/>
  <c r="H65" i="52" s="1"/>
  <c r="H66" i="52" s="1"/>
  <c r="H67" i="52" s="1"/>
  <c r="H68" i="52" s="1"/>
  <c r="H69" i="52" s="1"/>
  <c r="H70" i="52" s="1"/>
  <c r="H71" i="52" s="1"/>
  <c r="H72" i="52" s="1"/>
  <c r="H73" i="52" s="1"/>
  <c r="H74" i="52" s="1"/>
  <c r="H75" i="52" s="1"/>
  <c r="F12" i="52"/>
  <c r="E12" i="52"/>
  <c r="E66" i="53"/>
  <c r="E38" i="53" s="1"/>
  <c r="F38" i="53" s="1"/>
  <c r="I38" i="53" s="1"/>
  <c r="E65" i="53"/>
  <c r="E37" i="53" s="1"/>
  <c r="E64" i="53"/>
  <c r="E36" i="53" s="1"/>
  <c r="F36" i="53" s="1"/>
  <c r="I36" i="53" s="1"/>
  <c r="E62" i="53"/>
  <c r="E24" i="53" s="1"/>
  <c r="F24" i="53" s="1"/>
  <c r="E55" i="53"/>
  <c r="E22" i="53" s="1"/>
  <c r="F22" i="53" s="1"/>
  <c r="I22" i="53" s="1"/>
  <c r="E54" i="53"/>
  <c r="F45" i="53"/>
  <c r="D41" i="53"/>
  <c r="F39" i="53"/>
  <c r="I39" i="53" s="1"/>
  <c r="F35" i="53"/>
  <c r="I35" i="53" s="1"/>
  <c r="F34" i="53"/>
  <c r="I34" i="53" s="1"/>
  <c r="F33" i="53"/>
  <c r="I33" i="53" s="1"/>
  <c r="F32" i="53"/>
  <c r="I32" i="53" s="1"/>
  <c r="F31" i="53"/>
  <c r="I31" i="53" s="1"/>
  <c r="F30" i="53"/>
  <c r="I30" i="53" s="1"/>
  <c r="D27" i="53"/>
  <c r="F25" i="53"/>
  <c r="I25" i="53" s="1"/>
  <c r="E23" i="53"/>
  <c r="F23" i="53" s="1"/>
  <c r="I23" i="53" s="1"/>
  <c r="F21" i="53"/>
  <c r="I21" i="53" s="1"/>
  <c r="E19" i="53"/>
  <c r="F19" i="53" s="1"/>
  <c r="I19" i="53" s="1"/>
  <c r="F18" i="53"/>
  <c r="I18" i="53" s="1"/>
  <c r="F17" i="53"/>
  <c r="I17" i="53" s="1"/>
  <c r="F16" i="53"/>
  <c r="I16" i="53" s="1"/>
  <c r="E15" i="53"/>
  <c r="F14" i="53"/>
  <c r="I14" i="53" s="1"/>
  <c r="F13" i="53"/>
  <c r="I13" i="53" s="1"/>
  <c r="F12" i="53"/>
  <c r="I12" i="53" s="1"/>
  <c r="A12" i="53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K11" i="53"/>
  <c r="K12" i="53" s="1"/>
  <c r="K13" i="53" s="1"/>
  <c r="K14" i="53" s="1"/>
  <c r="K15" i="53" s="1"/>
  <c r="K16" i="53" s="1"/>
  <c r="K17" i="53" s="1"/>
  <c r="K18" i="53" s="1"/>
  <c r="K19" i="53" s="1"/>
  <c r="K20" i="53" s="1"/>
  <c r="K21" i="53" s="1"/>
  <c r="K22" i="53" s="1"/>
  <c r="K23" i="53" s="1"/>
  <c r="K24" i="53" s="1"/>
  <c r="K25" i="53" s="1"/>
  <c r="K26" i="53" s="1"/>
  <c r="K27" i="53" s="1"/>
  <c r="K28" i="53" s="1"/>
  <c r="K29" i="53" s="1"/>
  <c r="K30" i="53" s="1"/>
  <c r="K31" i="53" s="1"/>
  <c r="K32" i="53" s="1"/>
  <c r="K33" i="53" s="1"/>
  <c r="K34" i="53" s="1"/>
  <c r="K35" i="53" s="1"/>
  <c r="K36" i="53" s="1"/>
  <c r="K37" i="53" s="1"/>
  <c r="K38" i="53" s="1"/>
  <c r="K39" i="53" s="1"/>
  <c r="K40" i="53" s="1"/>
  <c r="K41" i="53" s="1"/>
  <c r="K42" i="53" s="1"/>
  <c r="K43" i="53" s="1"/>
  <c r="K44" i="53" s="1"/>
  <c r="K45" i="53" s="1"/>
  <c r="K46" i="53" s="1"/>
  <c r="K47" i="53" s="1"/>
  <c r="K48" i="53" s="1"/>
  <c r="K49" i="53" s="1"/>
  <c r="K50" i="53" s="1"/>
  <c r="K51" i="53" s="1"/>
  <c r="K52" i="53" s="1"/>
  <c r="K53" i="53" s="1"/>
  <c r="K54" i="53" s="1"/>
  <c r="K55" i="53" s="1"/>
  <c r="K56" i="53" s="1"/>
  <c r="K57" i="53" s="1"/>
  <c r="K58" i="53" s="1"/>
  <c r="K59" i="53" s="1"/>
  <c r="K60" i="53" s="1"/>
  <c r="K61" i="53" s="1"/>
  <c r="K62" i="53" s="1"/>
  <c r="K63" i="53" s="1"/>
  <c r="K64" i="53" s="1"/>
  <c r="E11" i="53"/>
  <c r="F11" i="53" s="1"/>
  <c r="I11" i="53" s="1"/>
  <c r="E55" i="13" l="1"/>
  <c r="E22" i="17"/>
  <c r="I24" i="53"/>
  <c r="K65" i="53"/>
  <c r="K66" i="53" s="1"/>
  <c r="K67" i="53" s="1"/>
  <c r="K68" i="53" s="1"/>
  <c r="K69" i="53" s="1"/>
  <c r="K70" i="53" s="1"/>
  <c r="K71" i="53" s="1"/>
  <c r="K72" i="53" s="1"/>
  <c r="K73" i="53" s="1"/>
  <c r="K74" i="53" s="1"/>
  <c r="K75" i="53" s="1"/>
  <c r="K76" i="53" s="1"/>
  <c r="D43" i="53"/>
  <c r="D47" i="53" s="1"/>
  <c r="E68" i="53"/>
  <c r="E68" i="52"/>
  <c r="G28" i="52"/>
  <c r="A27" i="52"/>
  <c r="A28" i="52" s="1"/>
  <c r="E42" i="52"/>
  <c r="E21" i="52"/>
  <c r="F21" i="52" s="1"/>
  <c r="F28" i="52" s="1"/>
  <c r="F37" i="52"/>
  <c r="F42" i="52" s="1"/>
  <c r="F37" i="53"/>
  <c r="E41" i="53"/>
  <c r="J27" i="53"/>
  <c r="A26" i="53"/>
  <c r="A27" i="53" s="1"/>
  <c r="F15" i="53"/>
  <c r="I15" i="53" s="1"/>
  <c r="E20" i="53"/>
  <c r="F20" i="53" s="1"/>
  <c r="I20" i="53" s="1"/>
  <c r="I27" i="53" l="1"/>
  <c r="F41" i="53"/>
  <c r="I37" i="53"/>
  <c r="I41" i="53" s="1"/>
  <c r="F27" i="53"/>
  <c r="F44" i="52"/>
  <c r="F48" i="52" s="1"/>
  <c r="E28" i="52"/>
  <c r="E44" i="52" s="1"/>
  <c r="E48" i="52" s="1"/>
  <c r="A29" i="52"/>
  <c r="A30" i="52" s="1"/>
  <c r="A31" i="52" s="1"/>
  <c r="A28" i="53"/>
  <c r="A29" i="53" s="1"/>
  <c r="A30" i="53" s="1"/>
  <c r="E27" i="53"/>
  <c r="E43" i="53" s="1"/>
  <c r="E47" i="53" s="1"/>
  <c r="I43" i="53" l="1"/>
  <c r="I47" i="53" s="1"/>
  <c r="F43" i="53"/>
  <c r="F47" i="53" s="1"/>
  <c r="A32" i="52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31" i="53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G42" i="52" l="1"/>
  <c r="A43" i="52"/>
  <c r="A44" i="52" s="1"/>
  <c r="G44" i="52"/>
  <c r="J41" i="53"/>
  <c r="A42" i="53"/>
  <c r="A43" i="53" s="1"/>
  <c r="J43" i="53"/>
  <c r="A45" i="52" l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A66" i="52" s="1"/>
  <c r="A67" i="52" s="1"/>
  <c r="A68" i="52" s="1"/>
  <c r="A69" i="52" s="1"/>
  <c r="A70" i="52" s="1"/>
  <c r="A71" i="52" s="1"/>
  <c r="A72" i="52" s="1"/>
  <c r="A73" i="52" s="1"/>
  <c r="A74" i="52" s="1"/>
  <c r="A75" i="52" s="1"/>
  <c r="A44" i="53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56" i="53" s="1"/>
  <c r="A57" i="53" s="1"/>
  <c r="A58" i="53" s="1"/>
  <c r="A59" i="53" s="1"/>
  <c r="A60" i="53" s="1"/>
  <c r="A61" i="53" s="1"/>
  <c r="A62" i="53" s="1"/>
  <c r="A65" i="53" l="1"/>
  <c r="A66" i="53" s="1"/>
  <c r="A67" i="53" s="1"/>
  <c r="A68" i="53" s="1"/>
  <c r="A69" i="53" s="1"/>
  <c r="A70" i="53" s="1"/>
  <c r="A71" i="53" s="1"/>
  <c r="A72" i="53" s="1"/>
  <c r="A73" i="53" s="1"/>
  <c r="A74" i="53" s="1"/>
  <c r="A75" i="53" s="1"/>
  <c r="A76" i="53" s="1"/>
  <c r="A63" i="53"/>
  <c r="A64" i="53" s="1"/>
  <c r="G48" i="52"/>
  <c r="J47" i="53"/>
  <c r="G15" i="51" l="1"/>
  <c r="G13" i="51"/>
  <c r="G11" i="51"/>
  <c r="I45" i="50" l="1"/>
  <c r="G42" i="50"/>
  <c r="E42" i="50"/>
  <c r="C42" i="50"/>
  <c r="I41" i="50"/>
  <c r="I40" i="50"/>
  <c r="I42" i="50" s="1"/>
  <c r="G37" i="50"/>
  <c r="E37" i="50"/>
  <c r="C37" i="50"/>
  <c r="I36" i="50"/>
  <c r="I35" i="50"/>
  <c r="I37" i="50" s="1"/>
  <c r="G32" i="50"/>
  <c r="E32" i="50"/>
  <c r="C32" i="50"/>
  <c r="I31" i="50"/>
  <c r="I32" i="50" s="1"/>
  <c r="I30" i="50"/>
  <c r="G26" i="50"/>
  <c r="E26" i="50"/>
  <c r="C26" i="50"/>
  <c r="I25" i="50"/>
  <c r="I24" i="50"/>
  <c r="I26" i="50" s="1"/>
  <c r="G21" i="50"/>
  <c r="E21" i="50"/>
  <c r="C21" i="50"/>
  <c r="I20" i="50"/>
  <c r="I21" i="50" s="1"/>
  <c r="I19" i="50"/>
  <c r="G16" i="50"/>
  <c r="E16" i="50"/>
  <c r="C16" i="50"/>
  <c r="I15" i="50"/>
  <c r="I14" i="50"/>
  <c r="I13" i="50"/>
  <c r="A13" i="50"/>
  <c r="L12" i="50"/>
  <c r="L13" i="50" s="1"/>
  <c r="L14" i="50" s="1"/>
  <c r="L15" i="50" s="1"/>
  <c r="L16" i="50" s="1"/>
  <c r="L17" i="50" s="1"/>
  <c r="L18" i="50" s="1"/>
  <c r="L19" i="50" s="1"/>
  <c r="L20" i="50" s="1"/>
  <c r="L21" i="50" s="1"/>
  <c r="L22" i="50" s="1"/>
  <c r="L23" i="50" s="1"/>
  <c r="L24" i="50" s="1"/>
  <c r="L25" i="50" s="1"/>
  <c r="L26" i="50" s="1"/>
  <c r="L27" i="50" s="1"/>
  <c r="L28" i="50" s="1"/>
  <c r="L29" i="50" s="1"/>
  <c r="L30" i="50" s="1"/>
  <c r="L31" i="50" s="1"/>
  <c r="L32" i="50" s="1"/>
  <c r="L33" i="50" s="1"/>
  <c r="L34" i="50" s="1"/>
  <c r="L35" i="50" s="1"/>
  <c r="L36" i="50" s="1"/>
  <c r="L37" i="50" s="1"/>
  <c r="L38" i="50" s="1"/>
  <c r="L39" i="50" s="1"/>
  <c r="L40" i="50" s="1"/>
  <c r="L41" i="50" s="1"/>
  <c r="L42" i="50" s="1"/>
  <c r="L43" i="50" s="1"/>
  <c r="L44" i="50" s="1"/>
  <c r="L45" i="50" s="1"/>
  <c r="I23" i="51"/>
  <c r="I21" i="51"/>
  <c r="I19" i="51"/>
  <c r="I15" i="51"/>
  <c r="I13" i="51"/>
  <c r="A12" i="51"/>
  <c r="A13" i="51" s="1"/>
  <c r="A14" i="51" s="1"/>
  <c r="A15" i="51" s="1"/>
  <c r="L11" i="51"/>
  <c r="L12" i="51" s="1"/>
  <c r="L13" i="51" s="1"/>
  <c r="L14" i="51" s="1"/>
  <c r="L15" i="51" s="1"/>
  <c r="L16" i="51" s="1"/>
  <c r="L17" i="51" s="1"/>
  <c r="L18" i="51" s="1"/>
  <c r="L19" i="51" s="1"/>
  <c r="L20" i="51" s="1"/>
  <c r="L21" i="51" s="1"/>
  <c r="L22" i="51" s="1"/>
  <c r="L23" i="51" s="1"/>
  <c r="G17" i="51"/>
  <c r="E17" i="51"/>
  <c r="I46" i="47"/>
  <c r="G43" i="47"/>
  <c r="E43" i="47"/>
  <c r="C43" i="47"/>
  <c r="I42" i="47"/>
  <c r="I41" i="47"/>
  <c r="I43" i="47" s="1"/>
  <c r="G38" i="47"/>
  <c r="E38" i="47"/>
  <c r="C38" i="47"/>
  <c r="I37" i="47"/>
  <c r="I36" i="47"/>
  <c r="I38" i="47" s="1"/>
  <c r="G33" i="47"/>
  <c r="E33" i="47"/>
  <c r="C33" i="47"/>
  <c r="I32" i="47"/>
  <c r="I31" i="47"/>
  <c r="I33" i="47" s="1"/>
  <c r="G27" i="47"/>
  <c r="E27" i="47"/>
  <c r="C27" i="47"/>
  <c r="I26" i="47"/>
  <c r="I25" i="47"/>
  <c r="G22" i="47"/>
  <c r="E22" i="47"/>
  <c r="C22" i="47"/>
  <c r="I21" i="47"/>
  <c r="I20" i="47"/>
  <c r="G17" i="47"/>
  <c r="E17" i="47"/>
  <c r="C17" i="47"/>
  <c r="I16" i="47"/>
  <c r="I15" i="47"/>
  <c r="I17" i="47" s="1"/>
  <c r="K14" i="47"/>
  <c r="K15" i="47" s="1"/>
  <c r="K16" i="47" s="1"/>
  <c r="K17" i="47" s="1"/>
  <c r="K18" i="47" s="1"/>
  <c r="K19" i="47" s="1"/>
  <c r="K20" i="47" s="1"/>
  <c r="K21" i="47" s="1"/>
  <c r="K22" i="47" s="1"/>
  <c r="K23" i="47" s="1"/>
  <c r="K24" i="47" s="1"/>
  <c r="K25" i="47" s="1"/>
  <c r="K26" i="47" s="1"/>
  <c r="K27" i="47" s="1"/>
  <c r="K28" i="47" s="1"/>
  <c r="K29" i="47" s="1"/>
  <c r="K30" i="47" s="1"/>
  <c r="K31" i="47" s="1"/>
  <c r="K32" i="47" s="1"/>
  <c r="K33" i="47" s="1"/>
  <c r="K34" i="47" s="1"/>
  <c r="K35" i="47" s="1"/>
  <c r="K36" i="47" s="1"/>
  <c r="K37" i="47" s="1"/>
  <c r="K38" i="47" s="1"/>
  <c r="K39" i="47" s="1"/>
  <c r="K40" i="47" s="1"/>
  <c r="K41" i="47" s="1"/>
  <c r="K42" i="47" s="1"/>
  <c r="K43" i="47" s="1"/>
  <c r="K44" i="47" s="1"/>
  <c r="K45" i="47" s="1"/>
  <c r="K46" i="47" s="1"/>
  <c r="I14" i="47"/>
  <c r="A14" i="47"/>
  <c r="K13" i="47"/>
  <c r="I24" i="49"/>
  <c r="I22" i="49"/>
  <c r="I20" i="49"/>
  <c r="I16" i="49"/>
  <c r="L13" i="49"/>
  <c r="L14" i="49" s="1"/>
  <c r="L15" i="49" s="1"/>
  <c r="L16" i="49" s="1"/>
  <c r="L17" i="49" s="1"/>
  <c r="L18" i="49" s="1"/>
  <c r="L19" i="49" s="1"/>
  <c r="L20" i="49" s="1"/>
  <c r="L21" i="49" s="1"/>
  <c r="L22" i="49" s="1"/>
  <c r="L23" i="49" s="1"/>
  <c r="L24" i="49" s="1"/>
  <c r="A13" i="49"/>
  <c r="A14" i="49" s="1"/>
  <c r="A15" i="49" s="1"/>
  <c r="A16" i="49" s="1"/>
  <c r="L12" i="49"/>
  <c r="G18" i="49"/>
  <c r="I16" i="50" l="1"/>
  <c r="I11" i="51"/>
  <c r="I17" i="51" s="1"/>
  <c r="C24" i="21" s="1"/>
  <c r="I27" i="47"/>
  <c r="I22" i="47"/>
  <c r="I14" i="49"/>
  <c r="I18" i="49" s="1"/>
  <c r="I12" i="49"/>
  <c r="A14" i="50"/>
  <c r="A15" i="50" s="1"/>
  <c r="A16" i="50" s="1"/>
  <c r="A17" i="50" s="1"/>
  <c r="A18" i="50" s="1"/>
  <c r="A19" i="50" s="1"/>
  <c r="A16" i="51"/>
  <c r="A17" i="51" s="1"/>
  <c r="A18" i="51" s="1"/>
  <c r="A19" i="51" s="1"/>
  <c r="A20" i="51" s="1"/>
  <c r="A21" i="51" s="1"/>
  <c r="A22" i="51" s="1"/>
  <c r="A23" i="51" s="1"/>
  <c r="J17" i="47"/>
  <c r="A15" i="47"/>
  <c r="A16" i="47" s="1"/>
  <c r="A17" i="47" s="1"/>
  <c r="A18" i="47" s="1"/>
  <c r="A19" i="47" s="1"/>
  <c r="A20" i="47" s="1"/>
  <c r="A17" i="49"/>
  <c r="A18" i="49" s="1"/>
  <c r="A19" i="49" s="1"/>
  <c r="A20" i="49" s="1"/>
  <c r="A21" i="49" s="1"/>
  <c r="A22" i="49" s="1"/>
  <c r="A23" i="49" s="1"/>
  <c r="A24" i="49" s="1"/>
  <c r="K18" i="49"/>
  <c r="E18" i="49"/>
  <c r="A20" i="50" l="1"/>
  <c r="A21" i="50" s="1"/>
  <c r="A22" i="50" s="1"/>
  <c r="A23" i="50" s="1"/>
  <c r="A24" i="50" s="1"/>
  <c r="K16" i="50"/>
  <c r="A21" i="47"/>
  <c r="A22" i="47" s="1"/>
  <c r="A23" i="47" s="1"/>
  <c r="A24" i="47" s="1"/>
  <c r="A25" i="47" s="1"/>
  <c r="K21" i="50" l="1"/>
  <c r="A25" i="50"/>
  <c r="A26" i="50" s="1"/>
  <c r="A27" i="50" s="1"/>
  <c r="A28" i="50" s="1"/>
  <c r="A29" i="50" s="1"/>
  <c r="A30" i="50" s="1"/>
  <c r="J22" i="47"/>
  <c r="A26" i="47"/>
  <c r="A27" i="47" s="1"/>
  <c r="A28" i="47" s="1"/>
  <c r="A29" i="47" s="1"/>
  <c r="A30" i="47" s="1"/>
  <c r="A31" i="47" s="1"/>
  <c r="J27" i="47"/>
  <c r="K26" i="50" l="1"/>
  <c r="K32" i="50"/>
  <c r="A31" i="50"/>
  <c r="A32" i="50" s="1"/>
  <c r="A33" i="50" s="1"/>
  <c r="A34" i="50" s="1"/>
  <c r="A35" i="50" s="1"/>
  <c r="A32" i="47"/>
  <c r="A33" i="47" s="1"/>
  <c r="A34" i="47" s="1"/>
  <c r="A35" i="47" s="1"/>
  <c r="A36" i="47" s="1"/>
  <c r="A36" i="50" l="1"/>
  <c r="A37" i="50" s="1"/>
  <c r="A38" i="50" s="1"/>
  <c r="A39" i="50" s="1"/>
  <c r="A40" i="50" s="1"/>
  <c r="J38" i="47"/>
  <c r="A37" i="47"/>
  <c r="A38" i="47" s="1"/>
  <c r="A39" i="47" s="1"/>
  <c r="A40" i="47" s="1"/>
  <c r="A41" i="47" s="1"/>
  <c r="J33" i="47"/>
  <c r="K37" i="50" l="1"/>
  <c r="A41" i="50"/>
  <c r="A42" i="50" s="1"/>
  <c r="A43" i="50" s="1"/>
  <c r="A44" i="50" s="1"/>
  <c r="A45" i="50" s="1"/>
  <c r="J43" i="47"/>
  <c r="A42" i="47"/>
  <c r="A43" i="47" s="1"/>
  <c r="A44" i="47" s="1"/>
  <c r="A45" i="47" s="1"/>
  <c r="A46" i="47" s="1"/>
  <c r="K42" i="50" l="1"/>
  <c r="C26" i="34" l="1"/>
  <c r="C73" i="30" l="1"/>
  <c r="E42" i="19" l="1"/>
  <c r="E41" i="19"/>
  <c r="E40" i="19"/>
  <c r="E39" i="19"/>
  <c r="E37" i="19"/>
  <c r="E36" i="19"/>
  <c r="E35" i="19"/>
  <c r="E34" i="19"/>
  <c r="E33" i="19"/>
  <c r="E31" i="19"/>
  <c r="H35" i="18" l="1"/>
  <c r="H39" i="18"/>
  <c r="H14" i="18" s="1"/>
  <c r="H12" i="18" l="1"/>
  <c r="H57" i="18"/>
  <c r="E25" i="18" l="1"/>
  <c r="F25" i="18" s="1"/>
  <c r="J25" i="18" s="1"/>
  <c r="E22" i="18"/>
  <c r="E19" i="18"/>
  <c r="E18" i="18"/>
  <c r="E13" i="18"/>
  <c r="F13" i="18" s="1"/>
  <c r="J13" i="18" s="1"/>
  <c r="E54" i="18"/>
  <c r="E23" i="18" s="1"/>
  <c r="F23" i="18" s="1"/>
  <c r="J23" i="18" s="1"/>
  <c r="E50" i="18"/>
  <c r="E20" i="18" s="1"/>
  <c r="F20" i="18" s="1"/>
  <c r="J20" i="18" s="1"/>
  <c r="E43" i="18"/>
  <c r="E17" i="18" s="1"/>
  <c r="F17" i="18" s="1"/>
  <c r="J17" i="18" s="1"/>
  <c r="E40" i="18"/>
  <c r="E14" i="18" s="1"/>
  <c r="E36" i="18"/>
  <c r="E25" i="31"/>
  <c r="E23" i="31"/>
  <c r="F23" i="31" s="1"/>
  <c r="E22" i="31"/>
  <c r="E20" i="31"/>
  <c r="F20" i="31" s="1"/>
  <c r="E19" i="31"/>
  <c r="E18" i="31"/>
  <c r="E17" i="31"/>
  <c r="E15" i="31"/>
  <c r="E14" i="31"/>
  <c r="H62" i="31"/>
  <c r="H63" i="31" s="1"/>
  <c r="H64" i="31" s="1"/>
  <c r="H65" i="31" s="1"/>
  <c r="H66" i="31" s="1"/>
  <c r="H67" i="31" s="1"/>
  <c r="H68" i="31" s="1"/>
  <c r="A62" i="31"/>
  <c r="A63" i="31" s="1"/>
  <c r="A64" i="31" s="1"/>
  <c r="A65" i="31" s="1"/>
  <c r="A66" i="31" s="1"/>
  <c r="A67" i="31" s="1"/>
  <c r="A68" i="31" s="1"/>
  <c r="E51" i="31"/>
  <c r="E48" i="31"/>
  <c r="E41" i="31"/>
  <c r="E39" i="31"/>
  <c r="E36" i="31"/>
  <c r="E13" i="31" s="1"/>
  <c r="F13" i="31" s="1"/>
  <c r="C77" i="21"/>
  <c r="E51" i="16"/>
  <c r="C51" i="16"/>
  <c r="E26" i="16"/>
  <c r="G26" i="16" s="1"/>
  <c r="E22" i="16"/>
  <c r="E20" i="16"/>
  <c r="E16" i="16"/>
  <c r="E14" i="16"/>
  <c r="E12" i="16"/>
  <c r="C26" i="16"/>
  <c r="C22" i="16"/>
  <c r="C16" i="16"/>
  <c r="C12" i="16"/>
  <c r="G149" i="11"/>
  <c r="B149" i="11"/>
  <c r="B148" i="11"/>
  <c r="G147" i="11"/>
  <c r="G146" i="11"/>
  <c r="B146" i="11"/>
  <c r="B145" i="11"/>
  <c r="G137" i="11"/>
  <c r="B137" i="11"/>
  <c r="B134" i="11"/>
  <c r="B133" i="11"/>
  <c r="J129" i="1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J158" i="11" s="1"/>
  <c r="A129" i="1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B122" i="1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B74" i="11"/>
  <c r="D63" i="11"/>
  <c r="C63" i="11"/>
  <c r="G62" i="11"/>
  <c r="G61" i="11"/>
  <c r="G65" i="11" s="1"/>
  <c r="G133" i="11" s="1"/>
  <c r="G60" i="11"/>
  <c r="G63" i="11" s="1"/>
  <c r="G156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47" i="46"/>
  <c r="B147" i="46"/>
  <c r="B146" i="46"/>
  <c r="G145" i="46"/>
  <c r="G144" i="46"/>
  <c r="B144" i="46"/>
  <c r="B143" i="46"/>
  <c r="G135" i="46"/>
  <c r="B135" i="46"/>
  <c r="B132" i="46"/>
  <c r="B131" i="46"/>
  <c r="J127" i="46"/>
  <c r="J128" i="46" s="1"/>
  <c r="J129" i="46" s="1"/>
  <c r="J130" i="46" s="1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A127" i="46"/>
  <c r="A128" i="46" s="1"/>
  <c r="A129" i="46" s="1"/>
  <c r="A130" i="46" s="1"/>
  <c r="A131" i="46" s="1"/>
  <c r="G100" i="46"/>
  <c r="G99" i="46"/>
  <c r="J84" i="46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J83" i="46"/>
  <c r="J82" i="46"/>
  <c r="A82" i="46"/>
  <c r="A83" i="46" s="1"/>
  <c r="A84" i="46" s="1"/>
  <c r="A85" i="46" s="1"/>
  <c r="A86" i="46" s="1"/>
  <c r="D64" i="46"/>
  <c r="C64" i="46"/>
  <c r="G63" i="46"/>
  <c r="G62" i="46"/>
  <c r="G61" i="46"/>
  <c r="G64" i="46" s="1"/>
  <c r="G154" i="46" s="1"/>
  <c r="E50" i="46"/>
  <c r="C49" i="46"/>
  <c r="G40" i="46"/>
  <c r="C50" i="46" s="1"/>
  <c r="G33" i="46"/>
  <c r="E49" i="46" s="1"/>
  <c r="G26" i="46"/>
  <c r="G18" i="46"/>
  <c r="J14" i="46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J13" i="46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B120" i="46"/>
  <c r="F89" i="21"/>
  <c r="C89" i="21"/>
  <c r="F88" i="21"/>
  <c r="F87" i="21"/>
  <c r="F86" i="21"/>
  <c r="F85" i="21"/>
  <c r="F84" i="21"/>
  <c r="F83" i="21"/>
  <c r="C83" i="21"/>
  <c r="C15" i="21" s="1"/>
  <c r="F82" i="21"/>
  <c r="C82" i="21"/>
  <c r="C14" i="21" s="1"/>
  <c r="F81" i="21"/>
  <c r="C81" i="21"/>
  <c r="C13" i="21" s="1"/>
  <c r="F80" i="21"/>
  <c r="C80" i="21"/>
  <c r="C12" i="21" s="1"/>
  <c r="F79" i="21"/>
  <c r="F78" i="21"/>
  <c r="F77" i="21"/>
  <c r="F76" i="21"/>
  <c r="F75" i="21"/>
  <c r="F74" i="21"/>
  <c r="F73" i="21"/>
  <c r="F72" i="21"/>
  <c r="F71" i="21"/>
  <c r="F70" i="21"/>
  <c r="C70" i="21"/>
  <c r="F69" i="21"/>
  <c r="F68" i="21"/>
  <c r="F67" i="21"/>
  <c r="F66" i="21"/>
  <c r="F65" i="21"/>
  <c r="B58" i="21"/>
  <c r="B57" i="21"/>
  <c r="B56" i="21"/>
  <c r="C46" i="21"/>
  <c r="C41" i="21"/>
  <c r="C26" i="21"/>
  <c r="C21" i="2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F85" i="30"/>
  <c r="C85" i="30"/>
  <c r="F84" i="30"/>
  <c r="F83" i="30"/>
  <c r="F82" i="30"/>
  <c r="F81" i="30"/>
  <c r="F80" i="30"/>
  <c r="F79" i="30"/>
  <c r="F78" i="30"/>
  <c r="F77" i="30"/>
  <c r="C77" i="30"/>
  <c r="C14" i="30" s="1"/>
  <c r="F76" i="30"/>
  <c r="F75" i="30"/>
  <c r="F74" i="30"/>
  <c r="F73" i="30"/>
  <c r="F72" i="30"/>
  <c r="F71" i="30"/>
  <c r="C78" i="30"/>
  <c r="C15" i="30" s="1"/>
  <c r="F70" i="30"/>
  <c r="F69" i="30"/>
  <c r="F68" i="30"/>
  <c r="F67" i="30"/>
  <c r="F66" i="30"/>
  <c r="F65" i="30"/>
  <c r="C79" i="30"/>
  <c r="C16" i="30" s="1"/>
  <c r="F64" i="30"/>
  <c r="F63" i="30"/>
  <c r="F62" i="30"/>
  <c r="C66" i="30"/>
  <c r="F61" i="30"/>
  <c r="B54" i="30"/>
  <c r="B53" i="30"/>
  <c r="B52" i="30"/>
  <c r="C47" i="30"/>
  <c r="C42" i="30"/>
  <c r="C33" i="30"/>
  <c r="A13" i="30"/>
  <c r="A14" i="30" s="1"/>
  <c r="A15" i="30" s="1"/>
  <c r="A16" i="30" s="1"/>
  <c r="F12" i="30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E27" i="17"/>
  <c r="G19" i="17"/>
  <c r="G15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E28" i="33"/>
  <c r="E26" i="33"/>
  <c r="G20" i="33"/>
  <c r="A14" i="33"/>
  <c r="A15" i="33" s="1"/>
  <c r="A16" i="33" s="1"/>
  <c r="A17" i="33" s="1"/>
  <c r="A18" i="33" s="1"/>
  <c r="A13" i="33"/>
  <c r="J12" i="33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G16" i="33"/>
  <c r="F29" i="18"/>
  <c r="J29" i="18" s="1"/>
  <c r="D27" i="18"/>
  <c r="D31" i="18" s="1"/>
  <c r="F24" i="18"/>
  <c r="J24" i="18" s="1"/>
  <c r="F22" i="18"/>
  <c r="J22" i="18" s="1"/>
  <c r="F21" i="18"/>
  <c r="J21" i="18" s="1"/>
  <c r="F19" i="18"/>
  <c r="J19" i="18" s="1"/>
  <c r="F16" i="18"/>
  <c r="A12" i="18"/>
  <c r="A13" i="18" s="1"/>
  <c r="A14" i="18" s="1"/>
  <c r="L11" i="18"/>
  <c r="L12" i="18" s="1"/>
  <c r="L13" i="18" s="1"/>
  <c r="L14" i="18" s="1"/>
  <c r="F11" i="18"/>
  <c r="J11" i="18" s="1"/>
  <c r="F18" i="31"/>
  <c r="F17" i="31"/>
  <c r="E54" i="31"/>
  <c r="F29" i="31"/>
  <c r="D27" i="31"/>
  <c r="D31" i="31" s="1"/>
  <c r="F25" i="31"/>
  <c r="F24" i="31"/>
  <c r="F22" i="31"/>
  <c r="F21" i="31"/>
  <c r="F19" i="31"/>
  <c r="F16" i="31"/>
  <c r="F14" i="31"/>
  <c r="A13" i="3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H12" i="3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40" i="31" s="1"/>
  <c r="H41" i="31" s="1"/>
  <c r="H42" i="31" s="1"/>
  <c r="H43" i="31" s="1"/>
  <c r="H44" i="31" s="1"/>
  <c r="H45" i="31" s="1"/>
  <c r="H46" i="31" s="1"/>
  <c r="H47" i="31" s="1"/>
  <c r="H48" i="31" s="1"/>
  <c r="H49" i="31" s="1"/>
  <c r="H50" i="31" s="1"/>
  <c r="H51" i="31" s="1"/>
  <c r="H52" i="31" s="1"/>
  <c r="H53" i="31" s="1"/>
  <c r="E12" i="31"/>
  <c r="F12" i="31" s="1"/>
  <c r="E60" i="19"/>
  <c r="E68" i="19" s="1"/>
  <c r="E58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E57" i="32"/>
  <c r="E59" i="32"/>
  <c r="E28" i="32"/>
  <c r="H14" i="32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13" i="32"/>
  <c r="A13" i="32"/>
  <c r="A14" i="32" s="1"/>
  <c r="A15" i="32" s="1"/>
  <c r="A16" i="32" s="1"/>
  <c r="H12" i="32"/>
  <c r="B52" i="15"/>
  <c r="C46" i="15"/>
  <c r="C47" i="16" s="1"/>
  <c r="B46" i="15"/>
  <c r="C44" i="15"/>
  <c r="C45" i="16" s="1"/>
  <c r="B44" i="15"/>
  <c r="B42" i="15"/>
  <c r="C38" i="15"/>
  <c r="C39" i="16" s="1"/>
  <c r="B38" i="15"/>
  <c r="B36" i="15"/>
  <c r="C34" i="15"/>
  <c r="C35" i="16" s="1"/>
  <c r="B34" i="15"/>
  <c r="E32" i="15"/>
  <c r="C32" i="15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30" i="12"/>
  <c r="E30" i="12"/>
  <c r="F29" i="12"/>
  <c r="E29" i="12"/>
  <c r="G28" i="12"/>
  <c r="F28" i="12"/>
  <c r="E28" i="12"/>
  <c r="F27" i="12"/>
  <c r="E27" i="12"/>
  <c r="F26" i="12"/>
  <c r="E26" i="12"/>
  <c r="F25" i="12"/>
  <c r="E25" i="12"/>
  <c r="G24" i="12"/>
  <c r="F24" i="12"/>
  <c r="E24" i="12"/>
  <c r="F23" i="12"/>
  <c r="E23" i="12"/>
  <c r="F22" i="12"/>
  <c r="E22" i="12"/>
  <c r="F21" i="12"/>
  <c r="E21" i="12"/>
  <c r="F20" i="12"/>
  <c r="E20" i="12"/>
  <c r="H19" i="12"/>
  <c r="C19" i="12"/>
  <c r="C29" i="12" s="1"/>
  <c r="N12" i="12"/>
  <c r="M12" i="12"/>
  <c r="K12" i="12"/>
  <c r="I12" i="12"/>
  <c r="H12" i="12"/>
  <c r="P11" i="12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E31" i="45"/>
  <c r="E23" i="45"/>
  <c r="G30" i="45"/>
  <c r="F30" i="45"/>
  <c r="E30" i="45"/>
  <c r="M13" i="45"/>
  <c r="L13" i="45"/>
  <c r="K13" i="45"/>
  <c r="I13" i="45"/>
  <c r="H13" i="45"/>
  <c r="N12" i="45"/>
  <c r="N13" i="45" s="1"/>
  <c r="N14" i="45" s="1"/>
  <c r="N15" i="45" s="1"/>
  <c r="N16" i="45" s="1"/>
  <c r="N17" i="45" s="1"/>
  <c r="N18" i="45" s="1"/>
  <c r="N19" i="45" s="1"/>
  <c r="N20" i="45" s="1"/>
  <c r="N21" i="45" s="1"/>
  <c r="N22" i="45" s="1"/>
  <c r="N23" i="45" s="1"/>
  <c r="N24" i="45" s="1"/>
  <c r="N25" i="45" s="1"/>
  <c r="N26" i="45" s="1"/>
  <c r="N27" i="45" s="1"/>
  <c r="N28" i="45" s="1"/>
  <c r="N29" i="45" s="1"/>
  <c r="N30" i="45" s="1"/>
  <c r="N31" i="45" s="1"/>
  <c r="N32" i="45" s="1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F13" i="45" s="1"/>
  <c r="C20" i="45"/>
  <c r="E92" i="13"/>
  <c r="E72" i="13"/>
  <c r="E18" i="13" s="1"/>
  <c r="E67" i="13"/>
  <c r="E16" i="13" s="1"/>
  <c r="E57" i="13"/>
  <c r="E12" i="13" s="1"/>
  <c r="A53" i="13"/>
  <c r="A54" i="13" s="1"/>
  <c r="A55" i="13" s="1"/>
  <c r="H52" i="13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B47" i="13"/>
  <c r="B46" i="13"/>
  <c r="B45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4" i="13"/>
  <c r="B43" i="13"/>
  <c r="H27" i="19" l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L15" i="18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E57" i="18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J16" i="18"/>
  <c r="E46" i="19"/>
  <c r="E12" i="18"/>
  <c r="F12" i="18" s="1"/>
  <c r="J12" i="18" s="1"/>
  <c r="E43" i="19"/>
  <c r="F18" i="18"/>
  <c r="J18" i="18" s="1"/>
  <c r="H27" i="18"/>
  <c r="H31" i="18" s="1"/>
  <c r="H54" i="31"/>
  <c r="H55" i="31" s="1"/>
  <c r="H56" i="31" s="1"/>
  <c r="H57" i="31" s="1"/>
  <c r="H58" i="31" s="1"/>
  <c r="H59" i="31" s="1"/>
  <c r="H60" i="31" s="1"/>
  <c r="H61" i="31" s="1"/>
  <c r="F31" i="12"/>
  <c r="C50" i="11"/>
  <c r="D48" i="11" s="1"/>
  <c r="G48" i="11" s="1"/>
  <c r="G27" i="11"/>
  <c r="E47" i="11" s="1"/>
  <c r="G28" i="46"/>
  <c r="E48" i="46" s="1"/>
  <c r="G66" i="46"/>
  <c r="G131" i="46" s="1"/>
  <c r="G143" i="46" s="1"/>
  <c r="G145" i="11"/>
  <c r="G139" i="11"/>
  <c r="G148" i="11" s="1"/>
  <c r="A87" i="46"/>
  <c r="A88" i="46" s="1"/>
  <c r="A22" i="46"/>
  <c r="A23" i="46" s="1"/>
  <c r="A24" i="46" s="1"/>
  <c r="A25" i="46" s="1"/>
  <c r="A26" i="46" s="1"/>
  <c r="A132" i="46"/>
  <c r="A133" i="46" s="1"/>
  <c r="B75" i="46"/>
  <c r="C48" i="46"/>
  <c r="C16" i="21"/>
  <c r="C84" i="21"/>
  <c r="C27" i="30"/>
  <c r="C22" i="30"/>
  <c r="A17" i="30"/>
  <c r="C76" i="30"/>
  <c r="E30" i="33"/>
  <c r="A19" i="33"/>
  <c r="A20" i="33" s="1"/>
  <c r="A21" i="33" s="1"/>
  <c r="A22" i="33" s="1"/>
  <c r="A23" i="33" s="1"/>
  <c r="F14" i="18"/>
  <c r="J14" i="18" s="1"/>
  <c r="A26" i="31"/>
  <c r="A27" i="31" s="1"/>
  <c r="G27" i="31"/>
  <c r="F15" i="31"/>
  <c r="F27" i="31" s="1"/>
  <c r="F31" i="31" s="1"/>
  <c r="E70" i="19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E44" i="32"/>
  <c r="E46" i="32" s="1"/>
  <c r="E48" i="32" s="1"/>
  <c r="E67" i="32"/>
  <c r="E69" i="32" s="1"/>
  <c r="E49" i="32" s="1"/>
  <c r="A17" i="32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14" i="15"/>
  <c r="A15" i="15" s="1"/>
  <c r="G22" i="12"/>
  <c r="H22" i="12" s="1"/>
  <c r="E31" i="12"/>
  <c r="G26" i="12"/>
  <c r="H26" i="12" s="1"/>
  <c r="H30" i="12"/>
  <c r="G20" i="12"/>
  <c r="H20" i="12" s="1"/>
  <c r="H24" i="12"/>
  <c r="G30" i="12"/>
  <c r="H28" i="12"/>
  <c r="C23" i="12"/>
  <c r="C20" i="12"/>
  <c r="G21" i="12"/>
  <c r="H21" i="12" s="1"/>
  <c r="C22" i="12"/>
  <c r="G23" i="12"/>
  <c r="H23" i="12" s="1"/>
  <c r="C24" i="12"/>
  <c r="G25" i="12"/>
  <c r="H25" i="12" s="1"/>
  <c r="C26" i="12"/>
  <c r="G27" i="12"/>
  <c r="H27" i="12" s="1"/>
  <c r="C28" i="12"/>
  <c r="G29" i="12"/>
  <c r="H29" i="12" s="1"/>
  <c r="C30" i="12"/>
  <c r="C21" i="12"/>
  <c r="C25" i="12"/>
  <c r="C27" i="12"/>
  <c r="H30" i="45"/>
  <c r="E25" i="45"/>
  <c r="H20" i="45"/>
  <c r="E27" i="45"/>
  <c r="E21" i="45"/>
  <c r="H21" i="45" s="1"/>
  <c r="E29" i="45"/>
  <c r="C31" i="45"/>
  <c r="C29" i="45"/>
  <c r="C27" i="45"/>
  <c r="C25" i="45"/>
  <c r="C23" i="45"/>
  <c r="C21" i="45"/>
  <c r="C30" i="45"/>
  <c r="C28" i="45"/>
  <c r="C26" i="45"/>
  <c r="C24" i="45"/>
  <c r="C22" i="45"/>
  <c r="F21" i="45"/>
  <c r="F23" i="45"/>
  <c r="H23" i="45" s="1"/>
  <c r="F25" i="45"/>
  <c r="F29" i="45"/>
  <c r="G21" i="45"/>
  <c r="G23" i="45"/>
  <c r="G25" i="45"/>
  <c r="G27" i="45"/>
  <c r="G29" i="45"/>
  <c r="G31" i="45"/>
  <c r="F27" i="45"/>
  <c r="F31" i="45"/>
  <c r="H31" i="45" s="1"/>
  <c r="E22" i="45"/>
  <c r="E24" i="45"/>
  <c r="E26" i="45"/>
  <c r="E28" i="45"/>
  <c r="F22" i="45"/>
  <c r="F24" i="45"/>
  <c r="F26" i="45"/>
  <c r="F28" i="45"/>
  <c r="G22" i="45"/>
  <c r="G24" i="45"/>
  <c r="G26" i="45"/>
  <c r="G28" i="45"/>
  <c r="A56" i="13"/>
  <c r="A57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D47" i="11" l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L41" i="18"/>
  <c r="L42" i="18" s="1"/>
  <c r="L43" i="18" s="1"/>
  <c r="L44" i="18" s="1"/>
  <c r="L45" i="18" s="1"/>
  <c r="L46" i="18" s="1"/>
  <c r="L47" i="18" s="1"/>
  <c r="L48" i="18" s="1"/>
  <c r="L49" i="18" s="1"/>
  <c r="L50" i="18" s="1"/>
  <c r="A26" i="18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K27" i="18"/>
  <c r="E50" i="19"/>
  <c r="E44" i="19"/>
  <c r="E45" i="19" s="1"/>
  <c r="E47" i="19" s="1"/>
  <c r="E49" i="19" s="1"/>
  <c r="E51" i="19" s="1"/>
  <c r="E60" i="13" s="1"/>
  <c r="E62" i="13" s="1"/>
  <c r="E14" i="13" s="1"/>
  <c r="D49" i="11"/>
  <c r="G49" i="11" s="1"/>
  <c r="G52" i="11" s="1"/>
  <c r="G85" i="11" s="1"/>
  <c r="G97" i="11" s="1"/>
  <c r="G47" i="11"/>
  <c r="H25" i="45"/>
  <c r="H28" i="45"/>
  <c r="J27" i="18"/>
  <c r="J31" i="18" s="1"/>
  <c r="G151" i="11"/>
  <c r="G154" i="11" s="1"/>
  <c r="G158" i="11" s="1"/>
  <c r="G137" i="46"/>
  <c r="G146" i="46" s="1"/>
  <c r="A134" i="46"/>
  <c r="C51" i="46"/>
  <c r="D48" i="46" s="1"/>
  <c r="A89" i="46"/>
  <c r="A27" i="46"/>
  <c r="A28" i="46" s="1"/>
  <c r="C80" i="30"/>
  <c r="C13" i="30"/>
  <c r="C17" i="30" s="1"/>
  <c r="C37" i="30" s="1"/>
  <c r="A18" i="30"/>
  <c r="A19" i="30" s="1"/>
  <c r="A20" i="30" s="1"/>
  <c r="A24" i="33"/>
  <c r="A25" i="33" s="1"/>
  <c r="A26" i="33" s="1"/>
  <c r="E27" i="18"/>
  <c r="E31" i="18" s="1"/>
  <c r="F27" i="18"/>
  <c r="F31" i="18" s="1"/>
  <c r="E27" i="31"/>
  <c r="E31" i="31" s="1"/>
  <c r="A28" i="3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E50" i="32"/>
  <c r="A32" i="32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16" i="15"/>
  <c r="A17" i="15" s="1"/>
  <c r="H31" i="12"/>
  <c r="G31" i="12"/>
  <c r="H27" i="45"/>
  <c r="H26" i="45"/>
  <c r="H29" i="45"/>
  <c r="G32" i="45"/>
  <c r="F32" i="45"/>
  <c r="H22" i="45"/>
  <c r="E32" i="45"/>
  <c r="H24" i="45"/>
  <c r="A25" i="13"/>
  <c r="A26" i="13" s="1"/>
  <c r="A27" i="13" s="1"/>
  <c r="A28" i="13" s="1"/>
  <c r="A58" i="13"/>
  <c r="A59" i="13" s="1"/>
  <c r="A60" i="13" s="1"/>
  <c r="G50" i="11" l="1"/>
  <c r="G108" i="11" s="1"/>
  <c r="D50" i="11"/>
  <c r="L51" i="18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4" i="18" s="1"/>
  <c r="L65" i="18" s="1"/>
  <c r="L66" i="18" s="1"/>
  <c r="L67" i="18" s="1"/>
  <c r="L68" i="18" s="1"/>
  <c r="L69" i="18" s="1"/>
  <c r="L70" i="18" s="1"/>
  <c r="L71" i="18" s="1"/>
  <c r="L72" i="18" s="1"/>
  <c r="L73" i="18" s="1"/>
  <c r="L74" i="18" s="1"/>
  <c r="L75" i="18" s="1"/>
  <c r="L76" i="18" s="1"/>
  <c r="L77" i="18" s="1"/>
  <c r="L78" i="18" s="1"/>
  <c r="A39" i="18"/>
  <c r="A40" i="18" s="1"/>
  <c r="E23" i="17"/>
  <c r="E25" i="17" s="1"/>
  <c r="E29" i="17" s="1"/>
  <c r="E78" i="13" s="1"/>
  <c r="E79" i="13" s="1"/>
  <c r="A53" i="31"/>
  <c r="A54" i="31" s="1"/>
  <c r="A55" i="31" s="1"/>
  <c r="A56" i="31" s="1"/>
  <c r="A57" i="31" s="1"/>
  <c r="A58" i="31" s="1"/>
  <c r="A59" i="31" s="1"/>
  <c r="A60" i="31" s="1"/>
  <c r="A61" i="31" s="1"/>
  <c r="G149" i="46"/>
  <c r="G152" i="46" s="1"/>
  <c r="G156" i="46" s="1"/>
  <c r="A90" i="46"/>
  <c r="G48" i="46"/>
  <c r="D50" i="46"/>
  <c r="G50" i="46" s="1"/>
  <c r="D49" i="46"/>
  <c r="G49" i="46" s="1"/>
  <c r="G53" i="46" s="1"/>
  <c r="G86" i="46" s="1"/>
  <c r="A135" i="46"/>
  <c r="A136" i="46" s="1"/>
  <c r="A137" i="46" s="1"/>
  <c r="A29" i="46"/>
  <c r="A30" i="46" s="1"/>
  <c r="A31" i="46" s="1"/>
  <c r="A21" i="30"/>
  <c r="A22" i="30" s="1"/>
  <c r="A27" i="33"/>
  <c r="A28" i="33" s="1"/>
  <c r="A29" i="33" s="1"/>
  <c r="A30" i="33" s="1"/>
  <c r="K31" i="18"/>
  <c r="G31" i="31"/>
  <c r="A46" i="19"/>
  <c r="A45" i="32"/>
  <c r="A18" i="15"/>
  <c r="A19" i="15" s="1"/>
  <c r="H32" i="45"/>
  <c r="A61" i="13"/>
  <c r="A62" i="13" s="1"/>
  <c r="A29" i="13"/>
  <c r="A30" i="13" s="1"/>
  <c r="A31" i="13" s="1"/>
  <c r="A41" i="18" l="1"/>
  <c r="A42" i="18" s="1"/>
  <c r="A43" i="18" s="1"/>
  <c r="A44" i="18" s="1"/>
  <c r="A45" i="18" s="1"/>
  <c r="A46" i="18" s="1"/>
  <c r="A47" i="18" s="1"/>
  <c r="A48" i="18" s="1"/>
  <c r="A49" i="18" s="1"/>
  <c r="A50" i="18" s="1"/>
  <c r="C31" i="21"/>
  <c r="C32" i="21" s="1"/>
  <c r="C36" i="21" s="1"/>
  <c r="G88" i="11" s="1"/>
  <c r="G99" i="11" s="1"/>
  <c r="G51" i="46"/>
  <c r="G109" i="46" s="1"/>
  <c r="G92" i="46"/>
  <c r="G101" i="46" s="1"/>
  <c r="G98" i="46"/>
  <c r="A138" i="46"/>
  <c r="A139" i="46" s="1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D51" i="46"/>
  <c r="A32" i="46"/>
  <c r="A91" i="46"/>
  <c r="A92" i="46" s="1"/>
  <c r="A23" i="30"/>
  <c r="A24" i="30" s="1"/>
  <c r="A25" i="30" s="1"/>
  <c r="A47" i="19"/>
  <c r="A46" i="32"/>
  <c r="A20" i="15"/>
  <c r="A21" i="15" s="1"/>
  <c r="A32" i="13"/>
  <c r="A33" i="13" s="1"/>
  <c r="A34" i="13" s="1"/>
  <c r="A35" i="13" s="1"/>
  <c r="A63" i="13"/>
  <c r="A64" i="13" s="1"/>
  <c r="A65" i="13" s="1"/>
  <c r="A51" i="18" l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G91" i="11"/>
  <c r="G100" i="11" s="1"/>
  <c r="A33" i="46"/>
  <c r="A153" i="46"/>
  <c r="A154" i="46" s="1"/>
  <c r="A155" i="46" s="1"/>
  <c r="A156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A26" i="30"/>
  <c r="A27" i="30" s="1"/>
  <c r="A48" i="19"/>
  <c r="A49" i="19" s="1"/>
  <c r="A47" i="32"/>
  <c r="A48" i="32" s="1"/>
  <c r="A22" i="15"/>
  <c r="A23" i="15" s="1"/>
  <c r="A66" i="13"/>
  <c r="A67" i="13" s="1"/>
  <c r="G103" i="11" l="1"/>
  <c r="G106" i="11" s="1"/>
  <c r="G110" i="11" s="1"/>
  <c r="E81" i="13" s="1"/>
  <c r="E94" i="13" s="1"/>
  <c r="E96" i="13" s="1"/>
  <c r="E100" i="13" s="1"/>
  <c r="E102" i="13" s="1"/>
  <c r="E22" i="13" s="1"/>
  <c r="A103" i="46"/>
  <c r="A104" i="46" s="1"/>
  <c r="A34" i="46"/>
  <c r="A35" i="46" s="1"/>
  <c r="A36" i="46" s="1"/>
  <c r="A28" i="30"/>
  <c r="A29" i="30" s="1"/>
  <c r="A30" i="30" s="1"/>
  <c r="A50" i="19"/>
  <c r="A51" i="19" s="1"/>
  <c r="A52" i="19" s="1"/>
  <c r="A53" i="19" s="1"/>
  <c r="A54" i="19" s="1"/>
  <c r="A49" i="32"/>
  <c r="A50" i="32" s="1"/>
  <c r="A51" i="32" s="1"/>
  <c r="A52" i="32" s="1"/>
  <c r="A53" i="32" s="1"/>
  <c r="A24" i="15"/>
  <c r="A25" i="15" s="1"/>
  <c r="A68" i="13"/>
  <c r="A69" i="13" s="1"/>
  <c r="A70" i="13" s="1"/>
  <c r="E83" i="13" l="1"/>
  <c r="E85" i="13" s="1"/>
  <c r="E20" i="13" s="1"/>
  <c r="E24" i="13" s="1"/>
  <c r="E26" i="13" s="1"/>
  <c r="E28" i="13" s="1"/>
  <c r="E33" i="13" s="1"/>
  <c r="E35" i="13" s="1"/>
  <c r="C14" i="16" s="1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A31" i="30"/>
  <c r="A32" i="30" s="1"/>
  <c r="A33" i="30" s="1"/>
  <c r="A55" i="19"/>
  <c r="A56" i="19" s="1"/>
  <c r="A57" i="19" s="1"/>
  <c r="A58" i="19" s="1"/>
  <c r="A54" i="32"/>
  <c r="A55" i="32" s="1"/>
  <c r="A56" i="32" s="1"/>
  <c r="A57" i="32" s="1"/>
  <c r="A26" i="15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71" i="13"/>
  <c r="A72" i="13" s="1"/>
  <c r="G14" i="16" l="1"/>
  <c r="C18" i="16"/>
  <c r="C36" i="15"/>
  <c r="C40" i="15" s="1"/>
  <c r="A44" i="46"/>
  <c r="A45" i="46" s="1"/>
  <c r="A46" i="46" s="1"/>
  <c r="A47" i="46" s="1"/>
  <c r="A48" i="46" s="1"/>
  <c r="A108" i="46"/>
  <c r="A109" i="46" s="1"/>
  <c r="A110" i="46" s="1"/>
  <c r="A111" i="46" s="1"/>
  <c r="A34" i="30"/>
  <c r="A35" i="30" s="1"/>
  <c r="A36" i="30" s="1"/>
  <c r="A37" i="30" s="1"/>
  <c r="A38" i="30" s="1"/>
  <c r="A39" i="30" s="1"/>
  <c r="A40" i="30" s="1"/>
  <c r="A59" i="19"/>
  <c r="A60" i="19" s="1"/>
  <c r="A58" i="32"/>
  <c r="A59" i="32" s="1"/>
  <c r="A41" i="15"/>
  <c r="A42" i="15" s="1"/>
  <c r="A43" i="15" s="1"/>
  <c r="A44" i="15" s="1"/>
  <c r="A45" i="15" s="1"/>
  <c r="A46" i="15" s="1"/>
  <c r="A47" i="15" s="1"/>
  <c r="A48" i="15" s="1"/>
  <c r="A73" i="13"/>
  <c r="A74" i="13" s="1"/>
  <c r="A75" i="13" s="1"/>
  <c r="A76" i="13" s="1"/>
  <c r="D19" i="12" l="1"/>
  <c r="D21" i="12" s="1"/>
  <c r="I21" i="12" s="1"/>
  <c r="C41" i="16"/>
  <c r="C37" i="16"/>
  <c r="A49" i="46"/>
  <c r="A41" i="30"/>
  <c r="A42" i="30" s="1"/>
  <c r="A43" i="30" s="1"/>
  <c r="A44" i="30" s="1"/>
  <c r="A45" i="30" s="1"/>
  <c r="A61" i="19"/>
  <c r="A62" i="19" s="1"/>
  <c r="A63" i="19" s="1"/>
  <c r="A64" i="19" s="1"/>
  <c r="A65" i="19" s="1"/>
  <c r="A66" i="19" s="1"/>
  <c r="A67" i="19" s="1"/>
  <c r="A68" i="19" s="1"/>
  <c r="A60" i="32"/>
  <c r="A61" i="32" s="1"/>
  <c r="A62" i="32" s="1"/>
  <c r="A63" i="32" s="1"/>
  <c r="A64" i="32" s="1"/>
  <c r="A65" i="32" s="1"/>
  <c r="A66" i="32" s="1"/>
  <c r="A67" i="32" s="1"/>
  <c r="A49" i="15"/>
  <c r="A50" i="15" s="1"/>
  <c r="A51" i="15" s="1"/>
  <c r="A52" i="15" s="1"/>
  <c r="A53" i="15" s="1"/>
  <c r="A77" i="13"/>
  <c r="A78" i="13" s="1"/>
  <c r="A79" i="13" s="1"/>
  <c r="D25" i="12" l="1"/>
  <c r="I25" i="12" s="1"/>
  <c r="D20" i="12"/>
  <c r="I20" i="12" s="1"/>
  <c r="D24" i="12"/>
  <c r="I24" i="12" s="1"/>
  <c r="D23" i="12"/>
  <c r="I23" i="12" s="1"/>
  <c r="D28" i="12"/>
  <c r="I28" i="12" s="1"/>
  <c r="D22" i="12"/>
  <c r="I22" i="12" s="1"/>
  <c r="I19" i="12"/>
  <c r="D26" i="12"/>
  <c r="I26" i="12" s="1"/>
  <c r="D27" i="12"/>
  <c r="I27" i="12" s="1"/>
  <c r="D30" i="12"/>
  <c r="I30" i="12" s="1"/>
  <c r="D29" i="12"/>
  <c r="I29" i="12" s="1"/>
  <c r="A50" i="46"/>
  <c r="A46" i="30"/>
  <c r="A47" i="30" s="1"/>
  <c r="A48" i="30" s="1"/>
  <c r="A49" i="30" s="1"/>
  <c r="A69" i="19"/>
  <c r="A70" i="19" s="1"/>
  <c r="A68" i="32"/>
  <c r="A69" i="32" s="1"/>
  <c r="A80" i="13"/>
  <c r="A81" i="13" s="1"/>
  <c r="I31" i="12" l="1"/>
  <c r="D31" i="12"/>
  <c r="M19" i="12"/>
  <c r="K19" i="12"/>
  <c r="N19" i="12" s="1"/>
  <c r="A51" i="46"/>
  <c r="A82" i="13"/>
  <c r="A83" i="13" s="1"/>
  <c r="K20" i="12" l="1"/>
  <c r="M20" i="12" s="1"/>
  <c r="A52" i="46"/>
  <c r="A53" i="46" s="1"/>
  <c r="A84" i="13"/>
  <c r="A85" i="13" s="1"/>
  <c r="N20" i="12" l="1"/>
  <c r="A54" i="46"/>
  <c r="A55" i="46" s="1"/>
  <c r="A56" i="46" s="1"/>
  <c r="A57" i="46" s="1"/>
  <c r="A58" i="46" s="1"/>
  <c r="A59" i="46" s="1"/>
  <c r="A60" i="46" s="1"/>
  <c r="A61" i="46" s="1"/>
  <c r="A86" i="13"/>
  <c r="A87" i="13" s="1"/>
  <c r="A88" i="13" s="1"/>
  <c r="K21" i="12" l="1"/>
  <c r="M21" i="12" s="1"/>
  <c r="A62" i="46"/>
  <c r="A89" i="13"/>
  <c r="A90" i="13" s="1"/>
  <c r="A91" i="13" s="1"/>
  <c r="A92" i="13" s="1"/>
  <c r="N21" i="12" l="1"/>
  <c r="A63" i="46"/>
  <c r="A93" i="13"/>
  <c r="A94" i="13" s="1"/>
  <c r="A95" i="13" s="1"/>
  <c r="A96" i="13" s="1"/>
  <c r="K22" i="12" l="1"/>
  <c r="M22" i="12" s="1"/>
  <c r="N22" i="12" s="1"/>
  <c r="K23" i="12" s="1"/>
  <c r="A64" i="46"/>
  <c r="A97" i="13"/>
  <c r="A98" i="13" s="1"/>
  <c r="A99" i="13" s="1"/>
  <c r="A100" i="13" s="1"/>
  <c r="M23" i="12" l="1"/>
  <c r="N23" i="12" s="1"/>
  <c r="A65" i="46"/>
  <c r="A66" i="46" s="1"/>
  <c r="A101" i="13"/>
  <c r="A102" i="13" s="1"/>
  <c r="K24" i="12" l="1"/>
  <c r="M24" i="12" s="1"/>
  <c r="N24" i="12" s="1"/>
  <c r="K25" i="12" s="1"/>
  <c r="M25" i="12" l="1"/>
  <c r="N25" i="12" s="1"/>
  <c r="K26" i="12" s="1"/>
  <c r="M26" i="12" l="1"/>
  <c r="N26" i="12" s="1"/>
  <c r="K27" i="12" s="1"/>
  <c r="M27" i="12" l="1"/>
  <c r="N27" i="12" s="1"/>
  <c r="K28" i="12" l="1"/>
  <c r="M28" i="12" s="1"/>
  <c r="N28" i="12" s="1"/>
  <c r="K29" i="12" s="1"/>
  <c r="M29" i="12" s="1"/>
  <c r="N29" i="12" l="1"/>
  <c r="K30" i="12" l="1"/>
  <c r="M30" i="12" l="1"/>
  <c r="M31" i="12" s="1"/>
  <c r="N30" i="12" l="1"/>
  <c r="C19" i="15" s="1"/>
  <c r="C23" i="15" s="1"/>
  <c r="C27" i="15" s="1"/>
  <c r="C20" i="16" l="1"/>
  <c r="C42" i="15"/>
  <c r="C43" i="16" s="1"/>
  <c r="C24" i="16"/>
  <c r="C48" i="15" l="1"/>
  <c r="C28" i="16"/>
  <c r="E90" i="27"/>
  <c r="E58" i="27"/>
  <c r="E15" i="27" s="1"/>
  <c r="A49" i="27"/>
  <c r="A50" i="27" s="1"/>
  <c r="A51" i="27" s="1"/>
  <c r="H48" i="27"/>
  <c r="H49" i="27" s="1"/>
  <c r="H50" i="27" s="1"/>
  <c r="H51" i="27" s="1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B43" i="27"/>
  <c r="B41" i="27"/>
  <c r="H13" i="27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A13" i="27"/>
  <c r="H12" i="27"/>
  <c r="B42" i="27"/>
  <c r="B40" i="27"/>
  <c r="B39" i="27"/>
  <c r="B53" i="34"/>
  <c r="C47" i="34"/>
  <c r="E47" i="16" s="1"/>
  <c r="B47" i="34"/>
  <c r="B45" i="34"/>
  <c r="B43" i="34"/>
  <c r="B39" i="34"/>
  <c r="B37" i="34"/>
  <c r="C35" i="34"/>
  <c r="E35" i="16" s="1"/>
  <c r="B35" i="34"/>
  <c r="D33" i="34"/>
  <c r="C33" i="34"/>
  <c r="C45" i="34"/>
  <c r="E45" i="16" s="1"/>
  <c r="C43" i="34"/>
  <c r="E43" i="16" s="1"/>
  <c r="C39" i="34"/>
  <c r="E39" i="16" s="1"/>
  <c r="C18" i="34"/>
  <c r="A13" i="34"/>
  <c r="A14" i="34" s="1"/>
  <c r="E12" i="34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4" i="34" s="1"/>
  <c r="E35" i="34" s="1"/>
  <c r="E36" i="34" s="1"/>
  <c r="E37" i="34" s="1"/>
  <c r="E38" i="34" s="1"/>
  <c r="E39" i="34" s="1"/>
  <c r="E40" i="34" s="1"/>
  <c r="E41" i="34" s="1"/>
  <c r="E42" i="34" s="1"/>
  <c r="E43" i="34" s="1"/>
  <c r="E44" i="34" s="1"/>
  <c r="E45" i="34" s="1"/>
  <c r="E46" i="34" s="1"/>
  <c r="E47" i="34" s="1"/>
  <c r="E48" i="34" s="1"/>
  <c r="E49" i="34" s="1"/>
  <c r="E50" i="34" s="1"/>
  <c r="E51" i="34" s="1"/>
  <c r="E52" i="34" s="1"/>
  <c r="E53" i="34" s="1"/>
  <c r="E54" i="34" s="1"/>
  <c r="C52" i="15" l="1"/>
  <c r="C53" i="16" s="1"/>
  <c r="C49" i="16"/>
  <c r="E75" i="27"/>
  <c r="E79" i="27" s="1"/>
  <c r="E81" i="27" s="1"/>
  <c r="E21" i="27" s="1"/>
  <c r="E68" i="27"/>
  <c r="E19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E53" i="27"/>
  <c r="E13" i="27" s="1"/>
  <c r="E88" i="27"/>
  <c r="E92" i="27" s="1"/>
  <c r="E96" i="27" s="1"/>
  <c r="E98" i="27" s="1"/>
  <c r="E23" i="27" s="1"/>
  <c r="E63" i="27"/>
  <c r="E17" i="27" s="1"/>
  <c r="A26" i="27"/>
  <c r="A27" i="27" s="1"/>
  <c r="A28" i="27" s="1"/>
  <c r="A29" i="27" s="1"/>
  <c r="A52" i="27"/>
  <c r="A53" i="27" s="1"/>
  <c r="A15" i="34"/>
  <c r="A16" i="34" s="1"/>
  <c r="C24" i="34"/>
  <c r="C28" i="34" s="1"/>
  <c r="A17" i="34"/>
  <c r="A18" i="34" s="1"/>
  <c r="C37" i="34"/>
  <c r="C49" i="34" l="1"/>
  <c r="C41" i="34"/>
  <c r="D20" i="45" s="1"/>
  <c r="E37" i="16"/>
  <c r="E25" i="27"/>
  <c r="E27" i="27" s="1"/>
  <c r="E29" i="27" s="1"/>
  <c r="E34" i="27" s="1"/>
  <c r="E36" i="27" s="1"/>
  <c r="A54" i="27"/>
  <c r="A55" i="27" s="1"/>
  <c r="A56" i="27" s="1"/>
  <c r="A30" i="27"/>
  <c r="A31" i="27" s="1"/>
  <c r="A32" i="27" s="1"/>
  <c r="A19" i="34"/>
  <c r="A20" i="34" s="1"/>
  <c r="C53" i="34" l="1"/>
  <c r="E49" i="16"/>
  <c r="D30" i="45"/>
  <c r="I30" i="45" s="1"/>
  <c r="D26" i="45"/>
  <c r="I26" i="45" s="1"/>
  <c r="D28" i="45"/>
  <c r="I28" i="45" s="1"/>
  <c r="D21" i="45"/>
  <c r="I21" i="45" s="1"/>
  <c r="D23" i="45"/>
  <c r="I23" i="45" s="1"/>
  <c r="D25" i="45"/>
  <c r="I25" i="45" s="1"/>
  <c r="D29" i="45"/>
  <c r="I29" i="45" s="1"/>
  <c r="D27" i="45"/>
  <c r="I27" i="45" s="1"/>
  <c r="D31" i="45"/>
  <c r="I31" i="45" s="1"/>
  <c r="D22" i="45"/>
  <c r="I22" i="45" s="1"/>
  <c r="D24" i="45"/>
  <c r="I24" i="45" s="1"/>
  <c r="I20" i="45"/>
  <c r="A33" i="27"/>
  <c r="A34" i="27" s="1"/>
  <c r="A35" i="27" s="1"/>
  <c r="A36" i="27" s="1"/>
  <c r="A57" i="27"/>
  <c r="A58" i="27" s="1"/>
  <c r="A21" i="34"/>
  <c r="A22" i="34" s="1"/>
  <c r="D32" i="45" l="1"/>
  <c r="L20" i="45"/>
  <c r="K20" i="45"/>
  <c r="I32" i="45"/>
  <c r="A59" i="27"/>
  <c r="A60" i="27" s="1"/>
  <c r="A61" i="27" s="1"/>
  <c r="A23" i="34"/>
  <c r="A24" i="34" s="1"/>
  <c r="M20" i="45" l="1"/>
  <c r="A62" i="27"/>
  <c r="A63" i="27" s="1"/>
  <c r="A25" i="34"/>
  <c r="A26" i="34" s="1"/>
  <c r="K21" i="45" l="1"/>
  <c r="L21" i="45" s="1"/>
  <c r="A64" i="27"/>
  <c r="A65" i="27" s="1"/>
  <c r="A66" i="27" s="1"/>
  <c r="A27" i="34"/>
  <c r="A28" i="34" s="1"/>
  <c r="A29" i="34" s="1"/>
  <c r="A34" i="34" s="1"/>
  <c r="A35" i="34" s="1"/>
  <c r="A36" i="34" s="1"/>
  <c r="A37" i="34" s="1"/>
  <c r="A38" i="34" s="1"/>
  <c r="A39" i="34" s="1"/>
  <c r="A40" i="34" s="1"/>
  <c r="A41" i="34" s="1"/>
  <c r="M21" i="45" l="1"/>
  <c r="A67" i="27"/>
  <c r="A68" i="27" s="1"/>
  <c r="A42" i="34"/>
  <c r="A43" i="34" s="1"/>
  <c r="A44" i="34" s="1"/>
  <c r="A45" i="34" s="1"/>
  <c r="A46" i="34" s="1"/>
  <c r="A47" i="34" s="1"/>
  <c r="A48" i="34" s="1"/>
  <c r="A49" i="34" s="1"/>
  <c r="K22" i="45" l="1"/>
  <c r="L22" i="45" s="1"/>
  <c r="A69" i="27"/>
  <c r="A70" i="27" s="1"/>
  <c r="A71" i="27" s="1"/>
  <c r="A72" i="27" s="1"/>
  <c r="A50" i="34"/>
  <c r="A51" i="34" s="1"/>
  <c r="A52" i="34" s="1"/>
  <c r="A53" i="34" s="1"/>
  <c r="A54" i="34" s="1"/>
  <c r="M22" i="45" l="1"/>
  <c r="A73" i="27"/>
  <c r="A74" i="27" s="1"/>
  <c r="A75" i="27" s="1"/>
  <c r="K23" i="45" l="1"/>
  <c r="L23" i="45" s="1"/>
  <c r="M23" i="45" s="1"/>
  <c r="K24" i="45" s="1"/>
  <c r="A76" i="27"/>
  <c r="A77" i="27" s="1"/>
  <c r="L24" i="45" l="1"/>
  <c r="M24" i="45" s="1"/>
  <c r="A78" i="27"/>
  <c r="A79" i="27" s="1"/>
  <c r="K25" i="45" l="1"/>
  <c r="L25" i="45" s="1"/>
  <c r="M25" i="45" s="1"/>
  <c r="A80" i="27"/>
  <c r="A81" i="27" s="1"/>
  <c r="K26" i="45" l="1"/>
  <c r="L26" i="45" s="1"/>
  <c r="M26" i="45" s="1"/>
  <c r="A82" i="27"/>
  <c r="A83" i="27" s="1"/>
  <c r="A84" i="27" s="1"/>
  <c r="K27" i="45" l="1"/>
  <c r="L27" i="45" s="1"/>
  <c r="M27" i="45" s="1"/>
  <c r="K28" i="45" s="1"/>
  <c r="A85" i="27"/>
  <c r="A86" i="27" s="1"/>
  <c r="A87" i="27" s="1"/>
  <c r="A88" i="27" s="1"/>
  <c r="L28" i="45" l="1"/>
  <c r="M28" i="45" s="1"/>
  <c r="A89" i="27"/>
  <c r="A90" i="27" s="1"/>
  <c r="A91" i="27" s="1"/>
  <c r="A92" i="27" s="1"/>
  <c r="K29" i="45" l="1"/>
  <c r="L29" i="45" s="1"/>
  <c r="M29" i="45" s="1"/>
  <c r="A93" i="27"/>
  <c r="A94" i="27" s="1"/>
  <c r="A95" i="27" s="1"/>
  <c r="A96" i="27" s="1"/>
  <c r="K30" i="45" l="1"/>
  <c r="L30" i="45" s="1"/>
  <c r="A97" i="27"/>
  <c r="A98" i="27" s="1"/>
  <c r="M30" i="45" l="1"/>
  <c r="E32" i="16"/>
  <c r="C32" i="16"/>
  <c r="K31" i="45" l="1"/>
  <c r="L31" i="45" s="1"/>
  <c r="L32" i="45" s="1"/>
  <c r="G12" i="1"/>
  <c r="G13" i="1" s="1"/>
  <c r="G14" i="1" s="1"/>
  <c r="A12" i="1"/>
  <c r="A13" i="1" s="1"/>
  <c r="A14" i="1" s="1"/>
  <c r="M31" i="45" l="1"/>
  <c r="G51" i="16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G16" i="16"/>
  <c r="A15" i="16"/>
  <c r="A16" i="16" s="1"/>
  <c r="G37" i="16" l="1"/>
  <c r="G35" i="16"/>
  <c r="A17" i="16"/>
  <c r="A18" i="16" s="1"/>
  <c r="H18" i="16"/>
  <c r="G41" i="16" l="1"/>
  <c r="G18" i="16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15" i="1" l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G28" i="16" l="1"/>
  <c r="G20" i="16"/>
  <c r="G24" i="16" s="1"/>
  <c r="D13" i="1" l="1"/>
  <c r="G53" i="16"/>
  <c r="D16" i="26" s="1"/>
  <c r="G43" i="16"/>
  <c r="G49" i="16" s="1"/>
  <c r="G16" i="26" l="1"/>
  <c r="F16" i="26"/>
  <c r="D27" i="26"/>
  <c r="D26" i="26"/>
  <c r="D18" i="26"/>
  <c r="D25" i="26"/>
  <c r="D17" i="26"/>
  <c r="D24" i="26"/>
  <c r="D23" i="26"/>
  <c r="D20" i="26"/>
  <c r="D19" i="26"/>
  <c r="D22" i="26"/>
  <c r="D21" i="26"/>
  <c r="D52" i="26" l="1"/>
  <c r="H16" i="26"/>
  <c r="F17" i="26" s="1"/>
  <c r="G17" i="26" l="1"/>
  <c r="H17" i="26" s="1"/>
  <c r="F18" i="26" l="1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s="1"/>
  <c r="F22" i="26" l="1"/>
  <c r="G22" i="26" s="1"/>
  <c r="H22" i="26" s="1"/>
  <c r="F23" i="26" l="1"/>
  <c r="G23" i="26" s="1"/>
  <c r="H23" i="26" s="1"/>
  <c r="F24" i="26" l="1"/>
  <c r="G24" i="26" s="1"/>
  <c r="H24" i="26" l="1"/>
  <c r="F25" i="26" l="1"/>
  <c r="G25" i="26" s="1"/>
  <c r="H25" i="26" s="1"/>
  <c r="F26" i="26" l="1"/>
  <c r="G26" i="26" s="1"/>
  <c r="H26" i="26" s="1"/>
  <c r="F27" i="26" l="1"/>
  <c r="G27" i="26" s="1"/>
  <c r="H27" i="26" s="1"/>
  <c r="F28" i="26" l="1"/>
  <c r="G28" i="26" s="1"/>
  <c r="H28" i="26" l="1"/>
  <c r="F29" i="26" l="1"/>
  <c r="G29" i="26" s="1"/>
  <c r="H29" i="26" s="1"/>
  <c r="F30" i="26" l="1"/>
  <c r="G30" i="26" s="1"/>
  <c r="H30" i="26" s="1"/>
  <c r="F31" i="26" l="1"/>
  <c r="G31" i="26" s="1"/>
  <c r="H31" i="26" s="1"/>
  <c r="F32" i="26" s="1"/>
  <c r="G32" i="26" l="1"/>
  <c r="H32" i="26" s="1"/>
  <c r="F33" i="26" l="1"/>
  <c r="G33" i="26" s="1"/>
  <c r="H33" i="26" s="1"/>
  <c r="F34" i="26" l="1"/>
  <c r="G34" i="26" s="1"/>
  <c r="H34" i="26" s="1"/>
  <c r="F35" i="26" l="1"/>
  <c r="G35" i="26" s="1"/>
  <c r="H35" i="26" s="1"/>
  <c r="F36" i="26" s="1"/>
  <c r="G36" i="26" l="1"/>
  <c r="H36" i="26" s="1"/>
  <c r="F37" i="26" l="1"/>
  <c r="G37" i="26" s="1"/>
  <c r="H37" i="26" s="1"/>
  <c r="F38" i="26" l="1"/>
  <c r="G38" i="26" s="1"/>
  <c r="H38" i="26" l="1"/>
  <c r="F39" i="26" l="1"/>
  <c r="G39" i="26" s="1"/>
  <c r="H39" i="26" l="1"/>
  <c r="F40" i="26" l="1"/>
  <c r="G40" i="26" l="1"/>
  <c r="H40" i="26" s="1"/>
  <c r="F41" i="26" l="1"/>
  <c r="G41" i="26" s="1"/>
  <c r="H41" i="26" l="1"/>
  <c r="F42" i="26" l="1"/>
  <c r="G42" i="26" s="1"/>
  <c r="H42" i="26" l="1"/>
  <c r="F43" i="26" s="1"/>
  <c r="G43" i="26" l="1"/>
  <c r="H43" i="26" l="1"/>
  <c r="F44" i="26" s="1"/>
  <c r="G44" i="26" s="1"/>
  <c r="H44" i="26" s="1"/>
  <c r="F45" i="26" l="1"/>
  <c r="G45" i="26" s="1"/>
  <c r="H45" i="26" s="1"/>
  <c r="F46" i="26" s="1"/>
  <c r="G46" i="26" l="1"/>
  <c r="H46" i="26" s="1"/>
  <c r="F47" i="26" l="1"/>
  <c r="G47" i="26" s="1"/>
  <c r="H47" i="26" s="1"/>
  <c r="F48" i="26" l="1"/>
  <c r="G48" i="26" s="1"/>
  <c r="H48" i="26" l="1"/>
  <c r="F49" i="26" s="1"/>
  <c r="G49" i="26" l="1"/>
  <c r="H49" i="26" s="1"/>
  <c r="F50" i="26" s="1"/>
  <c r="G50" i="26" l="1"/>
  <c r="H50" i="26" s="1"/>
  <c r="F51" i="26" l="1"/>
  <c r="G51" i="26" s="1"/>
  <c r="G52" i="26" s="1"/>
  <c r="D15" i="1" s="1"/>
  <c r="D17" i="1" s="1"/>
  <c r="D21" i="1" s="1"/>
  <c r="H51" i="26" l="1"/>
</calcChain>
</file>

<file path=xl/sharedStrings.xml><?xml version="1.0" encoding="utf-8"?>
<sst xmlns="http://schemas.openxmlformats.org/spreadsheetml/2006/main" count="2263" uniqueCount="833">
  <si>
    <t>San Diego Gas &amp; Electric Company</t>
  </si>
  <si>
    <t xml:space="preserve">Citizen's Share of the Sunrise - Border East-Line </t>
  </si>
  <si>
    <t>($1,000)</t>
  </si>
  <si>
    <t>Line</t>
  </si>
  <si>
    <t>No.</t>
  </si>
  <si>
    <t>Description</t>
  </si>
  <si>
    <t>Amounts</t>
  </si>
  <si>
    <t>Reference</t>
  </si>
  <si>
    <t>Total Annual Costs Citizens' Share of the Border East Line - Before Interest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</si>
  <si>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</si>
  <si>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</si>
  <si>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</si>
  <si>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</si>
  <si>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</si>
  <si>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</si>
  <si>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</si>
  <si>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</si>
  <si>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CITIZENS' SHARE OF THE SUNRISE - BORDER-EAST LINE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</si>
  <si>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</si>
  <si>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</si>
  <si>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</si>
  <si>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</si>
  <si>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</si>
  <si>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</si>
  <si>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</si>
  <si>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</si>
  <si>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</si>
  <si>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</si>
  <si>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</si>
  <si>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</si>
  <si>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</si>
  <si>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</si>
  <si>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</si>
  <si>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</si>
  <si>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</si>
  <si>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</si>
  <si>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</si>
  <si>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</si>
  <si>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</si>
  <si>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</si>
  <si>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</si>
  <si>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</si>
  <si>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</si>
  <si>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</si>
  <si>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</si>
  <si>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</si>
  <si>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</si>
  <si>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</si>
  <si>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</si>
  <si>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</si>
  <si>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</si>
  <si>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CITIZENS' SHARE OF THE BORDER EAST LINE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</si>
  <si>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</si>
  <si>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</si>
  <si>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</si>
  <si>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</si>
  <si>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</si>
  <si>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</si>
  <si>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</si>
  <si>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</si>
  <si>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</si>
  <si>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</si>
  <si>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</si>
  <si>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</si>
  <si>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</si>
  <si>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</si>
  <si>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</si>
  <si>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</si>
  <si>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</si>
  <si>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</si>
  <si>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</si>
  <si>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</si>
  <si>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</si>
  <si>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</si>
  <si>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</si>
  <si>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</si>
  <si>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</si>
  <si>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</si>
  <si>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</si>
  <si>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</si>
  <si>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</si>
  <si>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</si>
  <si>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</si>
  <si>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</si>
  <si>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</si>
  <si>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</si>
  <si>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</si>
  <si>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</si>
  <si>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</si>
  <si>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</si>
  <si>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</si>
  <si>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</si>
  <si>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</si>
  <si>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</si>
  <si>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</si>
  <si>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</si>
  <si>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</si>
  <si>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</si>
  <si>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</si>
  <si>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</si>
  <si>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</si>
  <si>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</si>
  <si>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</si>
  <si>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</si>
  <si>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</si>
  <si>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</si>
  <si>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</si>
  <si>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</si>
  <si>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</si>
  <si>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</si>
  <si>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</si>
  <si>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</si>
  <si>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</si>
  <si>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</si>
  <si>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</si>
  <si>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</si>
  <si>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</si>
  <si>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</si>
  <si>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</si>
  <si>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</si>
  <si>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</si>
  <si>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</si>
  <si>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</si>
  <si>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</si>
  <si>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</si>
  <si>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</si>
  <si>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</si>
  <si>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</si>
  <si>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</si>
  <si>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</si>
  <si>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</si>
  <si>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</si>
  <si>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</si>
  <si>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</si>
  <si>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</si>
  <si>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</si>
  <si>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</si>
  <si>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</si>
  <si>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</si>
  <si>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</si>
  <si>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</si>
  <si>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</si>
  <si>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</si>
  <si>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</si>
  <si>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</si>
  <si>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</si>
  <si>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</si>
  <si>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</si>
  <si>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</si>
  <si>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</si>
  <si>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</si>
  <si>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</si>
  <si>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</si>
  <si>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</si>
  <si>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</si>
  <si>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</si>
  <si>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</si>
  <si>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</si>
  <si>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</si>
  <si>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</si>
  <si>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</si>
  <si>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</si>
  <si>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</si>
  <si>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</si>
  <si>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</si>
  <si>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</si>
  <si>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</si>
  <si>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</si>
  <si>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</si>
  <si>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</si>
  <si>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</si>
  <si>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</si>
  <si>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</si>
  <si>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</si>
  <si>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</si>
  <si>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</si>
  <si>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</si>
  <si>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</si>
  <si>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</si>
  <si>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</si>
  <si>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</si>
  <si>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</si>
  <si>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</si>
  <si>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</si>
  <si>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</si>
  <si>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</si>
  <si>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</si>
  <si>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</si>
  <si>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</si>
  <si>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</si>
  <si>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</si>
  <si>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</si>
  <si>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</si>
  <si>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</si>
  <si>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</si>
  <si>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</si>
  <si>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Underground Line Expense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</si>
  <si>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</si>
  <si>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</si>
  <si>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</si>
  <si>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</si>
  <si>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</si>
  <si>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</si>
  <si>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</si>
  <si>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</si>
  <si>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</si>
  <si>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Adjustments to Per Book A&amp;G Expense:</t>
  </si>
  <si>
    <t xml:space="preserve"> </t>
  </si>
  <si>
    <t xml:space="preserve">   Abandoned Projects</t>
  </si>
  <si>
    <t xml:space="preserve">   CPUC energy efficiency programs</t>
  </si>
  <si>
    <t xml:space="preserve">   CPUC Intervenor Funding Expense - Transmission</t>
  </si>
  <si>
    <t xml:space="preserve">   CPUC Intervenor Funding Expense - Distribution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</si>
  <si>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</si>
  <si>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</si>
  <si>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</si>
  <si>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</si>
  <si>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</si>
  <si>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</si>
  <si>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</si>
  <si>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</si>
  <si>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</si>
  <si>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</si>
  <si>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</si>
  <si>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</si>
  <si>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</si>
  <si>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</si>
  <si>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</si>
  <si>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</si>
  <si>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</si>
  <si>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</si>
  <si>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</si>
  <si>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</si>
  <si>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</si>
  <si>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</si>
  <si>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</si>
  <si>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</si>
  <si>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</si>
  <si>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</si>
  <si>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</si>
  <si>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</si>
  <si>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</si>
  <si>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</si>
  <si>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</si>
  <si>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</si>
  <si>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</si>
  <si>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</si>
  <si>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</si>
  <si>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</si>
  <si>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</si>
  <si>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</si>
  <si>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</si>
  <si>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</si>
  <si>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</si>
  <si>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</si>
  <si>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>(a)</t>
  </si>
  <si>
    <t>(b)</t>
  </si>
  <si>
    <t xml:space="preserve">(c) = (a) - (b) </t>
  </si>
  <si>
    <t>FERC</t>
  </si>
  <si>
    <t>Total</t>
  </si>
  <si>
    <t>Excluded</t>
  </si>
  <si>
    <t>Acct</t>
  </si>
  <si>
    <t>Per Books</t>
  </si>
  <si>
    <t>Expenses</t>
  </si>
  <si>
    <t>Adjusted</t>
  </si>
  <si>
    <t>Administrative &amp; General</t>
  </si>
  <si>
    <t>A&amp;G Salaries</t>
  </si>
  <si>
    <t>Office Supplies &amp; Expenses</t>
  </si>
  <si>
    <t>Less: Administrative Expenses Transferred-Credit</t>
  </si>
  <si>
    <t>Outside Services Employed</t>
  </si>
  <si>
    <t>Property Insurance</t>
  </si>
  <si>
    <t>Injuries &amp; Damages</t>
  </si>
  <si>
    <t>Employee Pensions &amp; Benefits</t>
  </si>
  <si>
    <t xml:space="preserve">Franchise Requirements </t>
  </si>
  <si>
    <t xml:space="preserve">Regulatory Commission Expenses  </t>
  </si>
  <si>
    <t>Less: Duplicate Charges (Company Energy Use)</t>
  </si>
  <si>
    <t>General Advertising Expenses</t>
  </si>
  <si>
    <t>Miscellaneous General Expenses</t>
  </si>
  <si>
    <t>Rents</t>
  </si>
  <si>
    <t>Maintenance of General Plant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</si>
  <si>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</si>
  <si>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</si>
  <si>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</si>
  <si>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</si>
  <si>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Litigation expenses - Litigation Cost Memorandum Account (LCMA)</t>
  </si>
  <si>
    <t>CPUC Intervenor Funding Expense - Transmission</t>
  </si>
  <si>
    <t>CPUC Intervenor Funding Expense - Distribution</t>
  </si>
  <si>
    <t>Abandoned Projects</t>
  </si>
  <si>
    <t xml:space="preserve">Hazardous Substances-Hazardous Substance Cleanup Cost Account </t>
  </si>
  <si>
    <t>Total Excluded Expenses</t>
  </si>
  <si>
    <t>Account 7000717, which was created to track Citizens Border East Line A&amp;G Expense.</t>
  </si>
  <si>
    <t>Statement AL</t>
  </si>
  <si>
    <t>Working Capital</t>
  </si>
  <si>
    <t>Working</t>
  </si>
  <si>
    <t>13-Months</t>
  </si>
  <si>
    <t>Cash</t>
  </si>
  <si>
    <t>Average Balance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</si>
  <si>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</si>
  <si>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</si>
  <si>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</si>
  <si>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</si>
  <si>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</si>
  <si>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</si>
  <si>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</si>
  <si>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</si>
  <si>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</si>
  <si>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</si>
  <si>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</si>
  <si>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</si>
  <si>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</si>
  <si>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</si>
  <si>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</si>
  <si>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</si>
  <si>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</si>
  <si>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</si>
  <si>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</si>
  <si>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</si>
  <si>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</si>
  <si>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</si>
  <si>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</si>
  <si>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</si>
  <si>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</si>
  <si>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</si>
  <si>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</si>
  <si>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</si>
  <si>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</si>
  <si>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</si>
  <si>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</si>
  <si>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</si>
  <si>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</si>
  <si>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</si>
  <si>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</si>
  <si>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</si>
  <si>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</si>
  <si>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</si>
  <si>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</si>
  <si>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</si>
  <si>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</si>
  <si>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</si>
  <si>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</si>
  <si>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</si>
  <si>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</si>
  <si>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</si>
  <si>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</si>
  <si>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</si>
  <si>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</si>
  <si>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</si>
  <si>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</si>
  <si>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</si>
  <si>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</si>
  <si>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</si>
  <si>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</si>
  <si>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</si>
  <si>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</si>
  <si>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</si>
  <si>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</si>
  <si>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</si>
  <si>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</si>
  <si>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</si>
  <si>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</si>
  <si>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</si>
  <si>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</si>
  <si>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</si>
  <si>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</si>
  <si>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</si>
  <si>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</si>
  <si>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</si>
  <si>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</si>
  <si>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</si>
  <si>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</si>
  <si>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</si>
  <si>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</si>
  <si>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</si>
  <si>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</si>
  <si>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>AV-4; Page 1; Line 26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</si>
  <si>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</si>
  <si>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</si>
  <si>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</si>
  <si>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</si>
  <si>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</si>
  <si>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</si>
  <si>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</si>
  <si>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</si>
  <si>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</si>
  <si>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</si>
  <si>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</si>
  <si>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</si>
  <si>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</si>
  <si>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</si>
  <si>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</si>
  <si>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</si>
  <si>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</si>
  <si>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</si>
  <si>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</si>
  <si>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</si>
  <si>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</si>
  <si>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</si>
  <si>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</si>
  <si>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</si>
  <si>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</si>
  <si>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</si>
  <si>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</si>
  <si>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</si>
  <si>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</si>
  <si>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</si>
  <si>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</si>
  <si>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</si>
  <si>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</si>
  <si>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</si>
  <si>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</si>
  <si>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</si>
  <si>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</si>
  <si>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</si>
  <si>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</si>
  <si>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</si>
  <si>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</si>
  <si>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</si>
  <si>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</si>
  <si>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</si>
  <si>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</si>
  <si>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</si>
  <si>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</si>
  <si>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</si>
  <si>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</si>
  <si>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</si>
  <si>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</si>
  <si>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</si>
  <si>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</si>
  <si>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</si>
  <si>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</si>
  <si>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</si>
  <si>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</si>
  <si>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</si>
  <si>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</si>
  <si>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</si>
  <si>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</si>
  <si>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</si>
  <si>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</si>
  <si>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</si>
  <si>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</si>
  <si>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</si>
  <si>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</si>
  <si>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</si>
  <si>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</si>
  <si>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</si>
  <si>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</si>
  <si>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</si>
  <si>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</si>
  <si>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</si>
  <si>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Statement AD; Line 11</t>
  </si>
  <si>
    <t>Transmission Related Electric Misc. Intangible Plant</t>
  </si>
  <si>
    <t>Statement AD; Line 27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</si>
  <si>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</si>
  <si>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</si>
  <si>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</si>
  <si>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</si>
  <si>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</si>
  <si>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</si>
  <si>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</si>
  <si>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</si>
  <si>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</si>
  <si>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</si>
  <si>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</si>
  <si>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</si>
  <si>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</si>
  <si>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</si>
  <si>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</si>
  <si>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</si>
  <si>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</si>
  <si>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</si>
  <si>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</si>
  <si>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</si>
  <si>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</si>
  <si>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</si>
  <si>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</si>
  <si>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</si>
  <si>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</si>
  <si>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</si>
  <si>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</si>
  <si>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</si>
  <si>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</si>
  <si>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</si>
  <si>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Addtl A&amp;G</t>
  </si>
  <si>
    <t>Posted FERC Interest rates</t>
  </si>
  <si>
    <t>Pg5 Rev Section 2; Page 1; Line 25</t>
  </si>
  <si>
    <t>Pg7 Rev Section 4; Page TU; Col. 11; Line 21</t>
  </si>
  <si>
    <t>Sum Lines 20, 22, 24</t>
  </si>
  <si>
    <t xml:space="preserve">Negative of AH-2; Line 41; Col. b </t>
  </si>
  <si>
    <t xml:space="preserve">   CPUC Reimbursement Fees</t>
  </si>
  <si>
    <t>Form 1; Page 320-323; Line 181</t>
  </si>
  <si>
    <t>Form 1; Page 320-323; Line 182</t>
  </si>
  <si>
    <t>Form 1; Page 320-323; Line 183</t>
  </si>
  <si>
    <t>Form 1; Page 320-323; Line 184</t>
  </si>
  <si>
    <t>Form 1; Page 320-323; Line 185</t>
  </si>
  <si>
    <t>Form 1; Page 320-323; Line 186</t>
  </si>
  <si>
    <t>Form 1; Page 320-323; Line 187</t>
  </si>
  <si>
    <t>Form 1; Page 320-323; Line 188</t>
  </si>
  <si>
    <t>Form 1; Page 320-323; Line 189</t>
  </si>
  <si>
    <t>Form 1; Page 320-323; Line 190</t>
  </si>
  <si>
    <t>Form 1; Page 320-323; Line 191</t>
  </si>
  <si>
    <t>Form 1; Page 320-323; Line 192</t>
  </si>
  <si>
    <t>Form 1; Page 320-323; Line 193</t>
  </si>
  <si>
    <t>Form 1; Page 320-323; Line 196</t>
  </si>
  <si>
    <t>Energy Efficiency</t>
  </si>
  <si>
    <t>Electric Power Research Institute (EPRI) Dues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</si>
  <si>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</si>
  <si>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110-111; Footnote Data (b)</t>
  </si>
  <si>
    <t>Statement AH; Line 17</t>
  </si>
  <si>
    <t>Statement AH; Line 39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</si>
  <si>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</si>
  <si>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</si>
  <si>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</si>
  <si>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</si>
  <si>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</si>
  <si>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</si>
  <si>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</si>
  <si>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</si>
  <si>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</si>
  <si>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</si>
  <si>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</si>
  <si>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</si>
  <si>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</si>
  <si>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</si>
  <si>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</si>
  <si>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</si>
  <si>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</si>
  <si>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</si>
  <si>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</si>
  <si>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</si>
  <si>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</si>
  <si>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</si>
  <si>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</si>
  <si>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</si>
  <si>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</si>
  <si>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</si>
  <si>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</si>
  <si>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</si>
  <si>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</si>
  <si>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</si>
  <si>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</si>
  <si>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</si>
  <si>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</si>
  <si>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</si>
  <si>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</si>
  <si>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</si>
  <si>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</si>
  <si>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</si>
  <si>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</si>
  <si>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</si>
  <si>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Section 2; Page 1; Line 25</t>
  </si>
  <si>
    <t>Section 4; Page TU; Col. 11; Line 21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</si>
  <si>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</si>
  <si>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</si>
  <si>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</si>
  <si>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</si>
  <si>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</si>
  <si>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</si>
  <si>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</si>
  <si>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</si>
  <si>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</si>
  <si>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</si>
  <si>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</si>
  <si>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</si>
  <si>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</si>
  <si>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</si>
  <si>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</si>
  <si>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</si>
  <si>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</si>
  <si>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</si>
  <si>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</si>
  <si>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>AH-1; Line 42</t>
  </si>
  <si>
    <t>Negative of AH-2; Line 42; Col. b</t>
  </si>
  <si>
    <t>Negative of AH-2; Line 43; Col. b</t>
  </si>
  <si>
    <t>Negative of AH-2; Line 52; Col. b</t>
  </si>
  <si>
    <t>Negative of AH-2; Line 53; Col. b</t>
  </si>
  <si>
    <t>Negative of AH-2; Line 54; Col. b</t>
  </si>
  <si>
    <t>Sum Lines 5 thru 16</t>
  </si>
  <si>
    <t>AH-3; Line 20; Col. a</t>
  </si>
  <si>
    <t>Sum Lines 20 thru 32</t>
  </si>
  <si>
    <t>Line 33 + Line 34</t>
  </si>
  <si>
    <t>Line 35 x Line 36</t>
  </si>
  <si>
    <t>Negative of Line 34 x Line 58</t>
  </si>
  <si>
    <t>Line 37 + Line 38</t>
  </si>
  <si>
    <t>Sum Lines 42 thru 45</t>
  </si>
  <si>
    <t>Line 42 Above</t>
  </si>
  <si>
    <t>Sum Lines 48 thru 55</t>
  </si>
  <si>
    <t>Line 46 / Line 56</t>
  </si>
  <si>
    <t>(d)</t>
  </si>
  <si>
    <t>Adj</t>
  </si>
  <si>
    <t>A&amp;G</t>
  </si>
  <si>
    <t>Derivation of Other Adjustments Applicable to Appendix X Cycle 12</t>
  </si>
  <si>
    <r>
      <t xml:space="preserve">Appendix X Cycle 13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</si>
  <si>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Appendix X Cycle 13 Annual Informational Filing </t>
  </si>
  <si>
    <t>Revised - Appendix X Cycle 12</t>
  </si>
  <si>
    <t>As Filed - Appendix X Cycle 12 ER24-176</t>
  </si>
  <si>
    <t>Rate Effective Period January 1, 2024 to December 31, 2024</t>
  </si>
  <si>
    <t>Source: Orig. Filing; Appendix X Cycle 12; Summary of Cost Components; ER24-176</t>
  </si>
  <si>
    <t>Base Period &amp; True-Up Period 12 - Months Ending December 31, 2022</t>
  </si>
  <si>
    <t>True-Up Period - January 1, 2022 to December 31, 2022</t>
  </si>
  <si>
    <t>Negative of AH-3; Line 39; Col. a</t>
  </si>
  <si>
    <t>Negative of AH-3; Sum Lines (29, 35); Col. a; and Line 31; Col. b</t>
  </si>
  <si>
    <t>Negative of AH-3; Line 36; Col. a</t>
  </si>
  <si>
    <t>Negative of AH-3; Line 37; Col. a</t>
  </si>
  <si>
    <t>Negative of AH-3; Line 33; Col. a</t>
  </si>
  <si>
    <t>Not Applicable to 2022 Base Period</t>
  </si>
  <si>
    <t>Negative of AH-3; Line 38; Col. b</t>
  </si>
  <si>
    <t>Negative of AH-3; Line 32; Col. b</t>
  </si>
  <si>
    <t>Negative of AH-3; Line 41; Col. b</t>
  </si>
  <si>
    <t xml:space="preserve">Negative of AH-3; Line 34; Col. a   </t>
  </si>
  <si>
    <t>Negative of AH-3; Sum Lines (30, 40); Col. a; and Sum Lines (25, 26, 28); Col. b</t>
  </si>
  <si>
    <t xml:space="preserve"> 12 Months Ending December 31, 2022</t>
  </si>
  <si>
    <r>
      <t xml:space="preserve">Other Exclusion - FERC Audit Adjustments (Finding #7) </t>
    </r>
    <r>
      <rPr>
        <vertAlign val="superscript"/>
        <sz val="12"/>
        <rFont val="Times New Roman"/>
        <family val="1"/>
      </rPr>
      <t>2</t>
    </r>
  </si>
  <si>
    <r>
      <t xml:space="preserve">Other Exclusion - FERC Audit Adjustments (Finding #3) </t>
    </r>
    <r>
      <rPr>
        <vertAlign val="superscript"/>
        <sz val="12"/>
        <rFont val="Times New Roman"/>
        <family val="1"/>
      </rPr>
      <t>3</t>
    </r>
  </si>
  <si>
    <r>
      <t xml:space="preserve">Other Exclusion - FERC Audit Adjustments (Finding #3) -  True-up </t>
    </r>
    <r>
      <rPr>
        <vertAlign val="superscript"/>
        <sz val="12"/>
        <rFont val="Times New Roman"/>
        <family val="1"/>
      </rPr>
      <t>4</t>
    </r>
  </si>
  <si>
    <t>CPUC reimbursement fees</t>
  </si>
  <si>
    <t xml:space="preserve">Represents FERC Audit adjusting entry on Finding #7 - accounting for donations &amp; lobbying expenses related to prior year A&amp;G costs that were missed and </t>
  </si>
  <si>
    <t xml:space="preserve">credited in 2022 resulting from the 2020 FERC Audit are excluded from TO5 Cycle 6. The impact of FERC audit adjustments and corresponding refunds will be </t>
  </si>
  <si>
    <t>accounted for in a separate FERC Audit refund analysis filed with FERC.</t>
  </si>
  <si>
    <t xml:space="preserve">Represents FERC Audit adjusting entry on Finding #3 - allocation of OH costs to CWIP approved by FERC audit staff was debited to A&amp;G costs in 2022 are </t>
  </si>
  <si>
    <t>excluded from TO5 Cycle 6. The impact of FERC audit adjustments and corresponding refunds will be accounted for in a separate FERC Audit refund analysis</t>
  </si>
  <si>
    <t xml:space="preserve"> filed with FERC.</t>
  </si>
  <si>
    <t xml:space="preserve">Represents reversal of prior exclusions on Finding #3 originally reported in TO5 Cycle 4 at $6,031K and in TO5 Cycle 5 at $9,501K for a total of $15,532K to FE923. </t>
  </si>
  <si>
    <t xml:space="preserve">The actual approved amount as shown in footnote 3 is $14,790K. The impact of FERC audit adjustments and corresponding refunds will be accounted for in a </t>
  </si>
  <si>
    <t>separate FERC Audit refund analysis filed with FERC.</t>
  </si>
  <si>
    <r>
      <t xml:space="preserve">Lobbying and discrimination related legal charges </t>
    </r>
    <r>
      <rPr>
        <b/>
        <vertAlign val="superscript"/>
        <sz val="12"/>
        <rFont val="Times New Roman"/>
        <family val="1"/>
      </rPr>
      <t>5</t>
    </r>
  </si>
  <si>
    <t>(e) = (c) - (d)</t>
  </si>
  <si>
    <t xml:space="preserve">Represents Sempra legal fees and personnel dispute matters related to lobbying and discrimination related legal matters that should have been below the line charges. </t>
  </si>
  <si>
    <r>
      <t xml:space="preserve">Other Exclusion - FERC Audit Adjustments (Finding #7)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</si>
  <si>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Adjustments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</si>
  <si>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Adjustments (Finding #3) -  True-up </t>
    </r>
    <r>
      <rPr>
        <b/>
        <vertAlign val="superscript"/>
        <sz val="12"/>
        <rFont val="Times New Roman"/>
        <family val="1"/>
      </rPr>
      <t>4</t>
    </r>
  </si>
  <si>
    <t>Source: As Filed Appendix X Cycle 12; AV-4; ER24-176</t>
  </si>
  <si>
    <t>Source: As Filed Appendix X Cycle 12; Stmt AV; ER24-176</t>
  </si>
  <si>
    <t>Source: As Filed Appendix X Cycle 12; Stmt AH; ER24-176</t>
  </si>
  <si>
    <t>Source: As Filed Appendix X Cycle 12; AH-3; ER24-176</t>
  </si>
  <si>
    <t>Source: As Filed Appendix X Cycle 12; Stmt AL; ER24-176</t>
  </si>
  <si>
    <t>Derivation of Interest Expense on Other Adjustments Applicable to Appendix X Cycle 12</t>
  </si>
  <si>
    <t>Negative of AH-2; Line 55; Col. b</t>
  </si>
  <si>
    <t>This should have been shown as a credit in the exclusion to add back the credit in the 2022 A&amp;G and accounted for separately in the FERC Audit refund analysis filed with FERC.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</si>
  <si>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</si>
  <si>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Other Cost Adjustments due to Appendix X Cycle 12 Cost Adjustments Calculation:</t>
  </si>
  <si>
    <t>This amount represents the Non-Direct A&amp;G expenses billed to Citizens in 2022, which is added back to derive Total Adjusted A&amp;G Expenses in SAP</t>
  </si>
  <si>
    <r>
      <t xml:space="preserve">Statement AF </t>
    </r>
    <r>
      <rPr>
        <b/>
        <vertAlign val="superscript"/>
        <sz val="12"/>
        <rFont val="Times New Roman"/>
        <family val="1"/>
      </rPr>
      <t>1</t>
    </r>
  </si>
  <si>
    <t>Deferred Credits</t>
  </si>
  <si>
    <t>(c) = [(a)+(b)]/2</t>
  </si>
  <si>
    <t>FERC Account 190</t>
  </si>
  <si>
    <t>FERC Account 282</t>
  </si>
  <si>
    <t>FERC Account 283</t>
  </si>
  <si>
    <r>
      <t xml:space="preserve">     Total Transmission Related ADIT </t>
    </r>
    <r>
      <rPr>
        <b/>
        <vertAlign val="superscript"/>
        <sz val="12"/>
        <rFont val="Times New Roman"/>
        <family val="1"/>
      </rPr>
      <t>2</t>
    </r>
  </si>
  <si>
    <t>Incentive Transmission Plant ADIT</t>
  </si>
  <si>
    <t>Transmission Plant Abandoned ADIT</t>
  </si>
  <si>
    <t>Incentive Transmission Plant Abandoned Project Cost ADIT</t>
  </si>
  <si>
    <t>Items in BOLD have changed due to FERC audit adj. in response to SDG&amp;E's audit report dated July 30, 2020 compared to the original Appendix X Cycle 11 filing per ER23-109.</t>
  </si>
  <si>
    <t>Statement AF is utilized in the derivation of Transmission Rate Base for use in Statement AV.</t>
  </si>
  <si>
    <t xml:space="preserve">The allocated general and common accumulated deferred income taxes are included in the total transmission related accumulated deferred income taxes. See FERC Form 1; Page 274-275; </t>
  </si>
  <si>
    <t xml:space="preserve">Footnote Data (a) and (b). </t>
  </si>
  <si>
    <t xml:space="preserve">STATEMENT AF </t>
  </si>
  <si>
    <t>ACCUMULATED DEFERRED INCOME TAXES - ELECTRIC TRANSMISSION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</si>
  <si>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</si>
  <si>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</si>
  <si>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</si>
  <si>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</si>
  <si>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</si>
  <si>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</si>
  <si>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Account 190 (Non-Citizens)</t>
  </si>
  <si>
    <t xml:space="preserve">   Compensation Related Items</t>
  </si>
  <si>
    <t xml:space="preserve">   Post Retirement Benefits</t>
  </si>
  <si>
    <t xml:space="preserve">   Net Operating Loss</t>
  </si>
  <si>
    <t xml:space="preserve">     Total of Account 190</t>
  </si>
  <si>
    <t>Account 282 (Non-Citizens)</t>
  </si>
  <si>
    <t xml:space="preserve">   Accumulated Depreciation Timing Differences</t>
  </si>
  <si>
    <t>SDG&amp;E Records</t>
  </si>
  <si>
    <t xml:space="preserve">     Total of Account 282</t>
  </si>
  <si>
    <t>Account 283 (Non-Citizens)</t>
  </si>
  <si>
    <t xml:space="preserve">   Ad Valorem Taxes</t>
  </si>
  <si>
    <t xml:space="preserve">     Total of Account 283</t>
  </si>
  <si>
    <t>Account 190 (Citizens Sunrise)</t>
  </si>
  <si>
    <t>Account 282 (Citizens Sunrise)</t>
  </si>
  <si>
    <t>Account 283 (Citizens Sunrise)</t>
  </si>
  <si>
    <t xml:space="preserve">2022 Form 1; Page 234; Footnote Data (d) </t>
  </si>
  <si>
    <t xml:space="preserve">2022 Form 1; Page 274-275; Footnote Data (b) </t>
  </si>
  <si>
    <t>2022 Form 1; Page 276-277; Footnote Data (b)</t>
  </si>
  <si>
    <t>2022 Form 1; Page 274-275; Footnote Data (b)</t>
  </si>
  <si>
    <t>31-Dec-21</t>
  </si>
  <si>
    <t>31-Dec-22</t>
  </si>
  <si>
    <t>Source: As Filed Appendix X Cycle 12; Stmt AF; ER24-176</t>
  </si>
  <si>
    <t>Source: As Filed Appendix X Cycle 12; AF-1; ER24-176</t>
  </si>
  <si>
    <t>Base Period 12 Months Ending December 31, 2022</t>
  </si>
  <si>
    <t>Electric Transmission O&amp;M Expenses</t>
  </si>
  <si>
    <t>Electric Transmission Operation</t>
  </si>
  <si>
    <t>Operation Supervision and Engineering</t>
  </si>
  <si>
    <t>Form 1; Page 320-323; Line 83</t>
  </si>
  <si>
    <t>Load Dispatch - Reliability</t>
  </si>
  <si>
    <t>Form 1; Page 320-323; Line 85</t>
  </si>
  <si>
    <t>Load Dispatch - Monitor and Operate Transmission System</t>
  </si>
  <si>
    <t>Form 1; Page 320-323; Line 86</t>
  </si>
  <si>
    <t>Load Dispatch - Transmission Service and Scheduling</t>
  </si>
  <si>
    <t>Form 1; Page 320-323; Line 87</t>
  </si>
  <si>
    <t xml:space="preserve">Scheduling, System Control and Dispatch Services </t>
  </si>
  <si>
    <t>Form 1; Page 320-323; Line 88</t>
  </si>
  <si>
    <t>Reliability, Planning and Standards Development</t>
  </si>
  <si>
    <t>Form 1; Page 320-323; Line 89</t>
  </si>
  <si>
    <t>Transmission Service Studies</t>
  </si>
  <si>
    <t>Form 1; Page 320-323; Line 90</t>
  </si>
  <si>
    <t>Generation Interconnection Studies</t>
  </si>
  <si>
    <t>Form 1; Page 320-323; Line 91</t>
  </si>
  <si>
    <t xml:space="preserve">Reliability, Planning and Standards Development Services </t>
  </si>
  <si>
    <t>Form 1; Page 320-323; Line 92</t>
  </si>
  <si>
    <r>
      <t xml:space="preserve">Station Expenses </t>
    </r>
    <r>
      <rPr>
        <b/>
        <vertAlign val="superscript"/>
        <sz val="12"/>
        <rFont val="Times New Roman"/>
        <family val="1"/>
      </rPr>
      <t>1</t>
    </r>
  </si>
  <si>
    <t>Form 1; Page 320-323; Line 93</t>
  </si>
  <si>
    <t xml:space="preserve">Overhead Line Expenses  </t>
  </si>
  <si>
    <t>Form 1; Page 320-323; Line 94</t>
  </si>
  <si>
    <t>Underground Line Expenses</t>
  </si>
  <si>
    <t>Form 1; Page 320-323; Line 95</t>
  </si>
  <si>
    <t>Transmission of Electricity by Others</t>
  </si>
  <si>
    <t>Form 1; Page 320-323; Line 96</t>
  </si>
  <si>
    <t>Misc. Transmission Expenses</t>
  </si>
  <si>
    <t>Form 1; Page 320-323; Line 97</t>
  </si>
  <si>
    <t>Form 1; Page 320-323; Line 98</t>
  </si>
  <si>
    <t xml:space="preserve">     Total Electric Transmission Operation </t>
  </si>
  <si>
    <t>Electric Transmission Maintenance</t>
  </si>
  <si>
    <t>Maintenance Supervision and Engineering</t>
  </si>
  <si>
    <t>Form 1; Page 320-323; Line 101</t>
  </si>
  <si>
    <t>Maintenance of Structures</t>
  </si>
  <si>
    <t>Form 1; Page 320-323; Line 102</t>
  </si>
  <si>
    <t>Maintenance of Computer Hardware</t>
  </si>
  <si>
    <t>Form 1; Page 320-323; Line 103</t>
  </si>
  <si>
    <t>Maintenance of Computer Software</t>
  </si>
  <si>
    <t>Form 1; Page 320-323; Line 104</t>
  </si>
  <si>
    <t>Maintenance of Communication Equipment</t>
  </si>
  <si>
    <t>Form 1; Page 320-323; Line 105</t>
  </si>
  <si>
    <t>Maintenance of Misc. Regional Transmission Plant</t>
  </si>
  <si>
    <t>Form 1; Page 320-323; Line 106</t>
  </si>
  <si>
    <r>
      <t>Maintenance of Station Equipment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</si>
  <si>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Form 1; Page 320-323; Line 107</t>
  </si>
  <si>
    <r>
      <t xml:space="preserve">Maintenance of Overhead Lines </t>
    </r>
    <r>
      <rPr>
        <b/>
        <vertAlign val="superscript"/>
        <sz val="12"/>
        <rFont val="Times New Roman"/>
        <family val="1"/>
      </rPr>
      <t>2</t>
    </r>
  </si>
  <si>
    <t>Form 1; Page 320-323; Line 108</t>
  </si>
  <si>
    <r>
      <t xml:space="preserve">Maintenance of Underground Lines </t>
    </r>
    <r>
      <rPr>
        <b/>
        <vertAlign val="superscript"/>
        <sz val="12"/>
        <rFont val="Times New Roman"/>
        <family val="1"/>
      </rPr>
      <t>1</t>
    </r>
  </si>
  <si>
    <t>Form 1; Page 320-323; Line 109</t>
  </si>
  <si>
    <t>Maintenance of Misc. Transmission Plant</t>
  </si>
  <si>
    <t>Form 1; Page 320-323; Line 110</t>
  </si>
  <si>
    <t xml:space="preserve">  Total Electric Transmission Maintenance</t>
  </si>
  <si>
    <t>Total Electric Transmission O&amp;M Expenses</t>
  </si>
  <si>
    <r>
      <t xml:space="preserve">Transmission O&amp;M Expenses Charged to Citizens </t>
    </r>
    <r>
      <rPr>
        <b/>
        <vertAlign val="superscript"/>
        <sz val="12"/>
        <rFont val="Times New Roman"/>
        <family val="1"/>
      </rPr>
      <t>3</t>
    </r>
  </si>
  <si>
    <t>Total Adjusted Electric Transmission O&amp;M Expenses</t>
  </si>
  <si>
    <t>Excluded Expenses (recovery method in parentheses)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</si>
  <si>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</si>
  <si>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</si>
  <si>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</si>
  <si>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</si>
  <si>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</si>
  <si>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 xml:space="preserve">Underground Line Expenses  </t>
  </si>
  <si>
    <t>Transmission of Electricity by Others (ERRA)</t>
  </si>
  <si>
    <t>566</t>
  </si>
  <si>
    <t>Misc. Transmission Expenses:</t>
  </si>
  <si>
    <t xml:space="preserve">     Century Energy Systems Balancing Account (CES-21BA)</t>
  </si>
  <si>
    <t xml:space="preserve">     Hazardous Substance Cleanup Cost Memo Account (HSCCMA)</t>
  </si>
  <si>
    <t xml:space="preserve">     ISO Grid Management Costs (ERRA)</t>
  </si>
  <si>
    <t xml:space="preserve">     Reliability Services (RS rates)</t>
  </si>
  <si>
    <t xml:space="preserve">     Other (TRBAA, TACBAA) </t>
  </si>
  <si>
    <r>
      <t xml:space="preserve">Maintenance of Station Equipment </t>
    </r>
    <r>
      <rPr>
        <b/>
        <vertAlign val="superscript"/>
        <sz val="12"/>
        <rFont val="Times New Roman"/>
        <family val="1"/>
      </rPr>
      <t>1</t>
    </r>
  </si>
  <si>
    <t>Citizens O&amp;M should not include substation, underground, and overhead line maintenance per the Appendix X Tariff (See Section I.C - number 31).</t>
  </si>
  <si>
    <t>As a result, such items are excluded in Column b.</t>
  </si>
  <si>
    <t xml:space="preserve">Account 571 for Overhead Line Maintenance is excluded because Citizens is charged via a Direct Maintenance order, which is reflected on AH-1. </t>
  </si>
  <si>
    <t>Transmission O&amp;M Expenses in SAP Account 7000716, which was created to track Citizens Border East Line O&amp;M Expense.</t>
  </si>
  <si>
    <t>Source: As Filed Appendix X Cycle 12; AH-2; ER24-176</t>
  </si>
  <si>
    <t xml:space="preserve">Add / (Deduct) </t>
  </si>
  <si>
    <t>Revised</t>
  </si>
  <si>
    <t>O&amp;M Cost Adj</t>
  </si>
  <si>
    <t xml:space="preserve">O&amp;M </t>
  </si>
  <si>
    <t xml:space="preserve">In-house fire brigade costs </t>
  </si>
  <si>
    <t>A&amp;G exclusion adjustment in SDG&amp;E's TO5 Cycle 6 Dec filing per ER24-524 that were not part of the Appendix X Cycle 12 Oct filing per ER24-176 as described in footnote 6.</t>
  </si>
  <si>
    <t>Negative of Pg9.2 Rev AH-2; Line 37; Col. d</t>
  </si>
  <si>
    <t>Sum Lines 5 thru 17</t>
  </si>
  <si>
    <t>Negative of AH-3; Line 42; Col. a</t>
  </si>
  <si>
    <t>Negative of AH-3; Sum Lines (32, 38); Col. a; and Line 34; Col. b</t>
  </si>
  <si>
    <t>Negative of AH-3; Line 40; Col. a</t>
  </si>
  <si>
    <t>Negative of AH-3; Line 35; Col. b</t>
  </si>
  <si>
    <t>Negative of AH-3; Line 44; Col. b</t>
  </si>
  <si>
    <t xml:space="preserve">Negative of AH-3; Line 37; Col. a   </t>
  </si>
  <si>
    <t xml:space="preserve">Negative of AH-3; Sum Lines (33, 43); Col. a; and Sum Lines (26, 27, 30); Col. b </t>
  </si>
  <si>
    <t>Negative of Pg9.4 Rev AH-3; Line 21; Col. d</t>
  </si>
  <si>
    <t>Sum Lines 21 thru 34</t>
  </si>
  <si>
    <t>Negative of Rev AH-3; Pg8.2; Line 6; Col. c</t>
  </si>
  <si>
    <t>Line 35 + Line 36</t>
  </si>
  <si>
    <t>Line 37 x Line 38</t>
  </si>
  <si>
    <t>Negative of Line 36 x Line 60</t>
  </si>
  <si>
    <t>Line 39 + Line 40</t>
  </si>
  <si>
    <t>Sum Lines 44 thru 47</t>
  </si>
  <si>
    <t>Line 44 Above</t>
  </si>
  <si>
    <t>Sum Lines 50 thru 57</t>
  </si>
  <si>
    <t>Line 48 / Line 58</t>
  </si>
  <si>
    <t>Pg9 Rev Statement AH; Line 18</t>
  </si>
  <si>
    <t>Pg9 Rev Statement AH; Line 41</t>
  </si>
  <si>
    <t>Pg8 Rev Statement AF; Line 7</t>
  </si>
  <si>
    <t>Pg10 Rev Statement AL; Line 19</t>
  </si>
  <si>
    <t>Pg13 Rev AV-4; Page 1; Line 26</t>
  </si>
  <si>
    <t>Pg11 Rev Statement AV2; Line 31</t>
  </si>
  <si>
    <t>Page 15 Line 44; Col. 5</t>
  </si>
  <si>
    <t>AF-1 and AF-2; Line 5 + Line 21; Col. d</t>
  </si>
  <si>
    <t>AF-1 and AF-2; Line 10 + Line 26; Col. d</t>
  </si>
  <si>
    <t>AF-1 and AF-2; Line 15 + Line 31; Col. d</t>
  </si>
  <si>
    <t>AF-1 and AF-2; Line 34; Col. d</t>
  </si>
  <si>
    <t>12 Months Ending December 31, 2022</t>
  </si>
  <si>
    <t>This amount represents the Direct Maintenance and Non-Direct O&amp;M expenses billed to Citizens in 2022, which is added back to derive Total Adjusted Electric</t>
  </si>
  <si>
    <t>Sum Lines 1 thru 5</t>
  </si>
  <si>
    <t>Represents 2022 O&amp;M expenses for in-house fire brigade costs transferred to A&amp;G FERC account 923, Outside Services Employed per FERC Order in SDG&amp;E's TO5 Cycle 6 (ER24-524).</t>
  </si>
  <si>
    <t>√√</t>
  </si>
  <si>
    <r>
      <t xml:space="preserve">     In-house fire brigade costs </t>
    </r>
    <r>
      <rPr>
        <b/>
        <vertAlign val="superscript"/>
        <sz val="12"/>
        <rFont val="Times New Roman"/>
        <family val="1"/>
      </rPr>
      <t>4</t>
    </r>
  </si>
  <si>
    <r>
      <t>(d)</t>
    </r>
    <r>
      <rPr>
        <b/>
        <vertAlign val="superscript"/>
        <sz val="12"/>
        <rFont val="Times New Roman"/>
        <family val="1"/>
      </rPr>
      <t xml:space="preserve"> 4</t>
    </r>
  </si>
  <si>
    <r>
      <t>Duplicate Charges (Company Energy Use)</t>
    </r>
    <r>
      <rPr>
        <b/>
        <vertAlign val="superscript"/>
        <sz val="12"/>
        <rFont val="Times New Roman"/>
        <family val="1"/>
      </rPr>
      <t xml:space="preserve"> </t>
    </r>
  </si>
  <si>
    <t>This is to correct the overallocation of duplicate charges credit for company energy use in FERC Account no. 929.</t>
  </si>
  <si>
    <t>Rev AH-3; Line 21; Col. a</t>
  </si>
  <si>
    <t>Source: As Filed Appendix X Cycle 12; Sec 2-Non-Direct Exp; ER24-176</t>
  </si>
  <si>
    <t>Source: As Filed Appendix X Cycle 12; Sec 4-TU; ER24-176</t>
  </si>
  <si>
    <t xml:space="preserve">Items in BOLD have changed to correct the over-allocation of "Duplicate Charges (Company Energy Use)" Credit accounted for in FERC account 929, adjustments attributed to </t>
  </si>
  <si>
    <t xml:space="preserve">Items in BOLD have changed to correct the over-allocation of "Duplicate Charges (Company Energy Use)" Credit accounted for in FERC account 929, </t>
  </si>
  <si>
    <t>and other adjustments in SDG&amp;E's December filing that did not get included in Appendix X Cycle 12 ER24-176 October filing.</t>
  </si>
  <si>
    <t>Items in BOLD have changed due to adjustments attributed to Fire Brigade Expenses as required in SDG&amp;E's FERC Order ER24-524.</t>
  </si>
  <si>
    <t>Items in BOLD have changed to correct the over-allocation of "Duplicate Charges (Company Energy Use)" Credit accounted for in FERC account 929, adjustments attributed to Accrued Bonus DTA and</t>
  </si>
  <si>
    <t>Fire Brigade Expenses as required in SDG&amp;E's FERC Order ER24-524, and other adjustments in SDG&amp;E's December filing that did not get included in Appendix X Cycle 12 ER24-176 October filing.</t>
  </si>
  <si>
    <t xml:space="preserve">Accrued Bonus DTA and Fire Brigade Expenses as required in SDG&amp;E's FERC Order ER24-524, and other adjustments in SDG&amp;E's December filing that did not get included in </t>
  </si>
  <si>
    <t>Appendix X Cycle 12 ER24-176 October filing.</t>
  </si>
  <si>
    <t>Items in BOLD have changed to correct the over-allocation of "Duplicate Charges (Company Energy Use)" Credit accounted for in FERC account 929, adjustments</t>
  </si>
  <si>
    <t xml:space="preserve">attributed to Accrued Bonus DTA and Fire Brigade Expenses as required in SDG&amp;E's FERC Order ER24-524, and other adjustments in SDG&amp;E's December filing </t>
  </si>
  <si>
    <t>that did not get included in Appendix X Cycle 12 ER24-176 October filing.</t>
  </si>
  <si>
    <t>Items in BOLD have changed for adjustments attributed to Accrued Bonus DTA as required in SDG&amp;E's FERC Order ER24-524.</t>
  </si>
  <si>
    <t>Items in BOLD have changed to correct the over-allocation of "Duplicate Charges (Company Energy Use)" Credit accounted for in FERC account 929, adjustments attributed to Accrued Bonus DTA and Fire Brigade Expenses as required in SDG&amp;E's FERC Order ER24-524,</t>
  </si>
  <si>
    <t>Section C.6a of the Protocols provides a mechanism for SDG&amp;E to correct errors that affected the Appendix X costs in a previous Informational Filing. In this Appendix X</t>
  </si>
  <si>
    <t>Cycle 13 Informational Filing, SDG&amp;E is correcting Appendix X Cycle 12 for approximately ($15K) for the over-allocation of "Duplicate Charges (Company Energy Use)"</t>
  </si>
  <si>
    <t xml:space="preserve">Credit accounted for in FERC account 929, adjustments attributed to Accrued Bonus DTA and Fire Brigade Expenses as required  in SDG&amp;E's FERC Order ER24-524, </t>
  </si>
  <si>
    <t>of the Sunrise - Border East Line in the previous Appendix X Cycle 12 filing causing its correction in the Appendix X Cycle 13 Annual Informational Filing.</t>
  </si>
  <si>
    <t>and other adjustments in SDG&amp;E's December filing that did not get included in Appendix X Cycle 12 ER24-176 October filing. This error overstated the Citizens Share</t>
  </si>
  <si>
    <t>SDG&amp;E's December filing that did not get included in Appendix X Cycle 12 ER24-176 October filing.</t>
  </si>
  <si>
    <t>adjustments attributed to Accrued Bonus DTA and Fire Brigade Expenses as required in SDG&amp;E's FERC Order ER24-524, and other adjustments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</si>
</sst>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  <numFmt numFmtId="179" formatCode="_(&quot;$&quot;* #,##0.0_);_(&quot;$&quot;* \(#,##0.0\);_(&quot;$&quot;* &quot;-&quot;??_);_(@_)"/>
    <numFmt numFmtId="180" formatCode="_(* #,##0.0_);_(* \(#,##0.0\);_(* &quot;-&quot;??_);_(@_)"/>
    <numFmt numFmtId="181" formatCode="[$-409]d\-mmm\-yy;@"/>
    <numFmt numFmtId="182" formatCode="_(&quot;$&quot;* #,##0.0000000_);_(&quot;$&quot;* \(#,##0.00000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  <font>
      <vertAlign val="superscript"/>
      <sz val="12"/>
      <name val="Times New Roman"/>
      <family val="1"/>
    </font>
    <font>
      <b/>
      <vertAlign val="superscript"/>
      <sz val="12"/>
      <name val="Calibri"/>
      <family val="2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26" fillId="5" borderId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925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7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164" fontId="5" fillId="0" borderId="15" xfId="2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8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8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7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6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9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5" fillId="0" borderId="23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2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2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2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2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3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5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6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2" xfId="11" applyFont="1" applyBorder="1" applyAlignment="1">
      <alignment horizontal="center"/>
    </xf>
    <xf numFmtId="0" fontId="5" fillId="0" borderId="22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3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3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8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10" fontId="5" fillId="0" borderId="22" xfId="19" applyNumberFormat="1" applyFont="1" applyBorder="1" applyAlignment="1">
      <alignment horizontal="center"/>
    </xf>
    <xf numFmtId="10" fontId="5" fillId="0" borderId="14" xfId="19" applyNumberFormat="1" applyFont="1" applyBorder="1" applyAlignment="1">
      <alignment horizontal="center"/>
    </xf>
    <xf numFmtId="164" fontId="9" fillId="2" borderId="22" xfId="20" applyNumberFormat="1" applyFont="1" applyFill="1" applyBorder="1" applyAlignment="1">
      <alignment horizontal="right" vertical="center"/>
    </xf>
    <xf numFmtId="41" fontId="9" fillId="0" borderId="14" xfId="13" applyNumberFormat="1" applyFont="1" applyBorder="1" applyAlignment="1">
      <alignment horizontal="center"/>
    </xf>
    <xf numFmtId="164" fontId="9" fillId="0" borderId="22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center"/>
    </xf>
    <xf numFmtId="165" fontId="9" fillId="2" borderId="22" xfId="1" applyNumberFormat="1" applyFont="1" applyFill="1" applyBorder="1" applyAlignment="1">
      <alignment horizontal="right" vertical="center"/>
    </xf>
    <xf numFmtId="43" fontId="5" fillId="0" borderId="14" xfId="11" applyNumberFormat="1" applyFont="1" applyBorder="1" applyAlignment="1">
      <alignment horizontal="center"/>
    </xf>
    <xf numFmtId="164" fontId="9" fillId="0" borderId="13" xfId="2" applyNumberFormat="1" applyFont="1" applyFill="1" applyBorder="1" applyAlignment="1">
      <alignment horizontal="right" vertical="center"/>
    </xf>
    <xf numFmtId="41" fontId="5" fillId="0" borderId="14" xfId="13" applyNumberFormat="1" applyFont="1" applyBorder="1" applyAlignment="1">
      <alignment horizontal="left"/>
    </xf>
    <xf numFmtId="165" fontId="9" fillId="2" borderId="13" xfId="1" applyNumberFormat="1" applyFont="1" applyFill="1" applyBorder="1" applyAlignment="1">
      <alignment horizontal="right" vertical="center"/>
    </xf>
    <xf numFmtId="41" fontId="5" fillId="0" borderId="14" xfId="13" applyNumberFormat="1" applyFont="1" applyFill="1" applyBorder="1" applyAlignment="1">
      <alignment horizontal="left"/>
    </xf>
    <xf numFmtId="41" fontId="9" fillId="0" borderId="14" xfId="13" applyNumberFormat="1" applyFont="1" applyFill="1" applyBorder="1" applyAlignment="1">
      <alignment horizontal="center"/>
    </xf>
    <xf numFmtId="0" fontId="5" fillId="0" borderId="25" xfId="11" applyFont="1" applyBorder="1"/>
    <xf numFmtId="170" fontId="9" fillId="0" borderId="22" xfId="20" applyNumberFormat="1" applyFont="1" applyFill="1" applyBorder="1" applyAlignment="1">
      <alignment horizontal="right"/>
    </xf>
    <xf numFmtId="170" fontId="9" fillId="0" borderId="22" xfId="11" applyNumberFormat="1" applyFont="1" applyBorder="1" applyAlignment="1">
      <alignment horizontal="right"/>
    </xf>
    <xf numFmtId="0" fontId="9" fillId="0" borderId="14" xfId="11" applyFont="1" applyBorder="1" applyAlignment="1">
      <alignment horizontal="center"/>
    </xf>
    <xf numFmtId="171" fontId="9" fillId="0" borderId="22" xfId="1" applyNumberFormat="1" applyFont="1" applyFill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43" fontId="9" fillId="0" borderId="14" xfId="11" applyNumberFormat="1" applyFont="1" applyBorder="1" applyAlignment="1">
      <alignment horizontal="center"/>
    </xf>
    <xf numFmtId="165" fontId="9" fillId="0" borderId="22" xfId="1" applyNumberFormat="1" applyFont="1" applyFill="1" applyBorder="1" applyAlignment="1">
      <alignment horizontal="right"/>
    </xf>
    <xf numFmtId="41" fontId="5" fillId="0" borderId="14" xfId="13" applyNumberFormat="1" applyFont="1" applyBorder="1" applyAlignment="1">
      <alignment horizontal="center"/>
    </xf>
    <xf numFmtId="41" fontId="5" fillId="0" borderId="14" xfId="13" applyNumberFormat="1" applyFont="1" applyFill="1" applyBorder="1" applyAlignment="1">
      <alignment horizontal="center"/>
    </xf>
    <xf numFmtId="41" fontId="5" fillId="0" borderId="14" xfId="13" applyNumberFormat="1" applyFont="1" applyFill="1" applyBorder="1"/>
    <xf numFmtId="165" fontId="5" fillId="0" borderId="14" xfId="14" applyNumberFormat="1" applyFont="1" applyFill="1" applyBorder="1"/>
    <xf numFmtId="0" fontId="5" fillId="0" borderId="25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8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0" fontId="5" fillId="0" borderId="28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4" fontId="9" fillId="0" borderId="16" xfId="2" applyNumberFormat="1" applyFont="1" applyFill="1" applyBorder="1" applyAlignment="1">
      <alignment vertical="center"/>
    </xf>
    <xf numFmtId="174" fontId="9" fillId="0" borderId="0" xfId="2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18" fillId="0" borderId="0" xfId="11" applyFont="1"/>
    <xf numFmtId="0" fontId="18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4" fontId="5" fillId="0" borderId="1" xfId="2" applyNumberFormat="1" applyFont="1" applyFill="1" applyBorder="1" applyAlignment="1">
      <alignment horizontal="right" vertical="center"/>
    </xf>
    <xf numFmtId="0" fontId="14" fillId="0" borderId="0" xfId="11" applyFont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6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30" xfId="11" applyFont="1" applyBorder="1" applyAlignment="1">
      <alignment horizontal="center"/>
    </xf>
    <xf numFmtId="0" fontId="5" fillId="0" borderId="29" xfId="11" applyFont="1" applyBorder="1" applyAlignment="1">
      <alignment horizontal="center"/>
    </xf>
    <xf numFmtId="177" fontId="9" fillId="0" borderId="0" xfId="1" applyNumberFormat="1" applyFont="1" applyFill="1" applyBorder="1" applyAlignment="1">
      <alignment horizontal="right"/>
    </xf>
    <xf numFmtId="177" fontId="9" fillId="0" borderId="22" xfId="1" applyNumberFormat="1" applyFont="1" applyFill="1" applyBorder="1" applyAlignment="1">
      <alignment horizontal="right"/>
    </xf>
    <xf numFmtId="164" fontId="9" fillId="2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8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29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8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8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29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29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1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32" xfId="1" applyNumberFormat="1" applyFont="1" applyFill="1" applyBorder="1" applyAlignment="1">
      <alignment horizontal="right" vertical="center"/>
    </xf>
    <xf numFmtId="0" fontId="12" fillId="0" borderId="0" xfId="0" applyFont="1"/>
    <xf numFmtId="165" fontId="24" fillId="0" borderId="0" xfId="14" applyNumberFormat="1" applyFont="1" applyBorder="1" applyAlignment="1">
      <alignment horizontal="right" vertical="center"/>
    </xf>
    <xf numFmtId="165" fontId="24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8" fontId="9" fillId="0" borderId="29" xfId="3" applyNumberFormat="1" applyFont="1" applyFill="1" applyBorder="1" applyAlignment="1">
      <alignment horizontal="right" vertical="center"/>
    </xf>
    <xf numFmtId="10" fontId="25" fillId="0" borderId="0" xfId="19" applyNumberFormat="1" applyFont="1" applyBorder="1" applyAlignment="1" applyProtection="1">
      <alignment vertical="center"/>
    </xf>
    <xf numFmtId="10" fontId="25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3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6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7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4" fontId="5" fillId="0" borderId="17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0" fontId="5" fillId="0" borderId="34" xfId="11" applyFont="1" applyBorder="1" applyAlignment="1">
      <alignment horizontal="center"/>
    </xf>
    <xf numFmtId="165" fontId="9" fillId="2" borderId="33" xfId="1" applyNumberFormat="1" applyFont="1" applyFill="1" applyBorder="1" applyAlignment="1">
      <alignment horizontal="right" vertical="center"/>
    </xf>
    <xf numFmtId="165" fontId="9" fillId="3" borderId="33" xfId="1" applyNumberFormat="1" applyFont="1" applyFill="1" applyBorder="1" applyAlignment="1">
      <alignment vertical="center"/>
    </xf>
    <xf numFmtId="171" fontId="9" fillId="0" borderId="33" xfId="1" applyNumberFormat="1" applyFont="1" applyFill="1" applyBorder="1" applyAlignment="1">
      <alignment horizontal="right"/>
    </xf>
    <xf numFmtId="165" fontId="9" fillId="3" borderId="33" xfId="21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left" vertical="center"/>
    </xf>
    <xf numFmtId="37" fontId="9" fillId="0" borderId="13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4" fontId="5" fillId="0" borderId="22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7" fontId="9" fillId="0" borderId="2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6" fillId="0" borderId="9" xfId="0" applyNumberFormat="1" applyFont="1" applyBorder="1" applyAlignment="1">
      <alignment horizontal="left" vertic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167" fontId="9" fillId="0" borderId="9" xfId="11" applyNumberFormat="1" applyFont="1" applyBorder="1" applyAlignment="1">
      <alignment horizontal="center" wrapText="1"/>
    </xf>
    <xf numFmtId="37" fontId="9" fillId="0" borderId="9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0" fontId="9" fillId="0" borderId="36" xfId="3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9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75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29" xfId="13" applyNumberFormat="1" applyFont="1" applyFill="1" applyBorder="1" applyAlignment="1" applyProtection="1">
      <alignment vertical="center"/>
      <protection locked="0"/>
    </xf>
    <xf numFmtId="164" fontId="9" fillId="0" borderId="32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6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3" fontId="9" fillId="0" borderId="0" xfId="11" applyNumberFormat="1" applyFont="1" applyAlignment="1">
      <alignment horizontal="left" vertical="center"/>
    </xf>
    <xf numFmtId="165" fontId="5" fillId="0" borderId="13" xfId="1" applyNumberFormat="1" applyFont="1" applyFill="1" applyBorder="1" applyAlignment="1">
      <alignment vertical="center"/>
    </xf>
    <xf numFmtId="174" fontId="7" fillId="0" borderId="0" xfId="2" applyNumberFormat="1" applyFont="1" applyBorder="1" applyAlignment="1">
      <alignment vertical="center"/>
    </xf>
    <xf numFmtId="0" fontId="9" fillId="0" borderId="37" xfId="0" applyFont="1" applyBorder="1" applyAlignment="1">
      <alignment horizontal="center"/>
    </xf>
    <xf numFmtId="165" fontId="7" fillId="0" borderId="37" xfId="1" applyNumberFormat="1" applyFont="1" applyBorder="1"/>
    <xf numFmtId="0" fontId="5" fillId="0" borderId="29" xfId="0" applyFont="1" applyBorder="1" applyAlignment="1">
      <alignment horizontal="center"/>
    </xf>
    <xf numFmtId="165" fontId="9" fillId="2" borderId="29" xfId="1" applyNumberFormat="1" applyFont="1" applyFill="1" applyBorder="1" applyAlignment="1">
      <alignment horizontal="right" vertical="center"/>
    </xf>
    <xf numFmtId="171" fontId="9" fillId="0" borderId="29" xfId="1" applyNumberFormat="1" applyFont="1" applyFill="1" applyBorder="1" applyAlignment="1">
      <alignment horizontal="right"/>
    </xf>
    <xf numFmtId="165" fontId="9" fillId="3" borderId="29" xfId="21" applyNumberFormat="1" applyFont="1" applyFill="1" applyBorder="1"/>
    <xf numFmtId="165" fontId="9" fillId="0" borderId="29" xfId="21" applyNumberFormat="1" applyFont="1" applyFill="1" applyBorder="1"/>
    <xf numFmtId="165" fontId="5" fillId="0" borderId="0" xfId="1" applyNumberFormat="1" applyFont="1" applyFill="1" applyBorder="1" applyAlignment="1">
      <alignment vertical="center"/>
    </xf>
    <xf numFmtId="165" fontId="9" fillId="0" borderId="37" xfId="1" applyNumberFormat="1" applyFont="1" applyFill="1" applyBorder="1" applyAlignment="1">
      <alignment vertical="center"/>
    </xf>
    <xf numFmtId="165" fontId="5" fillId="3" borderId="37" xfId="1" applyNumberFormat="1" applyFont="1" applyFill="1" applyBorder="1" applyAlignment="1" applyProtection="1">
      <alignment vertical="center"/>
      <protection locked="0"/>
    </xf>
    <xf numFmtId="165" fontId="9" fillId="0" borderId="39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15" fontId="9" fillId="0" borderId="37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7" xfId="16" applyFont="1" applyBorder="1" applyAlignment="1">
      <alignment horizontal="left" vertical="center"/>
    </xf>
    <xf numFmtId="1" fontId="9" fillId="0" borderId="37" xfId="16" applyNumberFormat="1" applyFont="1" applyBorder="1" applyAlignment="1">
      <alignment horizontal="center" vertical="center"/>
    </xf>
    <xf numFmtId="10" fontId="9" fillId="3" borderId="37" xfId="3" applyNumberFormat="1" applyFont="1" applyFill="1" applyBorder="1"/>
    <xf numFmtId="165" fontId="9" fillId="0" borderId="37" xfId="1" applyNumberFormat="1" applyFont="1" applyFill="1" applyBorder="1" applyAlignment="1">
      <alignment horizontal="right" vertical="center"/>
    </xf>
    <xf numFmtId="0" fontId="9" fillId="0" borderId="37" xfId="11" applyFont="1" applyBorder="1" applyAlignment="1">
      <alignment horizontal="left" vertical="center"/>
    </xf>
    <xf numFmtId="1" fontId="9" fillId="0" borderId="37" xfId="11" applyNumberFormat="1" applyFont="1" applyBorder="1" applyAlignment="1">
      <alignment horizontal="center" vertical="center"/>
    </xf>
    <xf numFmtId="10" fontId="9" fillId="3" borderId="37" xfId="3" applyNumberFormat="1" applyFont="1" applyFill="1" applyBorder="1" applyAlignment="1">
      <alignment horizontal="center" vertical="center"/>
    </xf>
    <xf numFmtId="165" fontId="5" fillId="0" borderId="37" xfId="1" applyNumberFormat="1" applyFont="1" applyBorder="1" applyAlignment="1">
      <alignment horizontal="center" vertical="center"/>
    </xf>
    <xf numFmtId="165" fontId="9" fillId="0" borderId="37" xfId="1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center" vertical="center" wrapText="1"/>
    </xf>
    <xf numFmtId="164" fontId="9" fillId="3" borderId="37" xfId="2" applyNumberFormat="1" applyFont="1" applyFill="1" applyBorder="1" applyAlignment="1" applyProtection="1">
      <alignment vertical="center"/>
      <protection locked="0"/>
    </xf>
    <xf numFmtId="10" fontId="9" fillId="0" borderId="37" xfId="3" applyNumberFormat="1" applyFont="1" applyFill="1" applyBorder="1" applyAlignment="1">
      <alignment horizontal="right" vertical="center"/>
    </xf>
    <xf numFmtId="10" fontId="9" fillId="0" borderId="37" xfId="3" applyNumberFormat="1" applyFont="1" applyBorder="1" applyAlignment="1">
      <alignment horizontal="right" vertical="center"/>
    </xf>
    <xf numFmtId="10" fontId="9" fillId="4" borderId="37" xfId="3" applyNumberFormat="1" applyFont="1" applyFill="1" applyBorder="1" applyAlignment="1">
      <alignment horizontal="right" vertical="center"/>
    </xf>
    <xf numFmtId="9" fontId="9" fillId="3" borderId="37" xfId="3" applyFont="1" applyFill="1" applyBorder="1" applyAlignment="1">
      <alignment horizontal="right" vertical="center"/>
    </xf>
    <xf numFmtId="10" fontId="9" fillId="3" borderId="37" xfId="3" applyNumberFormat="1" applyFont="1" applyFill="1" applyBorder="1" applyAlignment="1">
      <alignment horizontal="right" vertical="center"/>
    </xf>
    <xf numFmtId="168" fontId="9" fillId="2" borderId="37" xfId="3" applyNumberFormat="1" applyFont="1" applyFill="1" applyBorder="1" applyAlignment="1">
      <alignment horizontal="right" vertical="center"/>
    </xf>
    <xf numFmtId="9" fontId="9" fillId="2" borderId="37" xfId="3" applyFont="1" applyFill="1" applyBorder="1" applyAlignment="1">
      <alignment horizontal="right" vertical="center"/>
    </xf>
    <xf numFmtId="10" fontId="9" fillId="2" borderId="37" xfId="3" applyNumberFormat="1" applyFont="1" applyFill="1" applyBorder="1" applyAlignment="1">
      <alignment horizontal="right" vertical="center"/>
    </xf>
    <xf numFmtId="168" fontId="9" fillId="0" borderId="37" xfId="3" applyNumberFormat="1" applyFont="1" applyBorder="1" applyAlignment="1">
      <alignment horizontal="right" vertical="center"/>
    </xf>
    <xf numFmtId="168" fontId="9" fillId="2" borderId="37" xfId="0" applyNumberFormat="1" applyFont="1" applyFill="1" applyBorder="1" applyAlignment="1">
      <alignment horizontal="right" vertical="center"/>
    </xf>
    <xf numFmtId="5" fontId="9" fillId="0" borderId="37" xfId="11" applyNumberFormat="1" applyFont="1" applyBorder="1" applyAlignment="1">
      <alignment horizontal="center"/>
    </xf>
    <xf numFmtId="0" fontId="9" fillId="0" borderId="37" xfId="11" applyFont="1" applyBorder="1" applyAlignment="1">
      <alignment horizontal="center"/>
    </xf>
    <xf numFmtId="165" fontId="9" fillId="2" borderId="37" xfId="27" applyNumberFormat="1" applyFont="1" applyFill="1" applyBorder="1" applyAlignment="1" applyProtection="1">
      <alignment horizontal="right" vertical="center"/>
      <protection locked="0"/>
    </xf>
    <xf numFmtId="165" fontId="5" fillId="2" borderId="37" xfId="27" applyNumberFormat="1" applyFont="1" applyFill="1" applyBorder="1" applyAlignment="1" applyProtection="1">
      <alignment horizontal="right" vertical="center"/>
      <protection locked="0"/>
    </xf>
    <xf numFmtId="165" fontId="5" fillId="2" borderId="37" xfId="27" applyNumberFormat="1" applyFont="1" applyFill="1" applyBorder="1" applyAlignment="1" applyProtection="1">
      <alignment horizontal="center" vertical="center"/>
    </xf>
    <xf numFmtId="165" fontId="9" fillId="4" borderId="37" xfId="27" applyNumberFormat="1" applyFont="1" applyFill="1" applyBorder="1" applyAlignment="1" applyProtection="1">
      <alignment horizontal="right" vertical="center"/>
    </xf>
    <xf numFmtId="165" fontId="9" fillId="2" borderId="37" xfId="27" applyNumberFormat="1" applyFont="1" applyFill="1" applyBorder="1" applyAlignment="1" applyProtection="1">
      <alignment horizontal="right" vertical="center"/>
    </xf>
    <xf numFmtId="165" fontId="9" fillId="0" borderId="37" xfId="27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164" fontId="9" fillId="0" borderId="1" xfId="2" applyNumberFormat="1" applyFont="1" applyFill="1" applyBorder="1" applyAlignment="1">
      <alignment vertical="center"/>
    </xf>
    <xf numFmtId="179" fontId="9" fillId="0" borderId="0" xfId="0" applyNumberFormat="1" applyFont="1"/>
    <xf numFmtId="165" fontId="9" fillId="0" borderId="22" xfId="1" applyNumberFormat="1" applyFont="1" applyBorder="1" applyAlignment="1">
      <alignment horizontal="right" vertical="center"/>
    </xf>
    <xf numFmtId="44" fontId="9" fillId="0" borderId="13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2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3" xfId="1" applyNumberFormat="1" applyFont="1" applyFill="1" applyBorder="1" applyAlignment="1">
      <alignment vertical="center"/>
    </xf>
    <xf numFmtId="179" fontId="12" fillId="0" borderId="0" xfId="0" applyNumberFormat="1" applyFont="1"/>
    <xf numFmtId="164" fontId="5" fillId="0" borderId="13" xfId="11" applyNumberFormat="1" applyFont="1" applyBorder="1" applyAlignment="1">
      <alignment vertical="center"/>
    </xf>
    <xf numFmtId="170" fontId="9" fillId="0" borderId="22" xfId="2" applyNumberFormat="1" applyFont="1" applyFill="1" applyBorder="1" applyAlignment="1">
      <alignment horizontal="right"/>
    </xf>
    <xf numFmtId="171" fontId="9" fillId="0" borderId="0" xfId="0" applyNumberFormat="1" applyFont="1"/>
    <xf numFmtId="170" fontId="5" fillId="0" borderId="15" xfId="2" applyNumberFormat="1" applyFont="1" applyFill="1" applyBorder="1"/>
    <xf numFmtId="164" fontId="5" fillId="0" borderId="15" xfId="2" applyNumberFormat="1" applyFont="1" applyBorder="1" applyAlignment="1">
      <alignment horizontal="right"/>
    </xf>
    <xf numFmtId="10" fontId="5" fillId="0" borderId="0" xfId="31" quotePrefix="1" applyNumberFormat="1" applyFont="1" applyAlignment="1">
      <alignment horizontal="right"/>
    </xf>
    <xf numFmtId="164" fontId="9" fillId="0" borderId="1" xfId="2" applyNumberFormat="1" applyFont="1" applyBorder="1" applyAlignment="1">
      <alignment horizontal="right" vertical="center"/>
    </xf>
    <xf numFmtId="164" fontId="9" fillId="0" borderId="31" xfId="31" applyNumberFormat="1" applyFont="1" applyBorder="1" applyAlignment="1" applyProtection="1">
      <alignment horizontal="right" vertical="center"/>
      <protection locked="0"/>
    </xf>
    <xf numFmtId="164" fontId="9" fillId="0" borderId="0" xfId="31" applyNumberFormat="1" applyFont="1" applyAlignment="1" applyProtection="1">
      <alignment horizontal="right"/>
      <protection locked="0"/>
    </xf>
    <xf numFmtId="165" fontId="9" fillId="0" borderId="37" xfId="1" applyNumberFormat="1" applyFont="1" applyBorder="1" applyAlignment="1">
      <alignment horizontal="center" vertical="center"/>
    </xf>
    <xf numFmtId="174" fontId="9" fillId="0" borderId="16" xfId="2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9" fillId="3" borderId="37" xfId="1" applyNumberFormat="1" applyFont="1" applyFill="1" applyBorder="1" applyAlignment="1" applyProtection="1">
      <alignment vertical="center"/>
      <protection locked="0"/>
    </xf>
    <xf numFmtId="164" fontId="9" fillId="0" borderId="0" xfId="2" applyNumberFormat="1" applyFont="1" applyFill="1" applyBorder="1" applyAlignment="1" applyProtection="1">
      <alignment vertical="center"/>
      <protection locked="0"/>
    </xf>
    <xf numFmtId="10" fontId="9" fillId="2" borderId="37" xfId="0" applyNumberFormat="1" applyFont="1" applyFill="1" applyBorder="1" applyAlignment="1">
      <alignment horizontal="right" vertical="center"/>
    </xf>
    <xf numFmtId="164" fontId="9" fillId="0" borderId="18" xfId="2" applyNumberFormat="1" applyFont="1" applyBorder="1" applyAlignment="1">
      <alignment horizontal="right" vertical="center"/>
    </xf>
    <xf numFmtId="165" fontId="9" fillId="0" borderId="37" xfId="1" applyNumberFormat="1" applyFont="1" applyFill="1" applyBorder="1" applyAlignment="1" applyProtection="1">
      <alignment horizontal="right" vertical="center"/>
      <protection locked="0"/>
    </xf>
    <xf numFmtId="164" fontId="9" fillId="0" borderId="1" xfId="2" applyNumberFormat="1" applyFont="1" applyFill="1" applyBorder="1" applyAlignment="1">
      <alignment horizontal="right" vertical="center"/>
    </xf>
    <xf numFmtId="165" fontId="9" fillId="2" borderId="37" xfId="1" applyNumberFormat="1" applyFont="1" applyFill="1" applyBorder="1" applyAlignment="1" applyProtection="1">
      <alignment horizontal="right" vertical="center"/>
    </xf>
    <xf numFmtId="165" fontId="9" fillId="2" borderId="37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/>
    </xf>
    <xf numFmtId="0" fontId="9" fillId="0" borderId="40" xfId="0" applyFont="1" applyBorder="1" applyAlignment="1">
      <alignment horizontal="center" vertical="center"/>
    </xf>
    <xf numFmtId="37" fontId="12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/>
    </xf>
    <xf numFmtId="37" fontId="9" fillId="0" borderId="37" xfId="0" applyNumberFormat="1" applyFont="1" applyBorder="1" applyAlignment="1">
      <alignment horizontal="right" vertical="center"/>
    </xf>
    <xf numFmtId="165" fontId="9" fillId="0" borderId="0" xfId="1" applyNumberFormat="1" applyFont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167" fontId="9" fillId="0" borderId="9" xfId="0" applyNumberFormat="1" applyFont="1" applyBorder="1" applyAlignment="1">
      <alignment horizontal="center" wrapText="1"/>
    </xf>
    <xf numFmtId="165" fontId="9" fillId="0" borderId="37" xfId="1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7" fontId="9" fillId="0" borderId="0" xfId="33" applyNumberFormat="1" applyFont="1" applyAlignment="1">
      <alignment horizontal="center" vertical="center"/>
    </xf>
    <xf numFmtId="165" fontId="14" fillId="0" borderId="0" xfId="1" applyNumberFormat="1" applyFont="1" applyFill="1" applyBorder="1" applyAlignment="1">
      <alignment vertical="center"/>
    </xf>
    <xf numFmtId="0" fontId="10" fillId="0" borderId="0" xfId="11" applyFont="1" applyAlignment="1">
      <alignment vertical="center"/>
    </xf>
    <xf numFmtId="15" fontId="9" fillId="0" borderId="37" xfId="11" applyNumberFormat="1" applyFont="1" applyBorder="1" applyAlignment="1">
      <alignment horizontal="center" vertical="center"/>
    </xf>
    <xf numFmtId="0" fontId="9" fillId="0" borderId="37" xfId="11" applyFont="1" applyBorder="1" applyAlignment="1">
      <alignment horizontal="center" vertical="center"/>
    </xf>
    <xf numFmtId="10" fontId="9" fillId="2" borderId="37" xfId="11" applyNumberFormat="1" applyFont="1" applyFill="1" applyBorder="1" applyAlignment="1" applyProtection="1">
      <alignment horizontal="right" vertical="center"/>
      <protection locked="0"/>
    </xf>
    <xf numFmtId="164" fontId="9" fillId="3" borderId="37" xfId="13" applyNumberFormat="1" applyFont="1" applyFill="1" applyBorder="1" applyAlignment="1" applyProtection="1">
      <alignment horizontal="center" vertical="center"/>
      <protection locked="0"/>
    </xf>
    <xf numFmtId="165" fontId="9" fillId="2" borderId="37" xfId="1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Alignment="1">
      <alignment horizontal="right" vertical="center"/>
    </xf>
    <xf numFmtId="10" fontId="9" fillId="3" borderId="37" xfId="28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4" fontId="9" fillId="0" borderId="0" xfId="13" applyNumberFormat="1" applyFont="1" applyFill="1" applyAlignment="1" applyProtection="1">
      <alignment horizontal="right"/>
    </xf>
    <xf numFmtId="0" fontId="5" fillId="0" borderId="37" xfId="16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4" fontId="5" fillId="0" borderId="0" xfId="2" applyNumberFormat="1" applyFont="1" applyBorder="1" applyAlignment="1">
      <alignment horizontal="right" vertical="center"/>
    </xf>
    <xf numFmtId="0" fontId="5" fillId="0" borderId="37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9" fillId="0" borderId="5" xfId="0" applyNumberFormat="1" applyFont="1" applyBorder="1" applyAlignment="1">
      <alignment vertical="center"/>
    </xf>
    <xf numFmtId="37" fontId="9" fillId="0" borderId="5" xfId="1" applyNumberFormat="1" applyFont="1" applyBorder="1" applyAlignment="1">
      <alignment vertical="center"/>
    </xf>
    <xf numFmtId="37" fontId="9" fillId="0" borderId="5" xfId="1" applyNumberFormat="1" applyFont="1" applyFill="1" applyBorder="1" applyAlignment="1">
      <alignment vertical="center"/>
    </xf>
    <xf numFmtId="37" fontId="9" fillId="0" borderId="4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64" fontId="9" fillId="0" borderId="1" xfId="20" applyNumberFormat="1" applyFont="1" applyBorder="1" applyAlignment="1">
      <alignment horizontal="right"/>
    </xf>
    <xf numFmtId="0" fontId="5" fillId="0" borderId="0" xfId="0" quotePrefix="1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37" fontId="5" fillId="0" borderId="37" xfId="0" applyNumberFormat="1" applyFont="1" applyBorder="1" applyAlignment="1">
      <alignment horizontal="right" vertical="center"/>
    </xf>
    <xf numFmtId="37" fontId="14" fillId="0" borderId="0" xfId="0" applyNumberFormat="1" applyFont="1" applyAlignment="1">
      <alignment horizontal="left" vertical="top"/>
    </xf>
    <xf numFmtId="179" fontId="9" fillId="0" borderId="0" xfId="20" applyNumberFormat="1" applyFont="1" applyFill="1" applyBorder="1" applyAlignment="1">
      <alignment horizontal="right" vertical="center"/>
    </xf>
    <xf numFmtId="180" fontId="9" fillId="0" borderId="29" xfId="1" applyNumberFormat="1" applyFont="1" applyFill="1" applyBorder="1" applyAlignment="1">
      <alignment horizontal="right" vertical="center"/>
    </xf>
    <xf numFmtId="43" fontId="9" fillId="0" borderId="29" xfId="1" applyFont="1" applyFill="1" applyBorder="1" applyAlignment="1">
      <alignment horizontal="right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15" fontId="9" fillId="2" borderId="29" xfId="11" applyNumberFormat="1" applyFont="1" applyFill="1" applyBorder="1" applyAlignment="1">
      <alignment horizontal="center" vertical="center"/>
    </xf>
    <xf numFmtId="15" fontId="9" fillId="0" borderId="29" xfId="0" applyNumberFormat="1" applyFont="1" applyBorder="1" applyAlignment="1">
      <alignment horizontal="center" vertical="center"/>
    </xf>
    <xf numFmtId="164" fontId="9" fillId="3" borderId="0" xfId="2" applyNumberFormat="1" applyFont="1" applyFill="1" applyAlignment="1">
      <alignment vertical="center"/>
    </xf>
    <xf numFmtId="164" fontId="9" fillId="0" borderId="0" xfId="2" applyNumberFormat="1" applyFont="1" applyAlignment="1">
      <alignment vertical="center"/>
    </xf>
    <xf numFmtId="41" fontId="5" fillId="3" borderId="0" xfId="0" applyNumberFormat="1" applyFont="1" applyFill="1" applyAlignment="1">
      <alignment vertical="center"/>
    </xf>
    <xf numFmtId="41" fontId="9" fillId="3" borderId="0" xfId="0" applyNumberFormat="1" applyFont="1" applyFill="1" applyAlignment="1">
      <alignment vertical="center"/>
    </xf>
    <xf numFmtId="41" fontId="9" fillId="0" borderId="0" xfId="0" applyNumberFormat="1" applyFont="1" applyAlignment="1">
      <alignment vertical="center"/>
    </xf>
    <xf numFmtId="41" fontId="9" fillId="0" borderId="29" xfId="0" applyNumberFormat="1" applyFont="1" applyBorder="1" applyAlignment="1">
      <alignment vertical="center"/>
    </xf>
    <xf numFmtId="164" fontId="14" fillId="0" borderId="0" xfId="2" applyNumberFormat="1" applyFont="1" applyFill="1" applyAlignment="1">
      <alignment horizontal="center" vertical="center"/>
    </xf>
    <xf numFmtId="5" fontId="9" fillId="0" borderId="0" xfId="0" applyNumberFormat="1" applyFont="1" applyAlignment="1">
      <alignment horizontal="center"/>
    </xf>
    <xf numFmtId="164" fontId="9" fillId="4" borderId="0" xfId="2" applyNumberFormat="1" applyFont="1" applyFill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181" fontId="5" fillId="0" borderId="29" xfId="0" applyNumberFormat="1" applyFont="1" applyBorder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82" fontId="9" fillId="0" borderId="0" xfId="2" applyNumberFormat="1" applyFont="1" applyFill="1" applyAlignment="1">
      <alignment vertical="center"/>
    </xf>
    <xf numFmtId="164" fontId="5" fillId="0" borderId="16" xfId="2" applyNumberFormat="1" applyFont="1" applyBorder="1" applyAlignment="1">
      <alignment vertical="center"/>
    </xf>
    <xf numFmtId="41" fontId="9" fillId="0" borderId="0" xfId="37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5" fillId="0" borderId="0" xfId="2" applyNumberFormat="1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36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164" fontId="5" fillId="0" borderId="2" xfId="2" applyNumberFormat="1" applyFont="1" applyBorder="1" applyAlignment="1">
      <alignment vertical="center"/>
    </xf>
    <xf numFmtId="165" fontId="9" fillId="0" borderId="2" xfId="1" applyNumberFormat="1" applyFont="1" applyBorder="1" applyAlignment="1">
      <alignment vertical="center"/>
    </xf>
    <xf numFmtId="164" fontId="9" fillId="0" borderId="2" xfId="2" applyNumberFormat="1" applyFont="1" applyBorder="1" applyAlignment="1">
      <alignment horizontal="center" vertical="center"/>
    </xf>
    <xf numFmtId="0" fontId="9" fillId="0" borderId="0" xfId="36" applyFont="1"/>
    <xf numFmtId="164" fontId="9" fillId="0" borderId="0" xfId="2" applyNumberFormat="1" applyFont="1" applyFill="1" applyBorder="1"/>
    <xf numFmtId="164" fontId="12" fillId="0" borderId="0" xfId="0" applyNumberFormat="1" applyFont="1" applyAlignment="1">
      <alignment vertical="center"/>
    </xf>
    <xf numFmtId="0" fontId="14" fillId="0" borderId="0" xfId="36" applyFont="1" applyAlignment="1">
      <alignment horizontal="center" vertical="center"/>
    </xf>
    <xf numFmtId="164" fontId="5" fillId="0" borderId="0" xfId="2" applyNumberFormat="1" applyFont="1" applyFill="1" applyAlignment="1">
      <alignment vertical="center"/>
    </xf>
    <xf numFmtId="164" fontId="5" fillId="3" borderId="0" xfId="2" applyNumberFormat="1" applyFont="1" applyFill="1" applyAlignment="1">
      <alignment vertical="center"/>
    </xf>
    <xf numFmtId="164" fontId="5" fillId="2" borderId="0" xfId="13" applyNumberFormat="1" applyFont="1" applyFill="1" applyBorder="1" applyAlignment="1" applyProtection="1">
      <alignment horizontal="right" vertical="center"/>
    </xf>
    <xf numFmtId="37" fontId="5" fillId="0" borderId="0" xfId="33" applyNumberFormat="1" applyFont="1" applyAlignment="1">
      <alignment horizontal="center" vertical="center"/>
    </xf>
    <xf numFmtId="37" fontId="5" fillId="0" borderId="2" xfId="33" applyNumberFormat="1" applyFont="1" applyBorder="1" applyAlignment="1">
      <alignment horizontal="center" vertical="center"/>
    </xf>
    <xf numFmtId="165" fontId="9" fillId="0" borderId="29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49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19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11" xfId="1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38" fontId="5" fillId="0" borderId="13" xfId="1" applyNumberFormat="1" applyFont="1" applyBorder="1" applyAlignment="1">
      <alignment vertical="center"/>
    </xf>
    <xf numFmtId="38" fontId="5" fillId="0" borderId="10" xfId="1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38" fontId="9" fillId="0" borderId="10" xfId="1" applyNumberFormat="1" applyFont="1" applyBorder="1" applyAlignment="1">
      <alignment horizontal="center" vertical="center"/>
    </xf>
    <xf numFmtId="38" fontId="9" fillId="0" borderId="40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49" fontId="9" fillId="0" borderId="24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164" fontId="9" fillId="0" borderId="8" xfId="2" applyNumberFormat="1" applyFont="1" applyFill="1" applyBorder="1" applyAlignment="1">
      <alignment vertical="center"/>
    </xf>
    <xf numFmtId="38" fontId="9" fillId="0" borderId="7" xfId="1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179" fontId="9" fillId="0" borderId="13" xfId="1" applyNumberFormat="1" applyFont="1" applyFill="1" applyBorder="1" applyAlignment="1">
      <alignment vertical="center"/>
    </xf>
    <xf numFmtId="165" fontId="9" fillId="0" borderId="43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4" fontId="5" fillId="0" borderId="43" xfId="2" applyNumberFormat="1" applyFont="1" applyFill="1" applyBorder="1" applyAlignment="1">
      <alignment vertical="center"/>
    </xf>
    <xf numFmtId="49" fontId="9" fillId="0" borderId="24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vertical="center"/>
    </xf>
    <xf numFmtId="179" fontId="9" fillId="0" borderId="8" xfId="1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16" fillId="0" borderId="9" xfId="0" applyNumberFormat="1" applyFont="1" applyBorder="1"/>
    <xf numFmtId="179" fontId="9" fillId="0" borderId="0" xfId="1" applyNumberFormat="1" applyFont="1" applyFill="1" applyBorder="1"/>
    <xf numFmtId="0" fontId="9" fillId="0" borderId="10" xfId="0" applyFont="1" applyBorder="1"/>
    <xf numFmtId="165" fontId="9" fillId="0" borderId="29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0" xfId="23" applyFont="1"/>
    <xf numFmtId="0" fontId="9" fillId="0" borderId="0" xfId="23" applyFont="1" applyAlignment="1">
      <alignment wrapText="1"/>
    </xf>
    <xf numFmtId="0" fontId="5" fillId="0" borderId="9" xfId="0" applyFont="1" applyBorder="1" applyAlignment="1">
      <alignment horizontal="left"/>
    </xf>
    <xf numFmtId="0" fontId="9" fillId="0" borderId="18" xfId="0" applyFont="1" applyBorder="1"/>
    <xf numFmtId="0" fontId="5" fillId="0" borderId="9" xfId="23" applyFont="1" applyBorder="1" applyAlignment="1">
      <alignment horizontal="left"/>
    </xf>
    <xf numFmtId="0" fontId="5" fillId="0" borderId="0" xfId="23" applyFont="1"/>
    <xf numFmtId="164" fontId="5" fillId="0" borderId="1" xfId="2" applyNumberFormat="1" applyFont="1" applyFill="1" applyBorder="1"/>
    <xf numFmtId="164" fontId="5" fillId="0" borderId="0" xfId="2" applyNumberFormat="1" applyFont="1" applyFill="1" applyBorder="1"/>
    <xf numFmtId="0" fontId="14" fillId="0" borderId="9" xfId="23" applyFont="1" applyBorder="1" applyAlignment="1">
      <alignment horizont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38" fontId="5" fillId="0" borderId="0" xfId="1" applyNumberFormat="1" applyFont="1" applyBorder="1" applyAlignment="1">
      <alignment vertical="center"/>
    </xf>
    <xf numFmtId="165" fontId="9" fillId="0" borderId="14" xfId="1" applyNumberFormat="1" applyFont="1" applyFill="1" applyBorder="1" applyAlignment="1">
      <alignment vertical="center"/>
    </xf>
    <xf numFmtId="179" fontId="9" fillId="0" borderId="14" xfId="1" applyNumberFormat="1" applyFont="1" applyFill="1" applyBorder="1" applyAlignment="1">
      <alignment vertical="center"/>
    </xf>
    <xf numFmtId="164" fontId="9" fillId="0" borderId="14" xfId="2" applyNumberFormat="1" applyFont="1" applyFill="1" applyBorder="1" applyAlignment="1">
      <alignment vertical="center"/>
    </xf>
    <xf numFmtId="179" fontId="9" fillId="0" borderId="2" xfId="0" applyNumberFormat="1" applyFont="1" applyBorder="1" applyAlignment="1">
      <alignment vertical="center"/>
    </xf>
    <xf numFmtId="0" fontId="5" fillId="0" borderId="20" xfId="0" quotePrefix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9" fillId="0" borderId="2" xfId="0" applyFont="1" applyBorder="1" applyAlignment="1">
      <alignment horizontal="centerContinuous" vertical="center"/>
    </xf>
    <xf numFmtId="38" fontId="5" fillId="0" borderId="43" xfId="1" applyNumberFormat="1" applyFont="1" applyBorder="1" applyAlignment="1">
      <alignment vertical="center"/>
    </xf>
    <xf numFmtId="165" fontId="9" fillId="0" borderId="38" xfId="1" applyNumberFormat="1" applyFont="1" applyFill="1" applyBorder="1" applyAlignment="1">
      <alignment vertical="center"/>
    </xf>
    <xf numFmtId="164" fontId="9" fillId="0" borderId="22" xfId="2" applyNumberFormat="1" applyFont="1" applyFill="1" applyBorder="1" applyAlignment="1">
      <alignment vertical="center"/>
    </xf>
    <xf numFmtId="179" fontId="9" fillId="0" borderId="22" xfId="1" applyNumberFormat="1" applyFont="1" applyFill="1" applyBorder="1" applyAlignment="1">
      <alignment vertical="center"/>
    </xf>
    <xf numFmtId="165" fontId="9" fillId="0" borderId="22" xfId="1" applyNumberFormat="1" applyFont="1" applyFill="1" applyBorder="1" applyAlignment="1">
      <alignment vertical="center"/>
    </xf>
    <xf numFmtId="179" fontId="9" fillId="0" borderId="26" xfId="0" applyNumberFormat="1" applyFont="1" applyBorder="1" applyAlignment="1">
      <alignment vertical="center"/>
    </xf>
    <xf numFmtId="165" fontId="9" fillId="0" borderId="30" xfId="1" applyNumberFormat="1" applyFont="1" applyFill="1" applyBorder="1" applyAlignment="1">
      <alignment vertical="center"/>
    </xf>
    <xf numFmtId="164" fontId="9" fillId="0" borderId="30" xfId="2" applyNumberFormat="1" applyFont="1" applyFill="1" applyBorder="1" applyAlignment="1">
      <alignment vertical="center"/>
    </xf>
    <xf numFmtId="164" fontId="9" fillId="0" borderId="33" xfId="2" applyNumberFormat="1" applyFont="1" applyFill="1" applyBorder="1" applyAlignment="1">
      <alignment vertical="center"/>
    </xf>
    <xf numFmtId="164" fontId="9" fillId="0" borderId="29" xfId="2" applyNumberFormat="1" applyFont="1" applyFill="1" applyBorder="1" applyAlignment="1">
      <alignment vertical="center"/>
    </xf>
    <xf numFmtId="164" fontId="5" fillId="0" borderId="27" xfId="2" applyNumberFormat="1" applyFont="1" applyFill="1" applyBorder="1" applyAlignment="1">
      <alignment vertical="center"/>
    </xf>
    <xf numFmtId="164" fontId="5" fillId="0" borderId="44" xfId="2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64" fontId="5" fillId="0" borderId="26" xfId="2" applyNumberFormat="1" applyFont="1" applyFill="1" applyBorder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0" fontId="17" fillId="0" borderId="26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/>
    </xf>
    <xf numFmtId="165" fontId="5" fillId="3" borderId="0" xfId="1" applyNumberFormat="1" applyFont="1" applyFill="1" applyBorder="1" applyAlignment="1">
      <alignment vertical="center"/>
    </xf>
    <xf numFmtId="164" fontId="5" fillId="2" borderId="0" xfId="13" applyNumberFormat="1" applyFont="1" applyFill="1" applyAlignment="1" applyProtection="1">
      <alignment vertical="center"/>
      <protection locked="0"/>
    </xf>
    <xf numFmtId="164" fontId="5" fillId="2" borderId="29" xfId="13" applyNumberFormat="1" applyFont="1" applyFill="1" applyBorder="1" applyAlignment="1" applyProtection="1">
      <alignment vertical="center"/>
      <protection locked="0"/>
    </xf>
    <xf numFmtId="10" fontId="5" fillId="2" borderId="0" xfId="31" applyNumberFormat="1" applyFont="1" applyFill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5" fillId="0" borderId="37" xfId="1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vertical="center"/>
    </xf>
    <xf numFmtId="174" fontId="9" fillId="0" borderId="0" xfId="2" applyNumberFormat="1" applyFont="1" applyBorder="1" applyAlignment="1">
      <alignment vertical="center"/>
    </xf>
    <xf numFmtId="10" fontId="9" fillId="3" borderId="29" xfId="3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4" fontId="5" fillId="0" borderId="0" xfId="2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center"/>
    </xf>
    <xf numFmtId="164" fontId="5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20" applyNumberFormat="1" applyFont="1" applyBorder="1" applyAlignment="1">
      <alignment horizontal="right"/>
    </xf>
    <xf numFmtId="0" fontId="14" fillId="0" borderId="0" xfId="1" applyNumberFormat="1" applyFont="1" applyBorder="1" applyAlignment="1">
      <alignment horizontal="center"/>
    </xf>
    <xf numFmtId="37" fontId="5" fillId="0" borderId="9" xfId="0" applyNumberFormat="1" applyFont="1" applyBorder="1" applyAlignment="1">
      <alignment horizontal="center" vertical="center"/>
    </xf>
    <xf numFmtId="37" fontId="5" fillId="0" borderId="0" xfId="0" applyNumberFormat="1" applyFont="1"/>
    <xf numFmtId="164" fontId="5" fillId="0" borderId="32" xfId="31" applyNumberFormat="1" applyFont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44" fontId="9" fillId="0" borderId="0" xfId="2" applyFont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9" fillId="0" borderId="0" xfId="1" applyFont="1" applyAlignment="1">
      <alignment horizontal="center" vertical="center"/>
    </xf>
    <xf numFmtId="43" fontId="9" fillId="0" borderId="37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7" xfId="1" applyFont="1" applyBorder="1" applyAlignment="1">
      <alignment horizontal="center" vertical="center"/>
    </xf>
    <xf numFmtId="43" fontId="7" fillId="0" borderId="37" xfId="1" applyFont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3" fontId="5" fillId="0" borderId="37" xfId="1" applyFont="1" applyFill="1" applyBorder="1" applyAlignment="1">
      <alignment horizontal="right" vertical="center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44" fontId="7" fillId="0" borderId="0" xfId="5" applyFont="1"/>
    <xf numFmtId="43" fontId="7" fillId="0" borderId="37" xfId="6" applyFont="1" applyBorder="1"/>
    <xf numFmtId="44" fontId="3" fillId="0" borderId="0" xfId="2" applyFont="1" applyBorder="1"/>
    <xf numFmtId="0" fontId="9" fillId="0" borderId="0" xfId="38" applyFont="1"/>
    <xf numFmtId="0" fontId="7" fillId="0" borderId="0" xfId="38" quotePrefix="1" applyFont="1"/>
    <xf numFmtId="0" fontId="7" fillId="0" borderId="0" xfId="38" applyFont="1"/>
    <xf numFmtId="0" fontId="5" fillId="0" borderId="41" xfId="11" applyFont="1" applyBorder="1" applyAlignment="1">
      <alignment horizontal="center"/>
    </xf>
    <xf numFmtId="0" fontId="5" fillId="0" borderId="45" xfId="11" applyFont="1" applyBorder="1"/>
    <xf numFmtId="0" fontId="9" fillId="0" borderId="21" xfId="11" applyFont="1" applyBorder="1" applyAlignment="1">
      <alignment horizontal="left"/>
    </xf>
    <xf numFmtId="0" fontId="9" fillId="0" borderId="21" xfId="11" applyFont="1" applyBorder="1"/>
    <xf numFmtId="0" fontId="5" fillId="0" borderId="21" xfId="11" applyFont="1" applyBorder="1" applyAlignment="1">
      <alignment horizontal="left"/>
    </xf>
    <xf numFmtId="0" fontId="5" fillId="0" borderId="21" xfId="11" applyFont="1" applyBorder="1" applyAlignment="1">
      <alignment horizontal="left" indent="2"/>
    </xf>
    <xf numFmtId="0" fontId="10" fillId="0" borderId="21" xfId="11" applyFont="1" applyBorder="1" applyAlignment="1">
      <alignment horizontal="left"/>
    </xf>
    <xf numFmtId="0" fontId="5" fillId="0" borderId="21" xfId="11" applyFont="1" applyBorder="1"/>
    <xf numFmtId="0" fontId="5" fillId="0" borderId="24" xfId="11" applyFont="1" applyBorder="1"/>
    <xf numFmtId="0" fontId="5" fillId="0" borderId="42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41" fontId="9" fillId="0" borderId="10" xfId="13" applyNumberFormat="1" applyFont="1" applyBorder="1" applyAlignment="1">
      <alignment horizontal="center"/>
    </xf>
    <xf numFmtId="0" fontId="5" fillId="0" borderId="10" xfId="11" applyFont="1" applyBorder="1" applyAlignment="1">
      <alignment horizontal="center"/>
    </xf>
    <xf numFmtId="43" fontId="5" fillId="0" borderId="10" xfId="11" applyNumberFormat="1" applyFont="1" applyBorder="1" applyAlignment="1">
      <alignment horizontal="center"/>
    </xf>
    <xf numFmtId="41" fontId="9" fillId="0" borderId="10" xfId="13" applyNumberFormat="1" applyFont="1" applyFill="1" applyBorder="1" applyAlignment="1">
      <alignment horizontal="center"/>
    </xf>
    <xf numFmtId="41" fontId="5" fillId="0" borderId="10" xfId="13" applyNumberFormat="1" applyFont="1" applyBorder="1" applyAlignment="1">
      <alignment horizontal="left"/>
    </xf>
    <xf numFmtId="41" fontId="5" fillId="0" borderId="10" xfId="13" applyNumberFormat="1" applyFont="1" applyFill="1" applyBorder="1" applyAlignment="1">
      <alignment horizontal="left"/>
    </xf>
    <xf numFmtId="0" fontId="5" fillId="0" borderId="7" xfId="11" applyFont="1" applyBorder="1"/>
    <xf numFmtId="44" fontId="9" fillId="0" borderId="0" xfId="11" applyNumberFormat="1" applyFont="1" applyAlignment="1">
      <alignment horizontal="right" vertical="center"/>
    </xf>
    <xf numFmtId="164" fontId="5" fillId="0" borderId="0" xfId="11" applyNumberFormat="1" applyFont="1" applyAlignment="1">
      <alignment vertical="center"/>
    </xf>
    <xf numFmtId="0" fontId="5" fillId="0" borderId="11" xfId="11" applyFont="1" applyBorder="1" applyAlignment="1">
      <alignment horizontal="center"/>
    </xf>
    <xf numFmtId="0" fontId="5" fillId="0" borderId="33" xfId="11" applyFont="1" applyBorder="1" applyAlignment="1">
      <alignment horizontal="center"/>
    </xf>
    <xf numFmtId="10" fontId="5" fillId="0" borderId="13" xfId="19" applyNumberFormat="1" applyFont="1" applyBorder="1" applyAlignment="1">
      <alignment horizontal="center"/>
    </xf>
    <xf numFmtId="164" fontId="9" fillId="2" borderId="13" xfId="20" applyNumberFormat="1" applyFont="1" applyFill="1" applyBorder="1" applyAlignment="1">
      <alignment horizontal="right" vertical="center"/>
    </xf>
    <xf numFmtId="164" fontId="9" fillId="0" borderId="13" xfId="11" applyNumberFormat="1" applyFont="1" applyBorder="1" applyAlignment="1">
      <alignment horizontal="right" vertical="center"/>
    </xf>
    <xf numFmtId="165" fontId="5" fillId="2" borderId="13" xfId="1" applyNumberFormat="1" applyFont="1" applyFill="1" applyBorder="1" applyAlignment="1">
      <alignment horizontal="right" vertical="center"/>
    </xf>
    <xf numFmtId="165" fontId="9" fillId="0" borderId="13" xfId="1" applyNumberFormat="1" applyFont="1" applyBorder="1" applyAlignment="1">
      <alignment horizontal="right" vertical="center"/>
    </xf>
    <xf numFmtId="164" fontId="5" fillId="0" borderId="13" xfId="2" applyNumberFormat="1" applyFont="1" applyFill="1" applyBorder="1" applyAlignment="1">
      <alignment horizontal="right" vertical="center"/>
    </xf>
    <xf numFmtId="44" fontId="9" fillId="0" borderId="13" xfId="11" applyNumberFormat="1" applyFont="1" applyBorder="1" applyAlignment="1">
      <alignment horizontal="right" vertical="center"/>
    </xf>
    <xf numFmtId="0" fontId="5" fillId="0" borderId="8" xfId="11" applyFont="1" applyBorder="1"/>
    <xf numFmtId="170" fontId="9" fillId="0" borderId="13" xfId="20" applyNumberFormat="1" applyFont="1" applyFill="1" applyBorder="1" applyAlignment="1">
      <alignment horizontal="right"/>
    </xf>
    <xf numFmtId="170" fontId="9" fillId="0" borderId="13" xfId="11" applyNumberFormat="1" applyFont="1" applyBorder="1" applyAlignment="1">
      <alignment horizontal="right"/>
    </xf>
    <xf numFmtId="171" fontId="5" fillId="0" borderId="13" xfId="1" applyNumberFormat="1" applyFont="1" applyFill="1" applyBorder="1" applyAlignment="1">
      <alignment horizontal="right"/>
    </xf>
    <xf numFmtId="165" fontId="9" fillId="0" borderId="13" xfId="1" applyNumberFormat="1" applyFont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170" fontId="5" fillId="0" borderId="13" xfId="2" applyNumberFormat="1" applyFont="1" applyFill="1" applyBorder="1" applyAlignment="1">
      <alignment horizontal="right"/>
    </xf>
    <xf numFmtId="177" fontId="9" fillId="0" borderId="13" xfId="1" applyNumberFormat="1" applyFont="1" applyFill="1" applyBorder="1" applyAlignment="1">
      <alignment horizontal="right"/>
    </xf>
    <xf numFmtId="170" fontId="5" fillId="0" borderId="13" xfId="2" applyNumberFormat="1" applyFont="1" applyFill="1" applyBorder="1"/>
    <xf numFmtId="165" fontId="5" fillId="0" borderId="25" xfId="14" applyNumberFormat="1" applyFont="1" applyFill="1" applyBorder="1"/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quotePrefix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9" fillId="3" borderId="29" xfId="3" applyNumberFormat="1" applyFont="1" applyFill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39">
    <cellStyle name="Comma" xfId="1" builtinId="3"/>
    <cellStyle name="Comma [0]" xfId="37" builtinId="6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6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8" xr:uid="{BDA44EF7-F02F-4CD1-861D-9B7F301F3593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904875</xdr:colOff>
      <xdr:row>13</xdr:row>
      <xdr:rowOff>0</xdr:rowOff>
    </xdr:from>
    <xdr:to>
      <xdr:col>8</xdr:col>
      <xdr:colOff>87312</xdr:colOff>
      <xdr:row>14</xdr:row>
      <xdr:rowOff>182562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A620082-C3FF-43E6-AD85-7234D27D5220}"/>
            </a:ext>
          </a:extLst>
        </xdr:cNvPr>
        <xdr:cNvSpPr/>
      </xdr:nvSpPr>
      <xdr:spPr>
        <a:xfrm>
          <a:off x="10398125" y="2682875"/>
          <a:ext cx="134937" cy="40481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151</xdr:row>
      <xdr:rowOff>-1</xdr:rowOff>
    </xdr:from>
    <xdr:to>
      <xdr:col>2</xdr:col>
      <xdr:colOff>312424</xdr:colOff>
      <xdr:row>151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75.81640625" style="1" customWidth="1"/>
    <col min="3" max="3" width="1.81640625" style="1" customWidth="1"/>
    <col min="4" max="4" width="20.81640625" style="1" customWidth="1"/>
    <col min="5" max="5" width="1.54296875" style="1" customWidth="1"/>
    <col min="6" max="6" width="44.81640625" style="1" customWidth="1"/>
    <col min="7" max="7" width="4.81640625" style="1" customWidth="1"/>
    <col min="8" max="16384" width="9.1796875" style="1"/>
  </cols>
  <sheetData>
    <row r="2" spans="1:8" ht="17.5" x14ac:dyDescent="0.35">
      <c r="B2" s="896" t="s">
        <v>0</v>
      </c>
      <c r="C2" s="896"/>
      <c r="D2" s="896"/>
      <c r="E2" s="896"/>
      <c r="F2" s="896"/>
    </row>
    <row r="3" spans="1:8" ht="17.5" x14ac:dyDescent="0.35">
      <c r="B3" s="146" t="s">
        <v>1</v>
      </c>
      <c r="C3" s="2"/>
      <c r="D3" s="3"/>
      <c r="E3" s="3"/>
      <c r="F3" s="3"/>
    </row>
    <row r="4" spans="1:8" ht="17.5" x14ac:dyDescent="0.35">
      <c r="B4" s="895" t="s">
        <v>590</v>
      </c>
      <c r="C4" s="895"/>
      <c r="D4" s="895"/>
      <c r="E4" s="895"/>
      <c r="F4" s="895"/>
    </row>
    <row r="5" spans="1:8" ht="17.5" x14ac:dyDescent="0.35">
      <c r="B5" s="148" t="s">
        <v>589</v>
      </c>
      <c r="C5" s="2"/>
      <c r="D5" s="2"/>
      <c r="E5" s="2"/>
      <c r="F5" s="2"/>
    </row>
    <row r="6" spans="1:8" ht="15.5" x14ac:dyDescent="0.35">
      <c r="B6" s="894" t="s">
        <v>2</v>
      </c>
      <c r="C6" s="894"/>
      <c r="D6" s="894"/>
      <c r="E6" s="894"/>
      <c r="F6" s="894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3</v>
      </c>
      <c r="G8" s="8" t="s">
        <v>3</v>
      </c>
    </row>
    <row r="9" spans="1:8" ht="15.5" x14ac:dyDescent="0.35">
      <c r="A9" s="543" t="s">
        <v>4</v>
      </c>
      <c r="B9" s="9" t="s">
        <v>5</v>
      </c>
      <c r="C9" s="9"/>
      <c r="D9" s="9" t="s">
        <v>6</v>
      </c>
      <c r="E9" s="10"/>
      <c r="F9" s="9" t="s">
        <v>7</v>
      </c>
      <c r="G9" s="543" t="s">
        <v>4</v>
      </c>
    </row>
    <row r="10" spans="1:8" ht="15.5" x14ac:dyDescent="0.35">
      <c r="A10" s="8"/>
      <c r="B10" s="5"/>
      <c r="C10" s="5"/>
      <c r="D10" s="11"/>
      <c r="E10" s="11"/>
      <c r="F10" s="11"/>
      <c r="G10" s="8"/>
    </row>
    <row r="11" spans="1:8" ht="15.5" x14ac:dyDescent="0.35">
      <c r="A11" s="8">
        <v>1</v>
      </c>
      <c r="B11" s="7" t="s">
        <v>638</v>
      </c>
      <c r="C11" s="7"/>
      <c r="D11" s="11"/>
      <c r="E11" s="11"/>
      <c r="F11" s="11"/>
      <c r="G11" s="8">
        <v>1</v>
      </c>
    </row>
    <row r="12" spans="1:8" ht="15.5" x14ac:dyDescent="0.3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15.5" x14ac:dyDescent="0.35">
      <c r="A13" s="8">
        <f t="shared" ref="A13:A14" si="0">A12+1</f>
        <v>3</v>
      </c>
      <c r="B13" s="153" t="s">
        <v>8</v>
      </c>
      <c r="C13" s="12"/>
      <c r="D13" s="849">
        <f>'Pg2 App X C12 Comparison'!G28</f>
        <v>-12.398998035001568</v>
      </c>
      <c r="E13" s="13"/>
      <c r="F13" s="11" t="s">
        <v>9</v>
      </c>
      <c r="G13" s="8">
        <f t="shared" ref="G13:G14" si="1">G12+1</f>
        <v>3</v>
      </c>
    </row>
    <row r="14" spans="1:8" ht="15.5" x14ac:dyDescent="0.35">
      <c r="A14" s="8">
        <f t="shared" si="0"/>
        <v>4</v>
      </c>
      <c r="B14" s="5"/>
      <c r="C14" s="11"/>
      <c r="D14" s="13"/>
      <c r="E14" s="13"/>
      <c r="F14" s="11"/>
      <c r="G14" s="8">
        <f t="shared" si="1"/>
        <v>4</v>
      </c>
    </row>
    <row r="15" spans="1:8" ht="15.5" x14ac:dyDescent="0.35">
      <c r="A15" s="8">
        <f t="shared" ref="A15:A21" si="2">A14+1</f>
        <v>5</v>
      </c>
      <c r="B15" s="5" t="s">
        <v>10</v>
      </c>
      <c r="C15" s="11"/>
      <c r="D15" s="850">
        <f>'Pg15 App X C12 Int Calc'!G52</f>
        <v>-2.4610075867506715</v>
      </c>
      <c r="E15" s="14"/>
      <c r="F15" s="11" t="s">
        <v>796</v>
      </c>
      <c r="G15" s="8">
        <f t="shared" ref="G15:G21" si="3">G14+1</f>
        <v>5</v>
      </c>
    </row>
    <row r="16" spans="1:8" ht="15.5" x14ac:dyDescent="0.35">
      <c r="A16" s="8">
        <f t="shared" si="2"/>
        <v>6</v>
      </c>
      <c r="B16" s="5"/>
      <c r="C16" s="11"/>
      <c r="D16" s="15"/>
      <c r="E16" s="15"/>
      <c r="F16" s="11"/>
      <c r="G16" s="8">
        <f t="shared" si="3"/>
        <v>6</v>
      </c>
    </row>
    <row r="17" spans="1:7" ht="15.5" x14ac:dyDescent="0.35">
      <c r="A17" s="8">
        <f t="shared" si="2"/>
        <v>7</v>
      </c>
      <c r="B17" s="444" t="s">
        <v>11</v>
      </c>
      <c r="C17" s="10"/>
      <c r="D17" s="851">
        <f>D13+D15</f>
        <v>-14.86000562175224</v>
      </c>
      <c r="E17" s="13"/>
      <c r="F17" s="11" t="s">
        <v>12</v>
      </c>
      <c r="G17" s="8">
        <f t="shared" si="3"/>
        <v>7</v>
      </c>
    </row>
    <row r="18" spans="1:7" ht="15.5" x14ac:dyDescent="0.35">
      <c r="A18" s="8">
        <f t="shared" si="2"/>
        <v>8</v>
      </c>
      <c r="B18" s="5"/>
      <c r="C18" s="11"/>
      <c r="D18" s="147"/>
      <c r="E18" s="5"/>
      <c r="F18" s="5"/>
      <c r="G18" s="8">
        <f t="shared" si="3"/>
        <v>8</v>
      </c>
    </row>
    <row r="19" spans="1:7" ht="15.5" x14ac:dyDescent="0.35">
      <c r="A19" s="8">
        <f t="shared" si="2"/>
        <v>9</v>
      </c>
      <c r="B19" s="244" t="s">
        <v>13</v>
      </c>
      <c r="C19" s="11"/>
      <c r="D19" s="544">
        <v>12</v>
      </c>
      <c r="E19" s="5"/>
      <c r="F19" s="5"/>
      <c r="G19" s="8">
        <f t="shared" si="3"/>
        <v>9</v>
      </c>
    </row>
    <row r="20" spans="1:7" ht="15.5" x14ac:dyDescent="0.35">
      <c r="A20" s="8">
        <f t="shared" si="2"/>
        <v>10</v>
      </c>
      <c r="B20" s="5"/>
      <c r="C20" s="11"/>
      <c r="D20" s="147"/>
      <c r="E20" s="5"/>
      <c r="F20" s="5"/>
      <c r="G20" s="8">
        <f t="shared" si="3"/>
        <v>10</v>
      </c>
    </row>
    <row r="21" spans="1:7" ht="16" thickBot="1" x14ac:dyDescent="0.4">
      <c r="A21" s="8">
        <f t="shared" si="2"/>
        <v>11</v>
      </c>
      <c r="B21" s="444" t="s">
        <v>14</v>
      </c>
      <c r="C21" s="5"/>
      <c r="D21" s="521">
        <f>D17/12</f>
        <v>-1.2383338018126866</v>
      </c>
      <c r="E21" s="5"/>
      <c r="F21" s="11" t="s">
        <v>15</v>
      </c>
      <c r="G21" s="8">
        <f t="shared" si="3"/>
        <v>11</v>
      </c>
    </row>
    <row r="22" spans="1:7" ht="16" thickTop="1" x14ac:dyDescent="0.35">
      <c r="A22" s="8"/>
      <c r="B22" s="149"/>
      <c r="C22" s="5"/>
      <c r="D22" s="307"/>
      <c r="E22" s="5"/>
      <c r="F22" s="5"/>
      <c r="G22" s="5"/>
    </row>
    <row r="23" spans="1:7" ht="15.5" x14ac:dyDescent="0.35">
      <c r="B23" s="5"/>
      <c r="C23" s="5"/>
      <c r="D23" s="5"/>
      <c r="E23" s="5"/>
      <c r="F23" s="5"/>
      <c r="G23" s="5"/>
    </row>
    <row r="24" spans="1:7" ht="17" x14ac:dyDescent="0.35">
      <c r="A24" s="16">
        <v>1</v>
      </c>
      <c r="B24" s="852" t="s">
        <v>826</v>
      </c>
      <c r="C24" s="5"/>
      <c r="D24" s="5"/>
      <c r="E24" s="5"/>
      <c r="F24" s="5"/>
      <c r="G24" s="5"/>
    </row>
    <row r="25" spans="1:7" ht="15.5" x14ac:dyDescent="0.35">
      <c r="B25" s="852" t="s">
        <v>827</v>
      </c>
      <c r="C25" s="5"/>
      <c r="D25" s="5"/>
      <c r="E25" s="5"/>
      <c r="F25" s="5"/>
      <c r="G25" s="5"/>
    </row>
    <row r="26" spans="1:7" ht="15.5" x14ac:dyDescent="0.35">
      <c r="B26" s="853" t="s">
        <v>828</v>
      </c>
      <c r="C26" s="5"/>
      <c r="D26" s="5"/>
      <c r="E26" s="5"/>
      <c r="F26" s="5"/>
      <c r="G26" s="5"/>
    </row>
    <row r="27" spans="1:7" ht="15.5" x14ac:dyDescent="0.35">
      <c r="B27" s="854" t="s">
        <v>830</v>
      </c>
      <c r="C27" s="5"/>
      <c r="D27" s="5"/>
      <c r="E27" s="5"/>
      <c r="F27" s="5"/>
      <c r="G27" s="5"/>
    </row>
    <row r="28" spans="1:7" ht="15.5" x14ac:dyDescent="0.35">
      <c r="B28" s="5" t="s">
        <v>829</v>
      </c>
      <c r="C28" s="5"/>
      <c r="D28" s="5"/>
      <c r="E28" s="5"/>
      <c r="F28" s="5"/>
      <c r="G28" s="5"/>
    </row>
    <row r="29" spans="1:7" ht="17" x14ac:dyDescent="0.35">
      <c r="A29" s="16"/>
      <c r="B29" s="5"/>
      <c r="C29" s="5"/>
      <c r="D29" s="5"/>
      <c r="E29" s="5"/>
      <c r="F29" s="5"/>
      <c r="G29" s="5"/>
    </row>
    <row r="30" spans="1:7" ht="15.5" x14ac:dyDescent="0.35">
      <c r="B30" s="5"/>
      <c r="C30" s="5"/>
      <c r="D30" s="5"/>
      <c r="E30" s="5"/>
      <c r="F30" s="5"/>
      <c r="G30" s="5"/>
    </row>
    <row r="31" spans="1:7" ht="15.5" x14ac:dyDescent="0.35">
      <c r="B31" s="5"/>
      <c r="C31" s="5"/>
      <c r="D31" s="5"/>
      <c r="E31" s="5"/>
      <c r="F31" s="5"/>
      <c r="G31" s="5"/>
    </row>
    <row r="32" spans="1:7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6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A77F-E082-4F38-A433-E9795020FACB}">
  <sheetPr>
    <pageSetUpPr fitToPage="1"/>
  </sheetPr>
  <dimension ref="A1:N31"/>
  <sheetViews>
    <sheetView zoomScale="80" zoomScaleNormal="80" workbookViewId="0"/>
  </sheetViews>
  <sheetFormatPr defaultColWidth="9.1796875" defaultRowHeight="15.5" x14ac:dyDescent="0.35"/>
  <cols>
    <col min="1" max="1" width="5.1796875" style="33" customWidth="1"/>
    <col min="2" max="2" width="56" style="34" customWidth="1"/>
    <col min="3" max="3" width="24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17.81640625" style="34" bestFit="1" customWidth="1"/>
    <col min="10" max="10" width="1.54296875" style="34" customWidth="1"/>
    <col min="11" max="11" width="38.81640625" style="34" bestFit="1" customWidth="1"/>
    <col min="12" max="12" width="5.1796875" style="34" customWidth="1"/>
    <col min="13" max="13" width="9.1796875" style="34"/>
    <col min="14" max="14" width="20.453125" style="34" bestFit="1" customWidth="1"/>
    <col min="15" max="16384" width="9.1796875" style="34"/>
  </cols>
  <sheetData>
    <row r="1" spans="1:14" x14ac:dyDescent="0.35">
      <c r="A1" s="554" t="s">
        <v>683</v>
      </c>
    </row>
    <row r="2" spans="1:14" x14ac:dyDescent="0.35">
      <c r="H2" s="33"/>
      <c r="I2" s="33"/>
      <c r="J2" s="33"/>
      <c r="K2" s="33"/>
      <c r="L2" s="33"/>
    </row>
    <row r="3" spans="1:14" x14ac:dyDescent="0.35">
      <c r="B3" s="906" t="s">
        <v>16</v>
      </c>
      <c r="C3" s="906"/>
      <c r="D3" s="906"/>
      <c r="E3" s="906"/>
      <c r="F3" s="906"/>
      <c r="G3" s="906"/>
      <c r="H3" s="906"/>
      <c r="I3" s="906"/>
      <c r="J3" s="906"/>
      <c r="K3" s="906"/>
      <c r="L3" s="33"/>
    </row>
    <row r="4" spans="1:14" ht="18" x14ac:dyDescent="0.35">
      <c r="B4" s="906" t="s">
        <v>640</v>
      </c>
      <c r="C4" s="906"/>
      <c r="D4" s="906"/>
      <c r="E4" s="906"/>
      <c r="F4" s="906"/>
      <c r="G4" s="906"/>
      <c r="H4" s="906"/>
      <c r="I4" s="906"/>
      <c r="J4" s="906"/>
      <c r="K4" s="906"/>
      <c r="L4" s="33"/>
    </row>
    <row r="5" spans="1:14" x14ac:dyDescent="0.35">
      <c r="B5" s="906" t="s">
        <v>641</v>
      </c>
      <c r="C5" s="906"/>
      <c r="D5" s="906"/>
      <c r="E5" s="906"/>
      <c r="F5" s="906"/>
      <c r="G5" s="906"/>
      <c r="H5" s="906"/>
      <c r="I5" s="906"/>
      <c r="J5" s="906"/>
      <c r="K5" s="906"/>
      <c r="L5" s="33"/>
    </row>
    <row r="6" spans="1:14" x14ac:dyDescent="0.35">
      <c r="B6" s="907" t="s">
        <v>596</v>
      </c>
      <c r="C6" s="907"/>
      <c r="D6" s="907"/>
      <c r="E6" s="907"/>
      <c r="F6" s="907"/>
      <c r="G6" s="907"/>
      <c r="H6" s="907"/>
      <c r="I6" s="907"/>
      <c r="J6" s="907"/>
      <c r="K6" s="907"/>
      <c r="L6" s="33"/>
      <c r="N6" s="613"/>
    </row>
    <row r="7" spans="1:14" x14ac:dyDescent="0.35">
      <c r="B7" s="904" t="s">
        <v>2</v>
      </c>
      <c r="C7" s="908"/>
      <c r="D7" s="908"/>
      <c r="E7" s="908"/>
      <c r="F7" s="908"/>
      <c r="G7" s="908"/>
      <c r="H7" s="908"/>
      <c r="I7" s="908"/>
      <c r="J7" s="908"/>
      <c r="K7" s="908"/>
      <c r="L7" s="33"/>
    </row>
    <row r="8" spans="1:14" x14ac:dyDescent="0.3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4" x14ac:dyDescent="0.35">
      <c r="A9" s="33" t="s">
        <v>3</v>
      </c>
      <c r="B9" s="308"/>
      <c r="C9" s="33" t="s">
        <v>182</v>
      </c>
      <c r="D9" s="308"/>
      <c r="E9" s="65" t="s">
        <v>254</v>
      </c>
      <c r="F9" s="33"/>
      <c r="G9" s="65" t="s">
        <v>255</v>
      </c>
      <c r="H9" s="33"/>
      <c r="I9" s="65" t="s">
        <v>642</v>
      </c>
      <c r="J9" s="33"/>
      <c r="K9" s="33"/>
      <c r="L9" s="33" t="s">
        <v>3</v>
      </c>
    </row>
    <row r="10" spans="1:14" x14ac:dyDescent="0.35">
      <c r="A10" s="33" t="s">
        <v>4</v>
      </c>
      <c r="C10" s="680" t="s">
        <v>183</v>
      </c>
      <c r="E10" s="681" t="s">
        <v>681</v>
      </c>
      <c r="F10" s="151"/>
      <c r="G10" s="681" t="s">
        <v>682</v>
      </c>
      <c r="H10" s="308"/>
      <c r="I10" s="682" t="s">
        <v>295</v>
      </c>
      <c r="J10" s="308"/>
      <c r="K10" s="680" t="s">
        <v>7</v>
      </c>
      <c r="L10" s="33" t="s">
        <v>4</v>
      </c>
    </row>
    <row r="11" spans="1:14" x14ac:dyDescent="0.35">
      <c r="H11" s="33"/>
      <c r="I11" s="33"/>
      <c r="J11" s="33"/>
      <c r="K11" s="33"/>
      <c r="L11" s="33"/>
    </row>
    <row r="12" spans="1:14" x14ac:dyDescent="0.35">
      <c r="A12" s="33">
        <v>1</v>
      </c>
      <c r="B12" s="34" t="s">
        <v>643</v>
      </c>
      <c r="E12" s="683">
        <v>152607.56715560058</v>
      </c>
      <c r="F12" s="684"/>
      <c r="G12" s="683">
        <v>110769.72085771088</v>
      </c>
      <c r="H12" s="33"/>
      <c r="I12" s="684">
        <f>(E12+G12)/2</f>
        <v>131688.64400665573</v>
      </c>
      <c r="J12" s="33"/>
      <c r="K12" s="33" t="s">
        <v>797</v>
      </c>
      <c r="L12" s="33">
        <f>A12</f>
        <v>1</v>
      </c>
      <c r="N12" s="613"/>
    </row>
    <row r="13" spans="1:14" x14ac:dyDescent="0.35">
      <c r="A13" s="33">
        <f>A12+1</f>
        <v>2</v>
      </c>
      <c r="H13" s="33"/>
      <c r="I13" s="33"/>
      <c r="J13" s="33"/>
      <c r="K13" s="33"/>
      <c r="L13" s="33">
        <f>L12+1</f>
        <v>2</v>
      </c>
    </row>
    <row r="14" spans="1:14" s="613" customFormat="1" x14ac:dyDescent="0.35">
      <c r="A14" s="33">
        <f t="shared" ref="A14:A24" si="0">A13+1</f>
        <v>3</v>
      </c>
      <c r="B14" s="34" t="s">
        <v>644</v>
      </c>
      <c r="C14" s="34"/>
      <c r="D14" s="34"/>
      <c r="E14" s="685">
        <v>-1173268.9677006095</v>
      </c>
      <c r="F14" s="23" t="s">
        <v>27</v>
      </c>
      <c r="G14" s="686">
        <v>-1221282.4848146702</v>
      </c>
      <c r="H14" s="33"/>
      <c r="I14" s="687">
        <f>(E14+G14)/2</f>
        <v>-1197275.7262576399</v>
      </c>
      <c r="J14" s="33"/>
      <c r="K14" s="33" t="s">
        <v>798</v>
      </c>
      <c r="L14" s="33">
        <f t="shared" ref="L14:L24" si="1">L13+1</f>
        <v>3</v>
      </c>
      <c r="M14" s="34"/>
    </row>
    <row r="15" spans="1:14" s="613" customFormat="1" x14ac:dyDescent="0.35">
      <c r="A15" s="33">
        <f t="shared" si="0"/>
        <v>4</v>
      </c>
      <c r="B15" s="34"/>
      <c r="C15" s="34"/>
      <c r="D15" s="34"/>
      <c r="E15" s="34"/>
      <c r="F15" s="34"/>
      <c r="G15" s="34"/>
      <c r="H15" s="33"/>
      <c r="I15" s="33"/>
      <c r="J15" s="33"/>
      <c r="K15" s="8"/>
      <c r="L15" s="33">
        <f t="shared" si="1"/>
        <v>4</v>
      </c>
    </row>
    <row r="16" spans="1:14" s="613" customFormat="1" x14ac:dyDescent="0.35">
      <c r="A16" s="33">
        <f t="shared" si="0"/>
        <v>5</v>
      </c>
      <c r="B16" s="34" t="s">
        <v>645</v>
      </c>
      <c r="C16" s="34"/>
      <c r="D16" s="34"/>
      <c r="E16" s="511">
        <v>-7891.472320000008</v>
      </c>
      <c r="F16" s="34"/>
      <c r="G16" s="511">
        <v>-8583.7620040680013</v>
      </c>
      <c r="H16" s="33"/>
      <c r="I16" s="688">
        <f>(E16+G16)/2</f>
        <v>-8237.6171620340047</v>
      </c>
      <c r="J16" s="33"/>
      <c r="K16" s="33" t="s">
        <v>799</v>
      </c>
      <c r="L16" s="33">
        <f t="shared" si="1"/>
        <v>5</v>
      </c>
      <c r="M16" s="34"/>
      <c r="N16" s="34"/>
    </row>
    <row r="17" spans="1:12" x14ac:dyDescent="0.35">
      <c r="A17" s="33">
        <f t="shared" si="0"/>
        <v>6</v>
      </c>
      <c r="B17" s="17"/>
      <c r="E17" s="684"/>
      <c r="F17" s="684"/>
      <c r="G17" s="684"/>
      <c r="I17" s="684"/>
      <c r="J17" s="33"/>
      <c r="K17" s="8"/>
      <c r="L17" s="33">
        <f t="shared" si="1"/>
        <v>6</v>
      </c>
    </row>
    <row r="18" spans="1:12" ht="19" thickBot="1" x14ac:dyDescent="0.4">
      <c r="A18" s="33">
        <f t="shared" si="0"/>
        <v>7</v>
      </c>
      <c r="B18" s="17" t="s">
        <v>646</v>
      </c>
      <c r="C18" s="33"/>
      <c r="E18" s="483">
        <f>SUM(E12:E16)</f>
        <v>-1028552.872865009</v>
      </c>
      <c r="F18" s="23" t="s">
        <v>27</v>
      </c>
      <c r="G18" s="592">
        <f>SUM(G12:G16)</f>
        <v>-1119096.5259610272</v>
      </c>
      <c r="H18" s="689"/>
      <c r="I18" s="592">
        <f>SUM(I12:I16)</f>
        <v>-1073824.6994130181</v>
      </c>
      <c r="J18" s="33"/>
      <c r="K18" s="690" t="str">
        <f>"Sum Lines "&amp;A12&amp;" thru "&amp;A16</f>
        <v>Sum Lines 1 thru 5</v>
      </c>
      <c r="L18" s="33">
        <f t="shared" si="1"/>
        <v>7</v>
      </c>
    </row>
    <row r="19" spans="1:12" ht="16" thickTop="1" x14ac:dyDescent="0.35">
      <c r="A19" s="33">
        <f t="shared" si="0"/>
        <v>8</v>
      </c>
      <c r="J19" s="33"/>
      <c r="K19" s="8"/>
      <c r="L19" s="33">
        <f t="shared" si="1"/>
        <v>8</v>
      </c>
    </row>
    <row r="20" spans="1:12" ht="16" thickBot="1" x14ac:dyDescent="0.4">
      <c r="A20" s="33">
        <f t="shared" si="0"/>
        <v>9</v>
      </c>
      <c r="B20" s="17" t="s">
        <v>647</v>
      </c>
      <c r="E20" s="691">
        <v>0</v>
      </c>
      <c r="G20" s="691">
        <v>0</v>
      </c>
      <c r="I20" s="692">
        <f>(E20+G20)/2</f>
        <v>0</v>
      </c>
      <c r="J20" s="33"/>
      <c r="K20" s="33" t="s">
        <v>232</v>
      </c>
      <c r="L20" s="33">
        <f t="shared" si="1"/>
        <v>9</v>
      </c>
    </row>
    <row r="21" spans="1:12" ht="16" thickTop="1" x14ac:dyDescent="0.35">
      <c r="A21" s="33">
        <f t="shared" si="0"/>
        <v>10</v>
      </c>
      <c r="B21" s="17"/>
      <c r="I21" s="506"/>
      <c r="J21" s="33"/>
      <c r="K21" s="8"/>
      <c r="L21" s="33">
        <f t="shared" si="1"/>
        <v>10</v>
      </c>
    </row>
    <row r="22" spans="1:12" ht="16" thickBot="1" x14ac:dyDescent="0.4">
      <c r="A22" s="33">
        <f t="shared" si="0"/>
        <v>11</v>
      </c>
      <c r="B22" s="17" t="s">
        <v>648</v>
      </c>
      <c r="E22" s="693">
        <v>0</v>
      </c>
      <c r="F22" s="694"/>
      <c r="G22" s="693">
        <v>0</v>
      </c>
      <c r="H22" s="695"/>
      <c r="I22" s="692">
        <f>(E22+G22)/2</f>
        <v>0</v>
      </c>
      <c r="K22" s="33" t="s">
        <v>800</v>
      </c>
      <c r="L22" s="33">
        <f t="shared" si="1"/>
        <v>11</v>
      </c>
    </row>
    <row r="23" spans="1:12" ht="16" thickTop="1" x14ac:dyDescent="0.35">
      <c r="A23" s="33">
        <f t="shared" si="0"/>
        <v>12</v>
      </c>
      <c r="B23" s="17"/>
      <c r="E23" s="31"/>
      <c r="F23" s="550"/>
      <c r="G23" s="31"/>
      <c r="H23" s="695"/>
      <c r="I23" s="506"/>
      <c r="K23" s="8"/>
      <c r="L23" s="33">
        <f t="shared" si="1"/>
        <v>12</v>
      </c>
    </row>
    <row r="24" spans="1:12" ht="16" thickBot="1" x14ac:dyDescent="0.4">
      <c r="A24" s="33">
        <f t="shared" si="0"/>
        <v>13</v>
      </c>
      <c r="B24" s="17" t="s">
        <v>649</v>
      </c>
      <c r="E24" s="691">
        <v>0</v>
      </c>
      <c r="F24" s="694"/>
      <c r="G24" s="691">
        <v>0</v>
      </c>
      <c r="H24" s="695"/>
      <c r="I24" s="692">
        <f>(E24+G24)/2</f>
        <v>0</v>
      </c>
      <c r="K24" s="33" t="s">
        <v>232</v>
      </c>
      <c r="L24" s="33">
        <f t="shared" si="1"/>
        <v>13</v>
      </c>
    </row>
    <row r="25" spans="1:12" ht="16" thickTop="1" x14ac:dyDescent="0.35">
      <c r="L25" s="33"/>
    </row>
    <row r="26" spans="1:12" x14ac:dyDescent="0.35">
      <c r="L26" s="33"/>
    </row>
    <row r="27" spans="1:12" x14ac:dyDescent="0.35">
      <c r="A27" s="23" t="s">
        <v>27</v>
      </c>
      <c r="B27" s="21" t="s">
        <v>650</v>
      </c>
    </row>
    <row r="28" spans="1:12" ht="18" x14ac:dyDescent="0.35">
      <c r="A28" s="90">
        <v>1</v>
      </c>
      <c r="B28" s="17" t="s">
        <v>651</v>
      </c>
    </row>
    <row r="29" spans="1:12" ht="18" x14ac:dyDescent="0.35">
      <c r="A29" s="90">
        <v>2</v>
      </c>
      <c r="B29" s="34" t="s">
        <v>652</v>
      </c>
    </row>
    <row r="30" spans="1:12" x14ac:dyDescent="0.35">
      <c r="A30" s="34"/>
      <c r="B30" s="40" t="s">
        <v>653</v>
      </c>
    </row>
    <row r="31" spans="1:12" x14ac:dyDescent="0.35">
      <c r="B31" s="613"/>
    </row>
  </sheetData>
  <mergeCells count="5">
    <mergeCell ref="B3:K3"/>
    <mergeCell ref="B4:K4"/>
    <mergeCell ref="B5:K5"/>
    <mergeCell ref="B6:K6"/>
    <mergeCell ref="B7:K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FILED</oddHeader>
    <oddFooter>&amp;L&amp;F&amp;CPage 8.1&amp;R&amp;A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F802-8C42-484E-A7DF-5072B7986133}">
  <sheetPr>
    <pageSetUpPr fitToPage="1"/>
  </sheetPr>
  <dimension ref="A2:N48"/>
  <sheetViews>
    <sheetView zoomScale="80" zoomScaleNormal="80" workbookViewId="0"/>
  </sheetViews>
  <sheetFormatPr defaultColWidth="8.81640625" defaultRowHeight="15.5" x14ac:dyDescent="0.35"/>
  <cols>
    <col min="1" max="1" width="5.81640625" style="33" customWidth="1"/>
    <col min="2" max="2" width="62.81640625" style="34" bestFit="1" customWidth="1"/>
    <col min="3" max="3" width="16.81640625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22.36328125" style="34" bestFit="1" customWidth="1"/>
    <col min="10" max="10" width="2" style="34" bestFit="1" customWidth="1"/>
    <col min="11" max="11" width="62.54296875" style="34" customWidth="1"/>
    <col min="12" max="12" width="5.1796875" style="33" customWidth="1"/>
    <col min="13" max="13" width="8.81640625" style="34"/>
    <col min="14" max="14" width="12.81640625" style="34" bestFit="1" customWidth="1"/>
    <col min="15" max="16384" width="8.81640625" style="34"/>
  </cols>
  <sheetData>
    <row r="2" spans="1:14" x14ac:dyDescent="0.35">
      <c r="B2" s="906" t="s">
        <v>16</v>
      </c>
      <c r="C2" s="906"/>
      <c r="D2" s="906"/>
      <c r="E2" s="906"/>
      <c r="F2" s="906"/>
      <c r="G2" s="906"/>
      <c r="H2" s="906"/>
      <c r="I2" s="906"/>
      <c r="J2" s="906"/>
      <c r="K2" s="906"/>
    </row>
    <row r="3" spans="1:14" x14ac:dyDescent="0.35">
      <c r="B3" s="906" t="s">
        <v>654</v>
      </c>
      <c r="C3" s="906"/>
      <c r="D3" s="906"/>
      <c r="E3" s="906"/>
      <c r="F3" s="906"/>
      <c r="G3" s="906"/>
      <c r="H3" s="906"/>
      <c r="I3" s="906"/>
      <c r="J3" s="906"/>
      <c r="K3" s="906"/>
    </row>
    <row r="4" spans="1:14" x14ac:dyDescent="0.35">
      <c r="B4" s="906" t="s">
        <v>655</v>
      </c>
      <c r="C4" s="906"/>
      <c r="D4" s="906"/>
      <c r="E4" s="906"/>
      <c r="F4" s="906"/>
      <c r="G4" s="906"/>
      <c r="H4" s="906"/>
      <c r="I4" s="906"/>
      <c r="J4" s="906"/>
      <c r="K4" s="906"/>
    </row>
    <row r="5" spans="1:14" x14ac:dyDescent="0.35">
      <c r="B5" s="906" t="s">
        <v>685</v>
      </c>
      <c r="C5" s="906"/>
      <c r="D5" s="906"/>
      <c r="E5" s="906"/>
      <c r="F5" s="906"/>
      <c r="G5" s="906"/>
      <c r="H5" s="906"/>
      <c r="I5" s="906"/>
      <c r="J5" s="906"/>
      <c r="K5" s="906"/>
      <c r="N5" s="613"/>
    </row>
    <row r="6" spans="1:14" ht="15.75" customHeight="1" x14ac:dyDescent="0.35">
      <c r="B6" s="904" t="s">
        <v>2</v>
      </c>
      <c r="C6" s="904"/>
      <c r="D6" s="904"/>
      <c r="E6" s="904"/>
      <c r="F6" s="904"/>
      <c r="G6" s="904"/>
      <c r="H6" s="904"/>
      <c r="I6" s="904"/>
      <c r="J6" s="904"/>
      <c r="K6" s="904"/>
    </row>
    <row r="8" spans="1:14" x14ac:dyDescent="0.35">
      <c r="B8" s="506"/>
      <c r="C8" s="667" t="s">
        <v>254</v>
      </c>
      <c r="D8" s="667"/>
      <c r="E8" s="667" t="s">
        <v>255</v>
      </c>
      <c r="F8" s="667"/>
      <c r="G8" s="667" t="s">
        <v>345</v>
      </c>
      <c r="H8" s="667"/>
      <c r="I8" s="667" t="s">
        <v>656</v>
      </c>
      <c r="J8" s="667"/>
      <c r="K8" s="667"/>
    </row>
    <row r="9" spans="1:14" x14ac:dyDescent="0.35">
      <c r="A9" s="33" t="s">
        <v>3</v>
      </c>
      <c r="B9" s="506"/>
      <c r="C9" s="667" t="s">
        <v>657</v>
      </c>
      <c r="D9" s="667"/>
      <c r="E9" s="667" t="s">
        <v>658</v>
      </c>
      <c r="F9" s="667"/>
      <c r="G9" s="667" t="s">
        <v>658</v>
      </c>
      <c r="H9" s="667"/>
      <c r="I9" s="667"/>
      <c r="J9" s="667"/>
      <c r="K9" s="667"/>
      <c r="L9" s="33" t="s">
        <v>3</v>
      </c>
    </row>
    <row r="10" spans="1:14" x14ac:dyDescent="0.35">
      <c r="A10" s="33" t="s">
        <v>4</v>
      </c>
      <c r="B10" s="696" t="s">
        <v>5</v>
      </c>
      <c r="C10" s="697" t="s">
        <v>659</v>
      </c>
      <c r="D10" s="697"/>
      <c r="E10" s="697" t="s">
        <v>660</v>
      </c>
      <c r="F10" s="697"/>
      <c r="G10" s="697" t="s">
        <v>661</v>
      </c>
      <c r="H10" s="697"/>
      <c r="I10" s="696" t="s">
        <v>258</v>
      </c>
      <c r="J10" s="696"/>
      <c r="K10" s="696" t="s">
        <v>7</v>
      </c>
      <c r="L10" s="33" t="s">
        <v>4</v>
      </c>
    </row>
    <row r="11" spans="1:14" x14ac:dyDescent="0.35">
      <c r="B11" s="506"/>
      <c r="C11" s="698"/>
      <c r="D11" s="698"/>
      <c r="E11" s="698"/>
      <c r="F11" s="698"/>
      <c r="G11" s="698"/>
      <c r="H11" s="698"/>
      <c r="I11" s="45"/>
      <c r="J11" s="45"/>
      <c r="K11" s="45"/>
    </row>
    <row r="12" spans="1:14" x14ac:dyDescent="0.35">
      <c r="A12" s="33">
        <v>1</v>
      </c>
      <c r="B12" s="40" t="s">
        <v>662</v>
      </c>
      <c r="C12" s="699"/>
      <c r="D12" s="699"/>
      <c r="E12" s="699"/>
      <c r="F12" s="699"/>
      <c r="G12" s="699"/>
      <c r="H12" s="699"/>
      <c r="I12" s="45"/>
      <c r="J12" s="45"/>
      <c r="K12" s="45"/>
      <c r="L12" s="33">
        <f>A12</f>
        <v>1</v>
      </c>
      <c r="N12" s="613"/>
    </row>
    <row r="13" spans="1:14" x14ac:dyDescent="0.35">
      <c r="A13" s="33">
        <f>A12+1</f>
        <v>2</v>
      </c>
      <c r="B13" s="40" t="s">
        <v>663</v>
      </c>
      <c r="C13" s="715">
        <v>1029.97967070187</v>
      </c>
      <c r="D13" s="23" t="s">
        <v>27</v>
      </c>
      <c r="E13" s="57">
        <v>0</v>
      </c>
      <c r="F13" s="57"/>
      <c r="G13" s="57">
        <v>0</v>
      </c>
      <c r="H13" s="700"/>
      <c r="I13" s="704">
        <f>SUM(C13:G13)</f>
        <v>1029.97967070187</v>
      </c>
      <c r="J13" s="23" t="s">
        <v>27</v>
      </c>
      <c r="K13" s="531" t="s">
        <v>669</v>
      </c>
      <c r="L13" s="33">
        <f>L12+1</f>
        <v>2</v>
      </c>
    </row>
    <row r="14" spans="1:14" x14ac:dyDescent="0.35">
      <c r="A14" s="33">
        <f t="shared" ref="A14:A45" si="0">A13+1</f>
        <v>3</v>
      </c>
      <c r="B14" s="40" t="s">
        <v>664</v>
      </c>
      <c r="C14" s="109">
        <v>223.40401868713801</v>
      </c>
      <c r="D14" s="109"/>
      <c r="E14" s="109">
        <v>0</v>
      </c>
      <c r="F14" s="109"/>
      <c r="G14" s="109">
        <v>0</v>
      </c>
      <c r="H14" s="109"/>
      <c r="I14" s="32">
        <f>SUM(C14:G14)</f>
        <v>223.40401868713801</v>
      </c>
      <c r="J14" s="32"/>
      <c r="K14" s="531" t="s">
        <v>677</v>
      </c>
      <c r="L14" s="33">
        <f t="shared" ref="L14:L45" si="1">L13+1</f>
        <v>3</v>
      </c>
    </row>
    <row r="15" spans="1:14" x14ac:dyDescent="0.35">
      <c r="A15" s="33">
        <f t="shared" si="0"/>
        <v>4</v>
      </c>
      <c r="B15" s="40" t="s">
        <v>665</v>
      </c>
      <c r="C15" s="109">
        <v>0</v>
      </c>
      <c r="D15" s="109"/>
      <c r="E15" s="109">
        <v>103895.54690487018</v>
      </c>
      <c r="F15" s="109"/>
      <c r="G15" s="109">
        <v>0</v>
      </c>
      <c r="H15" s="109"/>
      <c r="I15" s="32">
        <f>SUM(C15:G15)</f>
        <v>103895.54690487018</v>
      </c>
      <c r="J15" s="32"/>
      <c r="K15" s="531" t="s">
        <v>677</v>
      </c>
      <c r="L15" s="33">
        <f t="shared" si="1"/>
        <v>4</v>
      </c>
    </row>
    <row r="16" spans="1:14" ht="16" thickBot="1" x14ac:dyDescent="0.4">
      <c r="A16" s="33">
        <f t="shared" si="0"/>
        <v>5</v>
      </c>
      <c r="B16" s="50" t="s">
        <v>666</v>
      </c>
      <c r="C16" s="701">
        <f>SUM(C13:C15)</f>
        <v>1253.3836893890079</v>
      </c>
      <c r="D16" s="23" t="s">
        <v>27</v>
      </c>
      <c r="E16" s="701">
        <f>SUM(E13:E15)</f>
        <v>103895.54690487018</v>
      </c>
      <c r="F16" s="498"/>
      <c r="G16" s="701">
        <f>SUM(G13:G15)</f>
        <v>0</v>
      </c>
      <c r="H16" s="32"/>
      <c r="I16" s="701">
        <f>SUM(I13:I15)</f>
        <v>105148.93059425919</v>
      </c>
      <c r="J16" s="23" t="s">
        <v>27</v>
      </c>
      <c r="K16" s="493" t="str">
        <f>"Sum Lines "&amp;A13&amp;" thru "&amp;A15</f>
        <v>Sum Lines 2 thru 4</v>
      </c>
      <c r="L16" s="33">
        <f t="shared" si="1"/>
        <v>5</v>
      </c>
    </row>
    <row r="17" spans="1:14" ht="16" thickTop="1" x14ac:dyDescent="0.35">
      <c r="A17" s="33">
        <f t="shared" si="0"/>
        <v>6</v>
      </c>
      <c r="C17" s="702"/>
      <c r="D17" s="702"/>
      <c r="E17" s="702"/>
      <c r="F17" s="702"/>
      <c r="G17" s="702"/>
      <c r="H17" s="702"/>
      <c r="I17" s="702"/>
      <c r="J17" s="702"/>
      <c r="K17" s="702"/>
      <c r="L17" s="33">
        <f t="shared" si="1"/>
        <v>6</v>
      </c>
    </row>
    <row r="18" spans="1:14" x14ac:dyDescent="0.35">
      <c r="A18" s="33">
        <f t="shared" si="0"/>
        <v>7</v>
      </c>
      <c r="B18" s="40" t="s">
        <v>667</v>
      </c>
      <c r="C18" s="699"/>
      <c r="D18" s="699"/>
      <c r="E18" s="699"/>
      <c r="F18" s="699"/>
      <c r="G18" s="699"/>
      <c r="H18" s="699"/>
      <c r="I18" s="45"/>
      <c r="J18" s="45"/>
      <c r="K18" s="45"/>
      <c r="L18" s="33">
        <f t="shared" si="1"/>
        <v>7</v>
      </c>
    </row>
    <row r="19" spans="1:14" x14ac:dyDescent="0.35">
      <c r="A19" s="33">
        <f t="shared" si="0"/>
        <v>8</v>
      </c>
      <c r="B19" s="703" t="s">
        <v>668</v>
      </c>
      <c r="C19" s="684">
        <v>-844678.63211961079</v>
      </c>
      <c r="D19" s="684"/>
      <c r="E19" s="684">
        <v>-365954.92673469405</v>
      </c>
      <c r="F19" s="684"/>
      <c r="G19" s="684">
        <v>8295.2800215856587</v>
      </c>
      <c r="H19" s="684"/>
      <c r="I19" s="684">
        <f>SUM(C19:G19)</f>
        <v>-1202338.278832719</v>
      </c>
      <c r="J19" s="684"/>
      <c r="K19" s="705" t="s">
        <v>678</v>
      </c>
      <c r="L19" s="33">
        <f t="shared" si="1"/>
        <v>8</v>
      </c>
      <c r="N19" s="713"/>
    </row>
    <row r="20" spans="1:14" x14ac:dyDescent="0.35">
      <c r="A20" s="33">
        <f t="shared" si="0"/>
        <v>9</v>
      </c>
      <c r="C20" s="32">
        <v>0</v>
      </c>
      <c r="D20" s="32"/>
      <c r="E20" s="32">
        <v>0</v>
      </c>
      <c r="F20" s="32"/>
      <c r="G20" s="32">
        <v>0</v>
      </c>
      <c r="H20" s="32"/>
      <c r="I20" s="32">
        <f>SUM(C20:G20)</f>
        <v>0</v>
      </c>
      <c r="J20" s="32"/>
      <c r="K20" s="32"/>
      <c r="L20" s="33">
        <f t="shared" si="1"/>
        <v>9</v>
      </c>
    </row>
    <row r="21" spans="1:14" ht="16" thickBot="1" x14ac:dyDescent="0.4">
      <c r="A21" s="33">
        <f t="shared" si="0"/>
        <v>10</v>
      </c>
      <c r="B21" s="50" t="s">
        <v>670</v>
      </c>
      <c r="C21" s="701">
        <f>SUM(C19:C20)</f>
        <v>-844678.63211961079</v>
      </c>
      <c r="D21" s="32"/>
      <c r="E21" s="701">
        <f>SUM(E19:E20)</f>
        <v>-365954.92673469405</v>
      </c>
      <c r="F21" s="498"/>
      <c r="G21" s="701">
        <f>SUM(G19:G20)</f>
        <v>8295.2800215856587</v>
      </c>
      <c r="H21" s="32"/>
      <c r="I21" s="701">
        <f>SUM(I19:I20)</f>
        <v>-1202338.278832719</v>
      </c>
      <c r="J21" s="498"/>
      <c r="K21" s="493" t="str">
        <f>"Sum Lines "&amp;A19&amp;" thru "&amp;A20</f>
        <v>Sum Lines 8 thru 9</v>
      </c>
      <c r="L21" s="33">
        <f t="shared" si="1"/>
        <v>10</v>
      </c>
    </row>
    <row r="22" spans="1:14" ht="16" thickTop="1" x14ac:dyDescent="0.35">
      <c r="A22" s="33">
        <f t="shared" si="0"/>
        <v>11</v>
      </c>
      <c r="L22" s="33">
        <f t="shared" si="1"/>
        <v>11</v>
      </c>
    </row>
    <row r="23" spans="1:14" x14ac:dyDescent="0.35">
      <c r="A23" s="33">
        <f t="shared" si="0"/>
        <v>12</v>
      </c>
      <c r="B23" s="40" t="s">
        <v>671</v>
      </c>
      <c r="C23" s="699"/>
      <c r="D23" s="699"/>
      <c r="E23" s="699"/>
      <c r="F23" s="699"/>
      <c r="G23" s="699"/>
      <c r="H23" s="699"/>
      <c r="I23" s="45"/>
      <c r="J23" s="45"/>
      <c r="K23" s="33"/>
      <c r="L23" s="33">
        <f t="shared" si="1"/>
        <v>12</v>
      </c>
    </row>
    <row r="24" spans="1:14" x14ac:dyDescent="0.35">
      <c r="A24" s="33">
        <f t="shared" si="0"/>
        <v>13</v>
      </c>
      <c r="B24" s="40" t="s">
        <v>672</v>
      </c>
      <c r="C24" s="57">
        <v>-8583.7620040680013</v>
      </c>
      <c r="D24" s="57"/>
      <c r="E24" s="57">
        <v>0</v>
      </c>
      <c r="F24" s="57"/>
      <c r="G24" s="57">
        <v>0</v>
      </c>
      <c r="H24" s="700"/>
      <c r="I24" s="684">
        <f>SUM(C24:G24)</f>
        <v>-8583.7620040680013</v>
      </c>
      <c r="J24" s="684"/>
      <c r="K24" s="531" t="s">
        <v>679</v>
      </c>
      <c r="L24" s="33">
        <f t="shared" si="1"/>
        <v>13</v>
      </c>
    </row>
    <row r="25" spans="1:14" x14ac:dyDescent="0.35">
      <c r="A25" s="33">
        <f t="shared" si="0"/>
        <v>14</v>
      </c>
      <c r="B25" s="40"/>
      <c r="C25" s="32">
        <v>0</v>
      </c>
      <c r="D25" s="32"/>
      <c r="E25" s="32">
        <v>0</v>
      </c>
      <c r="F25" s="32"/>
      <c r="G25" s="32">
        <v>0</v>
      </c>
      <c r="H25" s="32"/>
      <c r="I25" s="32">
        <f>SUM(C25:G25)</f>
        <v>0</v>
      </c>
      <c r="J25" s="32"/>
      <c r="K25" s="32"/>
      <c r="L25" s="33">
        <f t="shared" si="1"/>
        <v>14</v>
      </c>
    </row>
    <row r="26" spans="1:14" ht="16" thickBot="1" x14ac:dyDescent="0.4">
      <c r="A26" s="33">
        <f t="shared" si="0"/>
        <v>15</v>
      </c>
      <c r="B26" s="50" t="s">
        <v>673</v>
      </c>
      <c r="C26" s="701">
        <f>SUM(C24:C25)</f>
        <v>-8583.7620040680013</v>
      </c>
      <c r="D26" s="32"/>
      <c r="E26" s="701">
        <f>SUM(E24:E25)</f>
        <v>0</v>
      </c>
      <c r="F26" s="498"/>
      <c r="G26" s="701">
        <f>SUM(G24:G25)</f>
        <v>0</v>
      </c>
      <c r="H26" s="32"/>
      <c r="I26" s="701">
        <f>SUM(I24:I25)</f>
        <v>-8583.7620040680013</v>
      </c>
      <c r="J26" s="498"/>
      <c r="K26" s="493" t="str">
        <f>"Sum Lines "&amp;A24&amp;" thru "&amp;A25</f>
        <v>Sum Lines 13 thru 14</v>
      </c>
      <c r="L26" s="33">
        <f t="shared" si="1"/>
        <v>15</v>
      </c>
    </row>
    <row r="27" spans="1:14" ht="16.5" thickTop="1" thickBot="1" x14ac:dyDescent="0.4">
      <c r="A27" s="33">
        <f t="shared" si="0"/>
        <v>16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33">
        <f t="shared" si="1"/>
        <v>16</v>
      </c>
    </row>
    <row r="28" spans="1:14" x14ac:dyDescent="0.35">
      <c r="A28" s="33">
        <f t="shared" si="0"/>
        <v>17</v>
      </c>
      <c r="L28" s="33">
        <f t="shared" si="1"/>
        <v>17</v>
      </c>
    </row>
    <row r="29" spans="1:14" x14ac:dyDescent="0.35">
      <c r="A29" s="33">
        <f t="shared" si="0"/>
        <v>18</v>
      </c>
      <c r="B29" s="40" t="s">
        <v>674</v>
      </c>
      <c r="C29" s="699"/>
      <c r="D29" s="699"/>
      <c r="E29" s="699"/>
      <c r="F29" s="699"/>
      <c r="G29" s="699"/>
      <c r="H29" s="699"/>
      <c r="I29" s="45"/>
      <c r="J29" s="45"/>
      <c r="K29" s="45"/>
      <c r="L29" s="33">
        <f t="shared" si="1"/>
        <v>18</v>
      </c>
    </row>
    <row r="30" spans="1:14" x14ac:dyDescent="0.35">
      <c r="A30" s="33">
        <f t="shared" si="0"/>
        <v>19</v>
      </c>
      <c r="B30" s="40" t="s">
        <v>665</v>
      </c>
      <c r="C30" s="684">
        <v>0</v>
      </c>
      <c r="D30" s="684"/>
      <c r="E30" s="684">
        <v>5354.3407484794916</v>
      </c>
      <c r="F30" s="684"/>
      <c r="G30" s="684">
        <v>0</v>
      </c>
      <c r="H30" s="57"/>
      <c r="I30" s="684">
        <f>SUM(C30:G30)</f>
        <v>5354.3407484794916</v>
      </c>
      <c r="J30" s="684"/>
      <c r="K30" s="531" t="s">
        <v>677</v>
      </c>
      <c r="L30" s="33">
        <f t="shared" si="1"/>
        <v>19</v>
      </c>
    </row>
    <row r="31" spans="1:14" x14ac:dyDescent="0.35">
      <c r="A31" s="33">
        <f t="shared" si="0"/>
        <v>20</v>
      </c>
      <c r="C31" s="32">
        <v>0</v>
      </c>
      <c r="D31" s="32"/>
      <c r="E31" s="32">
        <v>0</v>
      </c>
      <c r="F31" s="32"/>
      <c r="G31" s="32">
        <v>0</v>
      </c>
      <c r="H31" s="32"/>
      <c r="I31" s="32">
        <f>SUM(C31:G31)</f>
        <v>0</v>
      </c>
      <c r="J31" s="32"/>
      <c r="K31" s="32"/>
      <c r="L31" s="33">
        <f t="shared" si="1"/>
        <v>20</v>
      </c>
    </row>
    <row r="32" spans="1:14" ht="16" thickBot="1" x14ac:dyDescent="0.4">
      <c r="A32" s="33">
        <f t="shared" si="0"/>
        <v>21</v>
      </c>
      <c r="B32" s="50" t="s">
        <v>666</v>
      </c>
      <c r="C32" s="701">
        <f>SUM(C30:C31)</f>
        <v>0</v>
      </c>
      <c r="D32" s="32"/>
      <c r="E32" s="701">
        <f>SUM(E30:E31)</f>
        <v>5354.3407484794916</v>
      </c>
      <c r="F32" s="498"/>
      <c r="G32" s="701">
        <f>SUM(G30:G31)</f>
        <v>0</v>
      </c>
      <c r="H32" s="32"/>
      <c r="I32" s="701">
        <f>SUM(I30:I31)</f>
        <v>5354.3407484794916</v>
      </c>
      <c r="J32" s="498"/>
      <c r="K32" s="493" t="str">
        <f>"Sum Lines "&amp;A30&amp;" thru "&amp;A31</f>
        <v>Sum Lines 19 thru 20</v>
      </c>
      <c r="L32" s="33">
        <f t="shared" si="1"/>
        <v>21</v>
      </c>
    </row>
    <row r="33" spans="1:12" ht="16" thickTop="1" x14ac:dyDescent="0.35">
      <c r="A33" s="33">
        <f t="shared" si="0"/>
        <v>22</v>
      </c>
      <c r="C33" s="702"/>
      <c r="D33" s="702"/>
      <c r="E33" s="702"/>
      <c r="F33" s="702"/>
      <c r="G33" s="702"/>
      <c r="H33" s="702"/>
      <c r="I33" s="702"/>
      <c r="J33" s="702"/>
      <c r="K33" s="702"/>
      <c r="L33" s="33">
        <f t="shared" si="1"/>
        <v>22</v>
      </c>
    </row>
    <row r="34" spans="1:12" x14ac:dyDescent="0.35">
      <c r="A34" s="33">
        <f t="shared" si="0"/>
        <v>23</v>
      </c>
      <c r="B34" s="40" t="s">
        <v>675</v>
      </c>
      <c r="C34" s="699"/>
      <c r="D34" s="699"/>
      <c r="E34" s="699"/>
      <c r="F34" s="699"/>
      <c r="G34" s="699"/>
      <c r="H34" s="699"/>
      <c r="I34" s="45"/>
      <c r="J34" s="45"/>
      <c r="K34" s="45"/>
      <c r="L34" s="33">
        <f t="shared" si="1"/>
        <v>23</v>
      </c>
    </row>
    <row r="35" spans="1:12" x14ac:dyDescent="0.35">
      <c r="A35" s="33">
        <f t="shared" si="0"/>
        <v>24</v>
      </c>
      <c r="B35" s="703" t="s">
        <v>668</v>
      </c>
      <c r="C35" s="684">
        <v>-10987.846716645037</v>
      </c>
      <c r="D35" s="684"/>
      <c r="E35" s="684">
        <v>-7956.3592653061241</v>
      </c>
      <c r="F35" s="684"/>
      <c r="G35" s="684">
        <v>0</v>
      </c>
      <c r="H35" s="684"/>
      <c r="I35" s="684">
        <f>SUM(C35:G35)</f>
        <v>-18944.205981951163</v>
      </c>
      <c r="J35" s="684"/>
      <c r="K35" s="531" t="s">
        <v>680</v>
      </c>
      <c r="L35" s="33">
        <f t="shared" si="1"/>
        <v>24</v>
      </c>
    </row>
    <row r="36" spans="1:12" x14ac:dyDescent="0.35">
      <c r="A36" s="33">
        <f t="shared" si="0"/>
        <v>25</v>
      </c>
      <c r="C36" s="32">
        <v>0</v>
      </c>
      <c r="D36" s="32"/>
      <c r="E36" s="32">
        <v>0</v>
      </c>
      <c r="F36" s="32"/>
      <c r="G36" s="32">
        <v>0</v>
      </c>
      <c r="H36" s="32"/>
      <c r="I36" s="32">
        <f>SUM(C36:G36)</f>
        <v>0</v>
      </c>
      <c r="J36" s="32"/>
      <c r="K36" s="32"/>
      <c r="L36" s="33">
        <f t="shared" si="1"/>
        <v>25</v>
      </c>
    </row>
    <row r="37" spans="1:12" ht="16" thickBot="1" x14ac:dyDescent="0.4">
      <c r="A37" s="33">
        <f t="shared" si="0"/>
        <v>26</v>
      </c>
      <c r="B37" s="50" t="s">
        <v>670</v>
      </c>
      <c r="C37" s="701">
        <f>SUM(C35:C36)</f>
        <v>-10987.846716645037</v>
      </c>
      <c r="D37" s="32"/>
      <c r="E37" s="701">
        <f>SUM(E35:E36)</f>
        <v>-7956.3592653061241</v>
      </c>
      <c r="F37" s="498"/>
      <c r="G37" s="701">
        <f>SUM(G35:G36)</f>
        <v>0</v>
      </c>
      <c r="H37" s="32"/>
      <c r="I37" s="701">
        <f>SUM(I35:I36)</f>
        <v>-18944.205981951163</v>
      </c>
      <c r="J37" s="498"/>
      <c r="K37" s="493" t="str">
        <f>"Sum Lines "&amp;A35&amp;" thru "&amp;A36</f>
        <v>Sum Lines 24 thru 25</v>
      </c>
      <c r="L37" s="33">
        <f t="shared" si="1"/>
        <v>26</v>
      </c>
    </row>
    <row r="38" spans="1:12" ht="16" thickTop="1" x14ac:dyDescent="0.35">
      <c r="A38" s="33">
        <f t="shared" si="0"/>
        <v>27</v>
      </c>
      <c r="L38" s="33">
        <f t="shared" si="1"/>
        <v>27</v>
      </c>
    </row>
    <row r="39" spans="1:12" x14ac:dyDescent="0.35">
      <c r="A39" s="33">
        <f t="shared" si="0"/>
        <v>28</v>
      </c>
      <c r="B39" s="40" t="s">
        <v>676</v>
      </c>
      <c r="C39" s="699"/>
      <c r="D39" s="699"/>
      <c r="E39" s="699"/>
      <c r="F39" s="699"/>
      <c r="G39" s="699"/>
      <c r="H39" s="699"/>
      <c r="I39" s="45"/>
      <c r="J39" s="45"/>
      <c r="K39" s="33"/>
      <c r="L39" s="33">
        <f t="shared" si="1"/>
        <v>28</v>
      </c>
    </row>
    <row r="40" spans="1:12" x14ac:dyDescent="0.35">
      <c r="A40" s="33">
        <f t="shared" si="0"/>
        <v>29</v>
      </c>
      <c r="B40" s="40"/>
      <c r="C40" s="684">
        <v>0</v>
      </c>
      <c r="D40" s="684"/>
      <c r="E40" s="684">
        <v>0</v>
      </c>
      <c r="F40" s="684"/>
      <c r="G40" s="684">
        <v>0</v>
      </c>
      <c r="H40" s="684"/>
      <c r="I40" s="684">
        <f>SUM(C40:G40)</f>
        <v>0</v>
      </c>
      <c r="J40" s="684"/>
      <c r="K40" s="706" t="s">
        <v>603</v>
      </c>
      <c r="L40" s="33">
        <f t="shared" si="1"/>
        <v>29</v>
      </c>
    </row>
    <row r="41" spans="1:12" x14ac:dyDescent="0.35">
      <c r="A41" s="33">
        <f t="shared" si="0"/>
        <v>30</v>
      </c>
      <c r="B41" s="40"/>
      <c r="C41" s="32">
        <v>0</v>
      </c>
      <c r="D41" s="32"/>
      <c r="E41" s="32">
        <v>0</v>
      </c>
      <c r="F41" s="32"/>
      <c r="G41" s="32">
        <v>0</v>
      </c>
      <c r="H41" s="32"/>
      <c r="I41" s="32">
        <f>SUM(C41:G41)</f>
        <v>0</v>
      </c>
      <c r="J41" s="32"/>
      <c r="K41" s="32"/>
      <c r="L41" s="33">
        <f t="shared" si="1"/>
        <v>30</v>
      </c>
    </row>
    <row r="42" spans="1:12" ht="16" thickBot="1" x14ac:dyDescent="0.4">
      <c r="A42" s="33">
        <f t="shared" si="0"/>
        <v>31</v>
      </c>
      <c r="B42" s="50" t="s">
        <v>673</v>
      </c>
      <c r="C42" s="701">
        <f>SUM(C40:C41)</f>
        <v>0</v>
      </c>
      <c r="D42" s="32"/>
      <c r="E42" s="701">
        <f>SUM(E40:E41)</f>
        <v>0</v>
      </c>
      <c r="F42" s="498"/>
      <c r="G42" s="701">
        <f>SUM(G40:G41)</f>
        <v>0</v>
      </c>
      <c r="H42" s="32"/>
      <c r="I42" s="701">
        <f>SUM(I40:I41)</f>
        <v>0</v>
      </c>
      <c r="J42" s="498"/>
      <c r="K42" s="493" t="str">
        <f>"Sum Lines "&amp;A40&amp;" thru "&amp;A41</f>
        <v>Sum Lines 29 thru 30</v>
      </c>
      <c r="L42" s="33">
        <f t="shared" si="1"/>
        <v>31</v>
      </c>
    </row>
    <row r="43" spans="1:12" ht="16.5" thickTop="1" thickBot="1" x14ac:dyDescent="0.4">
      <c r="A43" s="33">
        <f t="shared" si="0"/>
        <v>32</v>
      </c>
      <c r="B43" s="707"/>
      <c r="C43" s="708"/>
      <c r="D43" s="709"/>
      <c r="E43" s="708"/>
      <c r="F43" s="708"/>
      <c r="G43" s="708"/>
      <c r="H43" s="709"/>
      <c r="I43" s="708"/>
      <c r="J43" s="708"/>
      <c r="K43" s="710"/>
      <c r="L43" s="33">
        <f t="shared" si="1"/>
        <v>32</v>
      </c>
    </row>
    <row r="44" spans="1:12" x14ac:dyDescent="0.35">
      <c r="A44" s="33">
        <f t="shared" si="0"/>
        <v>33</v>
      </c>
      <c r="B44" s="50"/>
      <c r="C44" s="498"/>
      <c r="D44" s="32"/>
      <c r="E44" s="498"/>
      <c r="F44" s="498"/>
      <c r="G44" s="498"/>
      <c r="H44" s="32"/>
      <c r="I44" s="498"/>
      <c r="J44" s="498"/>
      <c r="K44" s="493"/>
      <c r="L44" s="33">
        <f t="shared" si="1"/>
        <v>33</v>
      </c>
    </row>
    <row r="45" spans="1:12" x14ac:dyDescent="0.35">
      <c r="A45" s="33">
        <f t="shared" si="0"/>
        <v>34</v>
      </c>
      <c r="B45" s="711" t="s">
        <v>648</v>
      </c>
      <c r="C45" s="712">
        <v>0</v>
      </c>
      <c r="D45" s="32"/>
      <c r="E45" s="712">
        <v>0</v>
      </c>
      <c r="F45" s="498"/>
      <c r="G45" s="712">
        <v>0</v>
      </c>
      <c r="H45" s="32"/>
      <c r="I45" s="684">
        <f>SUM(C45:G45)</f>
        <v>0</v>
      </c>
      <c r="J45" s="684"/>
      <c r="K45" s="706" t="s">
        <v>603</v>
      </c>
      <c r="L45" s="33">
        <f t="shared" si="1"/>
        <v>34</v>
      </c>
    </row>
    <row r="46" spans="1:12" x14ac:dyDescent="0.35">
      <c r="B46" s="50"/>
      <c r="C46" s="498"/>
      <c r="D46" s="32"/>
      <c r="E46" s="498"/>
      <c r="F46" s="498"/>
      <c r="G46" s="498"/>
      <c r="H46" s="32"/>
      <c r="I46" s="498"/>
      <c r="J46" s="498"/>
      <c r="K46" s="493"/>
    </row>
    <row r="48" spans="1:12" x14ac:dyDescent="0.35">
      <c r="A48" s="23" t="s">
        <v>27</v>
      </c>
      <c r="B48" s="506" t="s">
        <v>824</v>
      </c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Roman,Bold"&amp;8REVISED</oddHeader>
    <oddFooter>&amp;L&amp;F&amp;CPage 8.2&amp;R&amp;A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FF3F-33F4-49B3-A5F0-1800C7E981FF}">
  <sheetPr>
    <pageSetUpPr fitToPage="1"/>
  </sheetPr>
  <dimension ref="A1:M49"/>
  <sheetViews>
    <sheetView zoomScale="80" zoomScaleNormal="80" workbookViewId="0"/>
  </sheetViews>
  <sheetFormatPr defaultColWidth="8.81640625" defaultRowHeight="15.5" x14ac:dyDescent="0.35"/>
  <cols>
    <col min="1" max="1" width="5.81640625" style="33" customWidth="1"/>
    <col min="2" max="2" width="62.81640625" style="34" bestFit="1" customWidth="1"/>
    <col min="3" max="3" width="16.81640625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16.81640625" style="34" customWidth="1"/>
    <col min="8" max="8" width="1.54296875" style="34" customWidth="1"/>
    <col min="9" max="9" width="23.453125" style="34" bestFit="1" customWidth="1"/>
    <col min="10" max="10" width="62.54296875" style="34" customWidth="1"/>
    <col min="11" max="11" width="5.1796875" style="33" customWidth="1"/>
    <col min="12" max="12" width="8.81640625" style="34"/>
    <col min="13" max="13" width="12.81640625" style="34" bestFit="1" customWidth="1"/>
    <col min="14" max="16384" width="8.81640625" style="34"/>
  </cols>
  <sheetData>
    <row r="1" spans="1:13" x14ac:dyDescent="0.35">
      <c r="A1" s="554" t="s">
        <v>684</v>
      </c>
    </row>
    <row r="3" spans="1:13" x14ac:dyDescent="0.35">
      <c r="B3" s="906" t="s">
        <v>16</v>
      </c>
      <c r="C3" s="906"/>
      <c r="D3" s="906"/>
      <c r="E3" s="906"/>
      <c r="F3" s="906"/>
      <c r="G3" s="906"/>
      <c r="H3" s="906"/>
      <c r="I3" s="906"/>
      <c r="J3" s="906"/>
    </row>
    <row r="4" spans="1:13" x14ac:dyDescent="0.35">
      <c r="B4" s="906" t="s">
        <v>654</v>
      </c>
      <c r="C4" s="906"/>
      <c r="D4" s="906"/>
      <c r="E4" s="906"/>
      <c r="F4" s="906"/>
      <c r="G4" s="906"/>
      <c r="H4" s="906"/>
      <c r="I4" s="906"/>
      <c r="J4" s="906"/>
    </row>
    <row r="5" spans="1:13" x14ac:dyDescent="0.35">
      <c r="B5" s="906" t="s">
        <v>655</v>
      </c>
      <c r="C5" s="906"/>
      <c r="D5" s="906"/>
      <c r="E5" s="906"/>
      <c r="F5" s="906"/>
      <c r="G5" s="906"/>
      <c r="H5" s="906"/>
      <c r="I5" s="906"/>
      <c r="J5" s="906"/>
    </row>
    <row r="6" spans="1:13" x14ac:dyDescent="0.35">
      <c r="B6" s="906" t="s">
        <v>685</v>
      </c>
      <c r="C6" s="906"/>
      <c r="D6" s="906"/>
      <c r="E6" s="906"/>
      <c r="F6" s="906"/>
      <c r="G6" s="906"/>
      <c r="H6" s="906"/>
      <c r="I6" s="906"/>
      <c r="J6" s="906"/>
      <c r="M6" s="613"/>
    </row>
    <row r="7" spans="1:13" ht="15.75" customHeight="1" x14ac:dyDescent="0.35">
      <c r="B7" s="904" t="s">
        <v>2</v>
      </c>
      <c r="C7" s="904"/>
      <c r="D7" s="904"/>
      <c r="E7" s="904"/>
      <c r="F7" s="904"/>
      <c r="G7" s="904"/>
      <c r="H7" s="904"/>
      <c r="I7" s="904"/>
      <c r="J7" s="904"/>
    </row>
    <row r="9" spans="1:13" x14ac:dyDescent="0.35">
      <c r="B9" s="506"/>
      <c r="C9" s="667" t="s">
        <v>254</v>
      </c>
      <c r="D9" s="667"/>
      <c r="E9" s="667" t="s">
        <v>255</v>
      </c>
      <c r="F9" s="667"/>
      <c r="G9" s="667" t="s">
        <v>345</v>
      </c>
      <c r="H9" s="667"/>
      <c r="I9" s="667" t="s">
        <v>656</v>
      </c>
      <c r="J9" s="667"/>
    </row>
    <row r="10" spans="1:13" x14ac:dyDescent="0.35">
      <c r="A10" s="33" t="s">
        <v>3</v>
      </c>
      <c r="B10" s="506"/>
      <c r="C10" s="667" t="s">
        <v>657</v>
      </c>
      <c r="D10" s="667"/>
      <c r="E10" s="667" t="s">
        <v>658</v>
      </c>
      <c r="F10" s="667"/>
      <c r="G10" s="667" t="s">
        <v>658</v>
      </c>
      <c r="H10" s="667"/>
      <c r="I10" s="667"/>
      <c r="J10" s="667"/>
      <c r="K10" s="33" t="s">
        <v>3</v>
      </c>
    </row>
    <row r="11" spans="1:13" x14ac:dyDescent="0.35">
      <c r="A11" s="33" t="s">
        <v>4</v>
      </c>
      <c r="B11" s="696" t="s">
        <v>5</v>
      </c>
      <c r="C11" s="697" t="s">
        <v>659</v>
      </c>
      <c r="D11" s="697"/>
      <c r="E11" s="697" t="s">
        <v>660</v>
      </c>
      <c r="F11" s="697"/>
      <c r="G11" s="697" t="s">
        <v>661</v>
      </c>
      <c r="H11" s="697"/>
      <c r="I11" s="696" t="s">
        <v>258</v>
      </c>
      <c r="J11" s="696" t="s">
        <v>7</v>
      </c>
      <c r="K11" s="33" t="s">
        <v>4</v>
      </c>
    </row>
    <row r="12" spans="1:13" x14ac:dyDescent="0.35">
      <c r="B12" s="506"/>
      <c r="C12" s="698"/>
      <c r="D12" s="698"/>
      <c r="E12" s="698"/>
      <c r="F12" s="698"/>
      <c r="G12" s="698"/>
      <c r="H12" s="698"/>
      <c r="I12" s="45"/>
      <c r="J12" s="45"/>
    </row>
    <row r="13" spans="1:13" x14ac:dyDescent="0.35">
      <c r="A13" s="33">
        <v>1</v>
      </c>
      <c r="B13" s="40" t="s">
        <v>662</v>
      </c>
      <c r="C13" s="699"/>
      <c r="D13" s="699"/>
      <c r="E13" s="699"/>
      <c r="F13" s="699"/>
      <c r="G13" s="699"/>
      <c r="H13" s="699"/>
      <c r="I13" s="45"/>
      <c r="J13" s="45"/>
      <c r="K13" s="33">
        <f>A13</f>
        <v>1</v>
      </c>
      <c r="M13" s="613"/>
    </row>
    <row r="14" spans="1:13" x14ac:dyDescent="0.35">
      <c r="A14" s="33">
        <f>A13+1</f>
        <v>2</v>
      </c>
      <c r="B14" s="40" t="s">
        <v>663</v>
      </c>
      <c r="C14" s="57">
        <v>1296.4291856740799</v>
      </c>
      <c r="D14" s="57"/>
      <c r="E14" s="57">
        <v>0</v>
      </c>
      <c r="F14" s="57"/>
      <c r="G14" s="57">
        <v>0</v>
      </c>
      <c r="H14" s="700"/>
      <c r="I14" s="684">
        <f>SUM(C14:G14)</f>
        <v>1296.4291856740799</v>
      </c>
      <c r="J14" s="531" t="s">
        <v>677</v>
      </c>
      <c r="K14" s="33">
        <f>K13+1</f>
        <v>2</v>
      </c>
    </row>
    <row r="15" spans="1:13" x14ac:dyDescent="0.35">
      <c r="A15" s="33">
        <f t="shared" ref="A15:A46" si="0">A14+1</f>
        <v>3</v>
      </c>
      <c r="B15" s="40" t="s">
        <v>664</v>
      </c>
      <c r="C15" s="109">
        <v>223.40401868713801</v>
      </c>
      <c r="D15" s="109"/>
      <c r="E15" s="109">
        <v>0</v>
      </c>
      <c r="F15" s="109"/>
      <c r="G15" s="109">
        <v>0</v>
      </c>
      <c r="H15" s="109"/>
      <c r="I15" s="32">
        <f>SUM(C15:G15)</f>
        <v>223.40401868713801</v>
      </c>
      <c r="J15" s="531" t="s">
        <v>677</v>
      </c>
      <c r="K15" s="33">
        <f t="shared" ref="K15:K46" si="1">K14+1</f>
        <v>3</v>
      </c>
    </row>
    <row r="16" spans="1:13" x14ac:dyDescent="0.35">
      <c r="A16" s="33">
        <f t="shared" si="0"/>
        <v>4</v>
      </c>
      <c r="B16" s="40" t="s">
        <v>665</v>
      </c>
      <c r="C16" s="109">
        <v>0</v>
      </c>
      <c r="D16" s="109"/>
      <c r="E16" s="109">
        <v>103895.54690487018</v>
      </c>
      <c r="F16" s="109"/>
      <c r="G16" s="109">
        <v>0</v>
      </c>
      <c r="H16" s="109"/>
      <c r="I16" s="32">
        <f>SUM(C16:G16)</f>
        <v>103895.54690487018</v>
      </c>
      <c r="J16" s="531" t="s">
        <v>677</v>
      </c>
      <c r="K16" s="33">
        <f t="shared" si="1"/>
        <v>4</v>
      </c>
    </row>
    <row r="17" spans="1:13" ht="16" thickBot="1" x14ac:dyDescent="0.4">
      <c r="A17" s="33">
        <f t="shared" si="0"/>
        <v>5</v>
      </c>
      <c r="B17" s="50" t="s">
        <v>666</v>
      </c>
      <c r="C17" s="701">
        <f>SUM(C14:C16)</f>
        <v>1519.8332043612179</v>
      </c>
      <c r="D17" s="32"/>
      <c r="E17" s="701">
        <f>SUM(E14:E16)</f>
        <v>103895.54690487018</v>
      </c>
      <c r="F17" s="498"/>
      <c r="G17" s="701">
        <f>SUM(G14:G16)</f>
        <v>0</v>
      </c>
      <c r="H17" s="32"/>
      <c r="I17" s="701">
        <f>SUM(I14:I16)</f>
        <v>105415.3801092314</v>
      </c>
      <c r="J17" s="493" t="str">
        <f>"Sum Lines "&amp;A14&amp;" thru "&amp;A16</f>
        <v>Sum Lines 2 thru 4</v>
      </c>
      <c r="K17" s="33">
        <f t="shared" si="1"/>
        <v>5</v>
      </c>
    </row>
    <row r="18" spans="1:13" ht="16" thickTop="1" x14ac:dyDescent="0.35">
      <c r="A18" s="33">
        <f t="shared" si="0"/>
        <v>6</v>
      </c>
      <c r="C18" s="702"/>
      <c r="D18" s="702"/>
      <c r="E18" s="702"/>
      <c r="F18" s="702"/>
      <c r="G18" s="702"/>
      <c r="H18" s="702"/>
      <c r="I18" s="702"/>
      <c r="J18" s="702"/>
      <c r="K18" s="33">
        <f t="shared" si="1"/>
        <v>6</v>
      </c>
    </row>
    <row r="19" spans="1:13" x14ac:dyDescent="0.35">
      <c r="A19" s="33">
        <f t="shared" si="0"/>
        <v>7</v>
      </c>
      <c r="B19" s="40" t="s">
        <v>667</v>
      </c>
      <c r="C19" s="699"/>
      <c r="D19" s="699"/>
      <c r="E19" s="699"/>
      <c r="F19" s="699"/>
      <c r="G19" s="699"/>
      <c r="H19" s="699"/>
      <c r="I19" s="45"/>
      <c r="J19" s="45"/>
      <c r="K19" s="33">
        <f t="shared" si="1"/>
        <v>7</v>
      </c>
    </row>
    <row r="20" spans="1:13" x14ac:dyDescent="0.35">
      <c r="A20" s="33">
        <f t="shared" si="0"/>
        <v>8</v>
      </c>
      <c r="B20" s="703" t="s">
        <v>668</v>
      </c>
      <c r="C20" s="684">
        <v>-844678.63211961079</v>
      </c>
      <c r="D20" s="684"/>
      <c r="E20" s="684">
        <v>-365954.92673469405</v>
      </c>
      <c r="F20" s="684"/>
      <c r="G20" s="684">
        <v>8295.2800215856587</v>
      </c>
      <c r="H20" s="684"/>
      <c r="I20" s="684">
        <f>SUM(C20:G20)</f>
        <v>-1202338.278832719</v>
      </c>
      <c r="J20" s="705" t="s">
        <v>678</v>
      </c>
      <c r="K20" s="33">
        <f t="shared" si="1"/>
        <v>8</v>
      </c>
      <c r="M20" s="713"/>
    </row>
    <row r="21" spans="1:13" x14ac:dyDescent="0.35">
      <c r="A21" s="33">
        <f t="shared" si="0"/>
        <v>9</v>
      </c>
      <c r="C21" s="32">
        <v>0</v>
      </c>
      <c r="D21" s="32"/>
      <c r="E21" s="32">
        <v>0</v>
      </c>
      <c r="F21" s="32"/>
      <c r="G21" s="32">
        <v>0</v>
      </c>
      <c r="H21" s="32"/>
      <c r="I21" s="32">
        <f>SUM(C21:G21)</f>
        <v>0</v>
      </c>
      <c r="J21" s="32"/>
      <c r="K21" s="33">
        <f t="shared" si="1"/>
        <v>9</v>
      </c>
    </row>
    <row r="22" spans="1:13" ht="16" thickBot="1" x14ac:dyDescent="0.4">
      <c r="A22" s="33">
        <f t="shared" si="0"/>
        <v>10</v>
      </c>
      <c r="B22" s="50" t="s">
        <v>670</v>
      </c>
      <c r="C22" s="701">
        <f>SUM(C20:C21)</f>
        <v>-844678.63211961079</v>
      </c>
      <c r="D22" s="32"/>
      <c r="E22" s="701">
        <f>SUM(E20:E21)</f>
        <v>-365954.92673469405</v>
      </c>
      <c r="F22" s="498"/>
      <c r="G22" s="701">
        <f>SUM(G20:G21)</f>
        <v>8295.2800215856587</v>
      </c>
      <c r="H22" s="32"/>
      <c r="I22" s="701">
        <f>SUM(I20:I21)</f>
        <v>-1202338.278832719</v>
      </c>
      <c r="J22" s="493" t="str">
        <f>"Sum Lines "&amp;A20&amp;" thru "&amp;A21</f>
        <v>Sum Lines 8 thru 9</v>
      </c>
      <c r="K22" s="33">
        <f t="shared" si="1"/>
        <v>10</v>
      </c>
    </row>
    <row r="23" spans="1:13" ht="16" thickTop="1" x14ac:dyDescent="0.35">
      <c r="A23" s="33">
        <f t="shared" si="0"/>
        <v>11</v>
      </c>
      <c r="K23" s="33">
        <f t="shared" si="1"/>
        <v>11</v>
      </c>
    </row>
    <row r="24" spans="1:13" x14ac:dyDescent="0.35">
      <c r="A24" s="33">
        <f t="shared" si="0"/>
        <v>12</v>
      </c>
      <c r="B24" s="40" t="s">
        <v>671</v>
      </c>
      <c r="C24" s="699"/>
      <c r="D24" s="699"/>
      <c r="E24" s="699"/>
      <c r="F24" s="699"/>
      <c r="G24" s="699"/>
      <c r="H24" s="699"/>
      <c r="I24" s="45"/>
      <c r="J24" s="33"/>
      <c r="K24" s="33">
        <f t="shared" si="1"/>
        <v>12</v>
      </c>
    </row>
    <row r="25" spans="1:13" x14ac:dyDescent="0.35">
      <c r="A25" s="33">
        <f t="shared" si="0"/>
        <v>13</v>
      </c>
      <c r="B25" s="40" t="s">
        <v>672</v>
      </c>
      <c r="C25" s="57">
        <v>-8583.7620040680013</v>
      </c>
      <c r="D25" s="57"/>
      <c r="E25" s="57">
        <v>0</v>
      </c>
      <c r="F25" s="57"/>
      <c r="G25" s="57">
        <v>0</v>
      </c>
      <c r="H25" s="700"/>
      <c r="I25" s="684">
        <f>SUM(C25:G25)</f>
        <v>-8583.7620040680013</v>
      </c>
      <c r="J25" s="531" t="s">
        <v>679</v>
      </c>
      <c r="K25" s="33">
        <f t="shared" si="1"/>
        <v>13</v>
      </c>
    </row>
    <row r="26" spans="1:13" x14ac:dyDescent="0.35">
      <c r="A26" s="33">
        <f t="shared" si="0"/>
        <v>14</v>
      </c>
      <c r="B26" s="40"/>
      <c r="C26" s="32">
        <v>0</v>
      </c>
      <c r="D26" s="32"/>
      <c r="E26" s="32">
        <v>0</v>
      </c>
      <c r="F26" s="32"/>
      <c r="G26" s="32">
        <v>0</v>
      </c>
      <c r="H26" s="32"/>
      <c r="I26" s="32">
        <f>SUM(C26:G26)</f>
        <v>0</v>
      </c>
      <c r="J26" s="32"/>
      <c r="K26" s="33">
        <f t="shared" si="1"/>
        <v>14</v>
      </c>
    </row>
    <row r="27" spans="1:13" ht="16" thickBot="1" x14ac:dyDescent="0.4">
      <c r="A27" s="33">
        <f t="shared" si="0"/>
        <v>15</v>
      </c>
      <c r="B27" s="50" t="s">
        <v>673</v>
      </c>
      <c r="C27" s="701">
        <f>SUM(C25:C26)</f>
        <v>-8583.7620040680013</v>
      </c>
      <c r="D27" s="32"/>
      <c r="E27" s="701">
        <f>SUM(E25:E26)</f>
        <v>0</v>
      </c>
      <c r="F27" s="498"/>
      <c r="G27" s="701">
        <f>SUM(G25:G26)</f>
        <v>0</v>
      </c>
      <c r="H27" s="32"/>
      <c r="I27" s="701">
        <f>SUM(I25:I26)</f>
        <v>-8583.7620040680013</v>
      </c>
      <c r="J27" s="493" t="str">
        <f>"Sum Lines "&amp;A25&amp;" thru "&amp;A26</f>
        <v>Sum Lines 13 thru 14</v>
      </c>
      <c r="K27" s="33">
        <f t="shared" si="1"/>
        <v>15</v>
      </c>
    </row>
    <row r="28" spans="1:13" ht="16.5" thickTop="1" thickBot="1" x14ac:dyDescent="0.4">
      <c r="A28" s="33">
        <f t="shared" si="0"/>
        <v>16</v>
      </c>
      <c r="B28" s="77"/>
      <c r="C28" s="77"/>
      <c r="D28" s="77"/>
      <c r="E28" s="77"/>
      <c r="F28" s="77"/>
      <c r="G28" s="77"/>
      <c r="H28" s="77"/>
      <c r="I28" s="77"/>
      <c r="J28" s="77"/>
      <c r="K28" s="33">
        <f t="shared" si="1"/>
        <v>16</v>
      </c>
    </row>
    <row r="29" spans="1:13" x14ac:dyDescent="0.35">
      <c r="A29" s="33">
        <f t="shared" si="0"/>
        <v>17</v>
      </c>
      <c r="K29" s="33">
        <f t="shared" si="1"/>
        <v>17</v>
      </c>
    </row>
    <row r="30" spans="1:13" x14ac:dyDescent="0.35">
      <c r="A30" s="33">
        <f t="shared" si="0"/>
        <v>18</v>
      </c>
      <c r="B30" s="40" t="s">
        <v>674</v>
      </c>
      <c r="C30" s="699"/>
      <c r="D30" s="699"/>
      <c r="E30" s="699"/>
      <c r="F30" s="699"/>
      <c r="G30" s="699"/>
      <c r="H30" s="699"/>
      <c r="I30" s="45"/>
      <c r="J30" s="45"/>
      <c r="K30" s="33">
        <f t="shared" si="1"/>
        <v>18</v>
      </c>
    </row>
    <row r="31" spans="1:13" x14ac:dyDescent="0.35">
      <c r="A31" s="33">
        <f t="shared" si="0"/>
        <v>19</v>
      </c>
      <c r="B31" s="40" t="s">
        <v>665</v>
      </c>
      <c r="C31" s="684">
        <v>0</v>
      </c>
      <c r="D31" s="684"/>
      <c r="E31" s="684">
        <v>5354.3407484794916</v>
      </c>
      <c r="F31" s="684"/>
      <c r="G31" s="684">
        <v>0</v>
      </c>
      <c r="H31" s="57"/>
      <c r="I31" s="684">
        <f>SUM(C31:G31)</f>
        <v>5354.3407484794916</v>
      </c>
      <c r="J31" s="531" t="s">
        <v>677</v>
      </c>
      <c r="K31" s="33">
        <f t="shared" si="1"/>
        <v>19</v>
      </c>
    </row>
    <row r="32" spans="1:13" x14ac:dyDescent="0.35">
      <c r="A32" s="33">
        <f t="shared" si="0"/>
        <v>20</v>
      </c>
      <c r="C32" s="32">
        <v>0</v>
      </c>
      <c r="D32" s="32"/>
      <c r="E32" s="32">
        <v>0</v>
      </c>
      <c r="F32" s="32"/>
      <c r="G32" s="32">
        <v>0</v>
      </c>
      <c r="H32" s="32"/>
      <c r="I32" s="32">
        <f>SUM(C32:G32)</f>
        <v>0</v>
      </c>
      <c r="J32" s="32"/>
      <c r="K32" s="33">
        <f t="shared" si="1"/>
        <v>20</v>
      </c>
    </row>
    <row r="33" spans="1:11" ht="16" thickBot="1" x14ac:dyDescent="0.4">
      <c r="A33" s="33">
        <f t="shared" si="0"/>
        <v>21</v>
      </c>
      <c r="B33" s="50" t="s">
        <v>666</v>
      </c>
      <c r="C33" s="701">
        <f>SUM(C31:C32)</f>
        <v>0</v>
      </c>
      <c r="D33" s="32"/>
      <c r="E33" s="701">
        <f>SUM(E31:E32)</f>
        <v>5354.3407484794916</v>
      </c>
      <c r="F33" s="498"/>
      <c r="G33" s="701">
        <f>SUM(G31:G32)</f>
        <v>0</v>
      </c>
      <c r="H33" s="32"/>
      <c r="I33" s="701">
        <f>SUM(I31:I32)</f>
        <v>5354.3407484794916</v>
      </c>
      <c r="J33" s="493" t="str">
        <f>"Sum Lines "&amp;A31&amp;" thru "&amp;A32</f>
        <v>Sum Lines 19 thru 20</v>
      </c>
      <c r="K33" s="33">
        <f t="shared" si="1"/>
        <v>21</v>
      </c>
    </row>
    <row r="34" spans="1:11" ht="16" thickTop="1" x14ac:dyDescent="0.35">
      <c r="A34" s="33">
        <f t="shared" si="0"/>
        <v>22</v>
      </c>
      <c r="C34" s="702"/>
      <c r="D34" s="702"/>
      <c r="E34" s="702"/>
      <c r="F34" s="702"/>
      <c r="G34" s="702"/>
      <c r="H34" s="702"/>
      <c r="I34" s="702"/>
      <c r="J34" s="702"/>
      <c r="K34" s="33">
        <f t="shared" si="1"/>
        <v>22</v>
      </c>
    </row>
    <row r="35" spans="1:11" x14ac:dyDescent="0.35">
      <c r="A35" s="33">
        <f t="shared" si="0"/>
        <v>23</v>
      </c>
      <c r="B35" s="40" t="s">
        <v>675</v>
      </c>
      <c r="C35" s="699"/>
      <c r="D35" s="699"/>
      <c r="E35" s="699"/>
      <c r="F35" s="699"/>
      <c r="G35" s="699"/>
      <c r="H35" s="699"/>
      <c r="I35" s="45"/>
      <c r="J35" s="45"/>
      <c r="K35" s="33">
        <f t="shared" si="1"/>
        <v>23</v>
      </c>
    </row>
    <row r="36" spans="1:11" x14ac:dyDescent="0.35">
      <c r="A36" s="33">
        <f t="shared" si="0"/>
        <v>24</v>
      </c>
      <c r="B36" s="703" t="s">
        <v>668</v>
      </c>
      <c r="C36" s="684">
        <v>-10987.846716645037</v>
      </c>
      <c r="D36" s="684"/>
      <c r="E36" s="684">
        <v>-7956.3592653061241</v>
      </c>
      <c r="F36" s="684"/>
      <c r="G36" s="684">
        <v>0</v>
      </c>
      <c r="H36" s="684"/>
      <c r="I36" s="684">
        <f>SUM(C36:G36)</f>
        <v>-18944.205981951163</v>
      </c>
      <c r="J36" s="531" t="s">
        <v>680</v>
      </c>
      <c r="K36" s="33">
        <f t="shared" si="1"/>
        <v>24</v>
      </c>
    </row>
    <row r="37" spans="1:11" x14ac:dyDescent="0.35">
      <c r="A37" s="33">
        <f t="shared" si="0"/>
        <v>25</v>
      </c>
      <c r="C37" s="32">
        <v>0</v>
      </c>
      <c r="D37" s="32"/>
      <c r="E37" s="32">
        <v>0</v>
      </c>
      <c r="F37" s="32"/>
      <c r="G37" s="32">
        <v>0</v>
      </c>
      <c r="H37" s="32"/>
      <c r="I37" s="32">
        <f>SUM(C37:G37)</f>
        <v>0</v>
      </c>
      <c r="J37" s="32"/>
      <c r="K37" s="33">
        <f t="shared" si="1"/>
        <v>25</v>
      </c>
    </row>
    <row r="38" spans="1:11" ht="16" thickBot="1" x14ac:dyDescent="0.4">
      <c r="A38" s="33">
        <f t="shared" si="0"/>
        <v>26</v>
      </c>
      <c r="B38" s="50" t="s">
        <v>670</v>
      </c>
      <c r="C38" s="701">
        <f>SUM(C36:C37)</f>
        <v>-10987.846716645037</v>
      </c>
      <c r="D38" s="32"/>
      <c r="E38" s="701">
        <f>SUM(E36:E37)</f>
        <v>-7956.3592653061241</v>
      </c>
      <c r="F38" s="498"/>
      <c r="G38" s="701">
        <f>SUM(G36:G37)</f>
        <v>0</v>
      </c>
      <c r="H38" s="32"/>
      <c r="I38" s="701">
        <f>SUM(I36:I37)</f>
        <v>-18944.205981951163</v>
      </c>
      <c r="J38" s="493" t="str">
        <f>"Sum Lines "&amp;A36&amp;" thru "&amp;A37</f>
        <v>Sum Lines 24 thru 25</v>
      </c>
      <c r="K38" s="33">
        <f t="shared" si="1"/>
        <v>26</v>
      </c>
    </row>
    <row r="39" spans="1:11" ht="16" thickTop="1" x14ac:dyDescent="0.35">
      <c r="A39" s="33">
        <f t="shared" si="0"/>
        <v>27</v>
      </c>
      <c r="K39" s="33">
        <f t="shared" si="1"/>
        <v>27</v>
      </c>
    </row>
    <row r="40" spans="1:11" x14ac:dyDescent="0.35">
      <c r="A40" s="33">
        <f t="shared" si="0"/>
        <v>28</v>
      </c>
      <c r="B40" s="40" t="s">
        <v>676</v>
      </c>
      <c r="C40" s="699"/>
      <c r="D40" s="699"/>
      <c r="E40" s="699"/>
      <c r="F40" s="699"/>
      <c r="G40" s="699"/>
      <c r="H40" s="699"/>
      <c r="I40" s="45"/>
      <c r="J40" s="33"/>
      <c r="K40" s="33">
        <f t="shared" si="1"/>
        <v>28</v>
      </c>
    </row>
    <row r="41" spans="1:11" x14ac:dyDescent="0.35">
      <c r="A41" s="33">
        <f t="shared" si="0"/>
        <v>29</v>
      </c>
      <c r="B41" s="40"/>
      <c r="C41" s="684">
        <v>0</v>
      </c>
      <c r="D41" s="684"/>
      <c r="E41" s="684">
        <v>0</v>
      </c>
      <c r="F41" s="684"/>
      <c r="G41" s="684">
        <v>0</v>
      </c>
      <c r="H41" s="684"/>
      <c r="I41" s="684">
        <f>SUM(C41:G41)</f>
        <v>0</v>
      </c>
      <c r="J41" s="706" t="s">
        <v>603</v>
      </c>
      <c r="K41" s="33">
        <f t="shared" si="1"/>
        <v>29</v>
      </c>
    </row>
    <row r="42" spans="1:11" x14ac:dyDescent="0.35">
      <c r="A42" s="33">
        <f t="shared" si="0"/>
        <v>30</v>
      </c>
      <c r="B42" s="40"/>
      <c r="C42" s="32">
        <v>0</v>
      </c>
      <c r="D42" s="32"/>
      <c r="E42" s="32">
        <v>0</v>
      </c>
      <c r="F42" s="32"/>
      <c r="G42" s="32">
        <v>0</v>
      </c>
      <c r="H42" s="32"/>
      <c r="I42" s="32">
        <f>SUM(C42:G42)</f>
        <v>0</v>
      </c>
      <c r="J42" s="32"/>
      <c r="K42" s="33">
        <f t="shared" si="1"/>
        <v>30</v>
      </c>
    </row>
    <row r="43" spans="1:11" ht="16" thickBot="1" x14ac:dyDescent="0.4">
      <c r="A43" s="33">
        <f t="shared" si="0"/>
        <v>31</v>
      </c>
      <c r="B43" s="50" t="s">
        <v>673</v>
      </c>
      <c r="C43" s="701">
        <f>SUM(C41:C42)</f>
        <v>0</v>
      </c>
      <c r="D43" s="32"/>
      <c r="E43" s="701">
        <f>SUM(E41:E42)</f>
        <v>0</v>
      </c>
      <c r="F43" s="498"/>
      <c r="G43" s="701">
        <f>SUM(G41:G42)</f>
        <v>0</v>
      </c>
      <c r="H43" s="32"/>
      <c r="I43" s="701">
        <f>SUM(I41:I42)</f>
        <v>0</v>
      </c>
      <c r="J43" s="493" t="str">
        <f>"Sum Lines "&amp;A41&amp;" thru "&amp;A42</f>
        <v>Sum Lines 29 thru 30</v>
      </c>
      <c r="K43" s="33">
        <f t="shared" si="1"/>
        <v>31</v>
      </c>
    </row>
    <row r="44" spans="1:11" ht="16.5" thickTop="1" thickBot="1" x14ac:dyDescent="0.4">
      <c r="A44" s="33">
        <f t="shared" si="0"/>
        <v>32</v>
      </c>
      <c r="B44" s="707"/>
      <c r="C44" s="708"/>
      <c r="D44" s="709"/>
      <c r="E44" s="708"/>
      <c r="F44" s="708"/>
      <c r="G44" s="708"/>
      <c r="H44" s="709"/>
      <c r="I44" s="708"/>
      <c r="J44" s="710"/>
      <c r="K44" s="33">
        <f t="shared" si="1"/>
        <v>32</v>
      </c>
    </row>
    <row r="45" spans="1:11" x14ac:dyDescent="0.35">
      <c r="A45" s="33">
        <f t="shared" si="0"/>
        <v>33</v>
      </c>
      <c r="B45" s="50"/>
      <c r="C45" s="498"/>
      <c r="D45" s="32"/>
      <c r="E45" s="498"/>
      <c r="F45" s="498"/>
      <c r="G45" s="498"/>
      <c r="H45" s="32"/>
      <c r="I45" s="498"/>
      <c r="J45" s="493"/>
      <c r="K45" s="33">
        <f t="shared" si="1"/>
        <v>33</v>
      </c>
    </row>
    <row r="46" spans="1:11" x14ac:dyDescent="0.35">
      <c r="A46" s="33">
        <f t="shared" si="0"/>
        <v>34</v>
      </c>
      <c r="B46" s="711" t="s">
        <v>648</v>
      </c>
      <c r="C46" s="712">
        <v>0</v>
      </c>
      <c r="D46" s="32"/>
      <c r="E46" s="712">
        <v>0</v>
      </c>
      <c r="F46" s="498"/>
      <c r="G46" s="712">
        <v>0</v>
      </c>
      <c r="H46" s="32"/>
      <c r="I46" s="684">
        <f>SUM(C46:G46)</f>
        <v>0</v>
      </c>
      <c r="J46" s="706" t="s">
        <v>603</v>
      </c>
      <c r="K46" s="33">
        <f t="shared" si="1"/>
        <v>34</v>
      </c>
    </row>
    <row r="47" spans="1:11" x14ac:dyDescent="0.35">
      <c r="B47" s="50"/>
      <c r="C47" s="498"/>
      <c r="D47" s="32"/>
      <c r="E47" s="498"/>
      <c r="F47" s="498"/>
      <c r="G47" s="498"/>
      <c r="H47" s="32"/>
      <c r="I47" s="498"/>
      <c r="J47" s="493"/>
    </row>
    <row r="49" spans="1:2" ht="18" x14ac:dyDescent="0.35">
      <c r="A49" s="714"/>
      <c r="B49" s="711"/>
    </row>
  </sheetData>
  <mergeCells count="5">
    <mergeCell ref="B3:J3"/>
    <mergeCell ref="B4:J4"/>
    <mergeCell ref="B5:J5"/>
    <mergeCell ref="B6:J6"/>
    <mergeCell ref="B7:J7"/>
  </mergeCells>
  <printOptions horizontalCentered="1"/>
  <pageMargins left="0.25" right="0.25" top="0.5" bottom="0.5" header="0.35" footer="0.25"/>
  <pageSetup scale="62" orientation="landscape" r:id="rId1"/>
  <headerFooter scaleWithDoc="0" alignWithMargins="0">
    <oddHeader>&amp;C&amp;"Times New Roman,Bold"&amp;8AS FILED</oddHeader>
    <oddFooter>&amp;L&amp;F&amp;CPage 8.3&amp;R&amp;A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7"/>
  <sheetViews>
    <sheetView zoomScale="80" zoomScaleNormal="80" workbookViewId="0"/>
  </sheetViews>
  <sheetFormatPr defaultColWidth="8.90625" defaultRowHeight="15.5" x14ac:dyDescent="0.35"/>
  <cols>
    <col min="1" max="1" width="5.36328125" style="33" bestFit="1" customWidth="1"/>
    <col min="2" max="2" width="80.54296875" style="34" customWidth="1"/>
    <col min="3" max="3" width="21.08984375" style="34" customWidth="1"/>
    <col min="4" max="4" width="1.54296875" style="34" customWidth="1"/>
    <col min="5" max="5" width="16.90625" style="34" customWidth="1"/>
    <col min="6" max="6" width="1.54296875" style="34" customWidth="1"/>
    <col min="7" max="7" width="48.08984375" style="34" customWidth="1"/>
    <col min="8" max="8" width="5.08984375" style="34" customWidth="1"/>
    <col min="9" max="9" width="8.90625" style="34"/>
    <col min="10" max="10" width="20.453125" style="34" bestFit="1" customWidth="1"/>
    <col min="11" max="16384" width="8.90625" style="34"/>
  </cols>
  <sheetData>
    <row r="1" spans="1:10" x14ac:dyDescent="0.35">
      <c r="G1" s="33"/>
      <c r="H1" s="33"/>
    </row>
    <row r="2" spans="1:10" x14ac:dyDescent="0.35">
      <c r="B2" s="906" t="s">
        <v>16</v>
      </c>
      <c r="C2" s="906"/>
      <c r="D2" s="906"/>
      <c r="E2" s="906"/>
      <c r="F2" s="906"/>
      <c r="G2" s="906"/>
      <c r="H2" s="33"/>
    </row>
    <row r="3" spans="1:10" x14ac:dyDescent="0.35">
      <c r="B3" s="906" t="s">
        <v>180</v>
      </c>
      <c r="C3" s="906"/>
      <c r="D3" s="906"/>
      <c r="E3" s="906"/>
      <c r="F3" s="906"/>
      <c r="G3" s="906"/>
      <c r="H3" s="33"/>
    </row>
    <row r="4" spans="1:10" x14ac:dyDescent="0.35">
      <c r="B4" s="906" t="s">
        <v>181</v>
      </c>
      <c r="C4" s="906"/>
      <c r="D4" s="906"/>
      <c r="E4" s="906"/>
      <c r="F4" s="906"/>
      <c r="G4" s="906"/>
      <c r="H4" s="33"/>
    </row>
    <row r="5" spans="1:10" x14ac:dyDescent="0.35">
      <c r="B5" s="907" t="s">
        <v>596</v>
      </c>
      <c r="C5" s="907"/>
      <c r="D5" s="907"/>
      <c r="E5" s="907"/>
      <c r="F5" s="907"/>
      <c r="G5" s="907"/>
      <c r="H5" s="33"/>
      <c r="J5" s="513"/>
    </row>
    <row r="6" spans="1:10" x14ac:dyDescent="0.35">
      <c r="B6" s="904" t="s">
        <v>2</v>
      </c>
      <c r="C6" s="908"/>
      <c r="D6" s="908"/>
      <c r="E6" s="908"/>
      <c r="F6" s="908"/>
      <c r="G6" s="908"/>
      <c r="H6" s="33"/>
    </row>
    <row r="7" spans="1:10" x14ac:dyDescent="0.35">
      <c r="B7" s="33"/>
      <c r="C7" s="33"/>
      <c r="D7" s="33"/>
      <c r="E7" s="36"/>
      <c r="F7" s="36"/>
      <c r="G7" s="33"/>
      <c r="H7" s="33"/>
    </row>
    <row r="8" spans="1:10" x14ac:dyDescent="0.35">
      <c r="A8" s="33" t="s">
        <v>3</v>
      </c>
      <c r="B8" s="308"/>
      <c r="C8" s="33" t="s">
        <v>182</v>
      </c>
      <c r="D8" s="308"/>
      <c r="E8" s="37"/>
      <c r="F8" s="37"/>
      <c r="G8" s="33"/>
      <c r="H8" s="33" t="s">
        <v>3</v>
      </c>
    </row>
    <row r="9" spans="1:10" x14ac:dyDescent="0.35">
      <c r="A9" s="33" t="s">
        <v>4</v>
      </c>
      <c r="C9" s="555" t="s">
        <v>183</v>
      </c>
      <c r="D9" s="308"/>
      <c r="E9" s="556" t="s">
        <v>6</v>
      </c>
      <c r="F9" s="37"/>
      <c r="G9" s="555" t="s">
        <v>7</v>
      </c>
      <c r="H9" s="33" t="s">
        <v>4</v>
      </c>
    </row>
    <row r="10" spans="1:10" x14ac:dyDescent="0.35">
      <c r="C10" s="308"/>
      <c r="D10" s="308"/>
      <c r="E10" s="37"/>
      <c r="F10" s="37"/>
      <c r="G10" s="33"/>
      <c r="H10" s="33"/>
      <c r="J10" s="613"/>
    </row>
    <row r="11" spans="1:10" x14ac:dyDescent="0.35">
      <c r="A11" s="33">
        <v>1</v>
      </c>
      <c r="B11" s="278" t="s">
        <v>184</v>
      </c>
      <c r="C11" s="308"/>
      <c r="D11" s="308"/>
      <c r="E11" s="37"/>
      <c r="F11" s="37"/>
      <c r="G11" s="33"/>
      <c r="H11" s="33">
        <f>A11</f>
        <v>1</v>
      </c>
    </row>
    <row r="12" spans="1:10" x14ac:dyDescent="0.35">
      <c r="A12" s="33">
        <f>+A11+1</f>
        <v>2</v>
      </c>
      <c r="B12" s="244" t="s">
        <v>185</v>
      </c>
      <c r="C12" s="308"/>
      <c r="D12" s="308"/>
      <c r="E12" s="39">
        <v>33.915090000000014</v>
      </c>
      <c r="F12" s="37"/>
      <c r="G12" s="33" t="s">
        <v>569</v>
      </c>
      <c r="H12" s="33">
        <f>H11+1</f>
        <v>2</v>
      </c>
    </row>
    <row r="13" spans="1:10" x14ac:dyDescent="0.35">
      <c r="A13" s="33">
        <f t="shared" ref="A13:A70" si="0">+A12+1</f>
        <v>3</v>
      </c>
      <c r="C13" s="308"/>
      <c r="D13" s="308"/>
      <c r="E13" s="37"/>
      <c r="F13" s="37"/>
      <c r="G13" s="33"/>
      <c r="H13" s="33">
        <f t="shared" ref="H13:H70" si="1">H12+1</f>
        <v>3</v>
      </c>
    </row>
    <row r="14" spans="1:10" x14ac:dyDescent="0.35">
      <c r="A14" s="33">
        <f t="shared" si="0"/>
        <v>4</v>
      </c>
      <c r="B14" s="278" t="s">
        <v>186</v>
      </c>
      <c r="G14" s="33"/>
      <c r="H14" s="33">
        <f t="shared" si="1"/>
        <v>4</v>
      </c>
    </row>
    <row r="15" spans="1:10" x14ac:dyDescent="0.35">
      <c r="A15" s="33">
        <f t="shared" si="0"/>
        <v>5</v>
      </c>
      <c r="B15" s="17" t="s">
        <v>187</v>
      </c>
      <c r="C15" s="33"/>
      <c r="E15" s="39">
        <v>112972.49735999999</v>
      </c>
      <c r="G15" s="33" t="s">
        <v>188</v>
      </c>
      <c r="H15" s="33">
        <f t="shared" si="1"/>
        <v>5</v>
      </c>
    </row>
    <row r="16" spans="1:10" x14ac:dyDescent="0.35">
      <c r="A16" s="33">
        <f t="shared" si="0"/>
        <v>6</v>
      </c>
      <c r="B16" s="22" t="s">
        <v>189</v>
      </c>
      <c r="E16" s="41"/>
      <c r="G16" s="33"/>
      <c r="H16" s="33">
        <f t="shared" si="1"/>
        <v>6</v>
      </c>
    </row>
    <row r="17" spans="1:10" x14ac:dyDescent="0.35">
      <c r="A17" s="33">
        <f t="shared" si="0"/>
        <v>7</v>
      </c>
      <c r="B17" s="17" t="s">
        <v>190</v>
      </c>
      <c r="C17" s="33"/>
      <c r="E17" s="42">
        <v>-3357.212</v>
      </c>
      <c r="G17" s="33" t="s">
        <v>570</v>
      </c>
      <c r="H17" s="33">
        <f t="shared" si="1"/>
        <v>7</v>
      </c>
    </row>
    <row r="18" spans="1:10" x14ac:dyDescent="0.35">
      <c r="A18" s="33">
        <f t="shared" si="0"/>
        <v>8</v>
      </c>
      <c r="B18" s="17" t="s">
        <v>192</v>
      </c>
      <c r="E18" s="42">
        <v>-1629.53</v>
      </c>
      <c r="G18" s="33" t="s">
        <v>571</v>
      </c>
      <c r="H18" s="33">
        <f t="shared" si="1"/>
        <v>8</v>
      </c>
    </row>
    <row r="19" spans="1:10" x14ac:dyDescent="0.35">
      <c r="A19" s="33">
        <f t="shared" si="0"/>
        <v>9</v>
      </c>
      <c r="B19" s="244" t="s">
        <v>194</v>
      </c>
      <c r="E19" s="42">
        <v>-11638.449000000001</v>
      </c>
      <c r="G19" s="33" t="s">
        <v>191</v>
      </c>
      <c r="H19" s="33">
        <f t="shared" si="1"/>
        <v>9</v>
      </c>
      <c r="J19" s="613"/>
    </row>
    <row r="20" spans="1:10" x14ac:dyDescent="0.35">
      <c r="A20" s="33">
        <f>+A19+1</f>
        <v>10</v>
      </c>
      <c r="B20" s="244" t="s">
        <v>196</v>
      </c>
      <c r="E20" s="42">
        <v>0.40300000000000002</v>
      </c>
      <c r="G20" s="33" t="s">
        <v>193</v>
      </c>
      <c r="H20" s="33">
        <f>H19+1</f>
        <v>10</v>
      </c>
      <c r="J20" s="613"/>
    </row>
    <row r="21" spans="1:10" x14ac:dyDescent="0.35">
      <c r="A21" s="33">
        <f t="shared" si="0"/>
        <v>11</v>
      </c>
      <c r="B21" s="17" t="s">
        <v>197</v>
      </c>
      <c r="E21" s="42">
        <v>0</v>
      </c>
      <c r="G21" s="33" t="s">
        <v>195</v>
      </c>
      <c r="H21" s="33">
        <f t="shared" si="1"/>
        <v>11</v>
      </c>
    </row>
    <row r="22" spans="1:10" x14ac:dyDescent="0.35">
      <c r="A22" s="33">
        <f t="shared" si="0"/>
        <v>12</v>
      </c>
      <c r="B22" s="17" t="s">
        <v>198</v>
      </c>
      <c r="E22" s="42">
        <v>-2107.7340000000004</v>
      </c>
      <c r="G22" s="33" t="s">
        <v>572</v>
      </c>
      <c r="H22" s="33">
        <f t="shared" si="1"/>
        <v>12</v>
      </c>
    </row>
    <row r="23" spans="1:10" x14ac:dyDescent="0.35">
      <c r="A23" s="33">
        <f t="shared" si="0"/>
        <v>13</v>
      </c>
      <c r="B23" s="244" t="s">
        <v>199</v>
      </c>
      <c r="E23" s="42">
        <v>-18834.561000000002</v>
      </c>
      <c r="G23" s="33" t="s">
        <v>573</v>
      </c>
      <c r="H23" s="33">
        <f t="shared" si="1"/>
        <v>13</v>
      </c>
      <c r="J23"/>
    </row>
    <row r="24" spans="1:10" x14ac:dyDescent="0.35">
      <c r="A24" s="33">
        <f t="shared" si="0"/>
        <v>14</v>
      </c>
      <c r="B24" s="244" t="s">
        <v>200</v>
      </c>
      <c r="E24" s="42">
        <v>-25278.445</v>
      </c>
      <c r="G24" s="33" t="s">
        <v>574</v>
      </c>
      <c r="H24" s="33">
        <f t="shared" si="1"/>
        <v>14</v>
      </c>
      <c r="J24"/>
    </row>
    <row r="25" spans="1:10" x14ac:dyDescent="0.35">
      <c r="A25" s="33">
        <f t="shared" si="0"/>
        <v>15</v>
      </c>
      <c r="B25" s="244" t="s">
        <v>201</v>
      </c>
      <c r="E25" s="42">
        <v>-578.39599999999996</v>
      </c>
      <c r="G25" s="33" t="s">
        <v>635</v>
      </c>
      <c r="H25" s="33">
        <f t="shared" si="1"/>
        <v>15</v>
      </c>
      <c r="J25"/>
    </row>
    <row r="26" spans="1:10" x14ac:dyDescent="0.35">
      <c r="A26" s="33">
        <f t="shared" si="0"/>
        <v>16</v>
      </c>
      <c r="B26" s="17" t="s">
        <v>202</v>
      </c>
      <c r="E26" s="43">
        <v>-143.70699999999999</v>
      </c>
      <c r="G26" s="33" t="s">
        <v>486</v>
      </c>
      <c r="H26" s="33">
        <f t="shared" si="1"/>
        <v>16</v>
      </c>
    </row>
    <row r="27" spans="1:10" x14ac:dyDescent="0.35">
      <c r="A27" s="33">
        <f t="shared" si="0"/>
        <v>17</v>
      </c>
      <c r="B27" s="506" t="s">
        <v>218</v>
      </c>
      <c r="E27" s="809">
        <f>-'Pg9.2 Rev AH-2'!G47</f>
        <v>-1171.9041</v>
      </c>
      <c r="F27" s="23" t="s">
        <v>27</v>
      </c>
      <c r="G27" s="33" t="s">
        <v>770</v>
      </c>
      <c r="H27" s="33">
        <f t="shared" si="1"/>
        <v>17</v>
      </c>
    </row>
    <row r="28" spans="1:10" ht="16" thickBot="1" x14ac:dyDescent="0.4">
      <c r="A28" s="33">
        <f t="shared" si="0"/>
        <v>18</v>
      </c>
      <c r="B28" s="17" t="s">
        <v>203</v>
      </c>
      <c r="E28" s="701">
        <f>SUM(E15:E27)</f>
        <v>48232.962259999993</v>
      </c>
      <c r="F28" s="23" t="s">
        <v>27</v>
      </c>
      <c r="G28" s="28" t="s">
        <v>771</v>
      </c>
      <c r="H28" s="33">
        <f t="shared" si="1"/>
        <v>18</v>
      </c>
      <c r="J28" s="47"/>
    </row>
    <row r="29" spans="1:10" ht="16" thickTop="1" x14ac:dyDescent="0.35">
      <c r="A29" s="33">
        <f t="shared" si="0"/>
        <v>19</v>
      </c>
      <c r="E29" s="32"/>
      <c r="H29" s="33">
        <f t="shared" si="1"/>
        <v>19</v>
      </c>
      <c r="J29" s="297"/>
    </row>
    <row r="30" spans="1:10" x14ac:dyDescent="0.35">
      <c r="A30" s="33">
        <f t="shared" si="0"/>
        <v>20</v>
      </c>
      <c r="B30" s="279" t="s">
        <v>204</v>
      </c>
      <c r="E30" s="44"/>
      <c r="G30" s="33"/>
      <c r="H30" s="33">
        <f t="shared" si="1"/>
        <v>20</v>
      </c>
      <c r="J30" s="297"/>
    </row>
    <row r="31" spans="1:10" x14ac:dyDescent="0.35">
      <c r="A31" s="33">
        <f t="shared" si="0"/>
        <v>21</v>
      </c>
      <c r="B31" s="22" t="s">
        <v>205</v>
      </c>
      <c r="C31" s="33"/>
      <c r="E31" s="39">
        <f>'Pg9.5 As Filed-AH-3'!D31</f>
        <v>655962.7567899999</v>
      </c>
      <c r="G31" s="33" t="s">
        <v>810</v>
      </c>
      <c r="H31" s="33">
        <f t="shared" si="1"/>
        <v>21</v>
      </c>
    </row>
    <row r="32" spans="1:10" x14ac:dyDescent="0.35">
      <c r="A32" s="33">
        <f t="shared" si="0"/>
        <v>22</v>
      </c>
      <c r="B32" s="22" t="s">
        <v>206</v>
      </c>
      <c r="E32" s="44" t="s">
        <v>207</v>
      </c>
      <c r="G32" s="33"/>
      <c r="H32" s="33">
        <f t="shared" si="1"/>
        <v>22</v>
      </c>
    </row>
    <row r="33" spans="1:10" x14ac:dyDescent="0.35">
      <c r="A33" s="33">
        <f t="shared" si="0"/>
        <v>23</v>
      </c>
      <c r="B33" s="171" t="s">
        <v>208</v>
      </c>
      <c r="E33" s="42">
        <f>-'Pg9.4 Rev AH-3'!D53</f>
        <v>-401.94600000000003</v>
      </c>
      <c r="G33" s="33" t="s">
        <v>772</v>
      </c>
      <c r="H33" s="33">
        <f t="shared" si="1"/>
        <v>23</v>
      </c>
      <c r="I33" s="280"/>
      <c r="J33" s="46"/>
    </row>
    <row r="34" spans="1:10" ht="31" x14ac:dyDescent="0.35">
      <c r="A34" s="33">
        <f t="shared" si="0"/>
        <v>24</v>
      </c>
      <c r="B34" s="89" t="s">
        <v>209</v>
      </c>
      <c r="E34" s="42">
        <f>-('Pg9.4 Rev AH-3'!D42+'Pg9.4 Rev AH-3'!D48+'Pg9.4 Rev AH-3'!E44)</f>
        <v>-803.07546026599982</v>
      </c>
      <c r="G34" s="45" t="s">
        <v>773</v>
      </c>
      <c r="H34" s="33">
        <f t="shared" si="1"/>
        <v>24</v>
      </c>
      <c r="I34" s="280"/>
      <c r="J34" s="46"/>
    </row>
    <row r="35" spans="1:10" x14ac:dyDescent="0.35">
      <c r="A35" s="33">
        <f t="shared" si="0"/>
        <v>25</v>
      </c>
      <c r="B35" s="171" t="s">
        <v>210</v>
      </c>
      <c r="E35" s="42">
        <f>-'Pg9.4 Rev AH-3'!D49</f>
        <v>0</v>
      </c>
      <c r="G35" s="33" t="s">
        <v>600</v>
      </c>
      <c r="H35" s="33">
        <f t="shared" si="1"/>
        <v>25</v>
      </c>
      <c r="I35" s="280"/>
      <c r="J35" s="46"/>
    </row>
    <row r="36" spans="1:10" ht="15.75" customHeight="1" x14ac:dyDescent="0.35">
      <c r="A36" s="33">
        <f t="shared" si="0"/>
        <v>26</v>
      </c>
      <c r="B36" s="89" t="s">
        <v>211</v>
      </c>
      <c r="E36" s="42">
        <f>-'Pg9.4 Rev AH-3'!D50</f>
        <v>-1805.1186499999999</v>
      </c>
      <c r="G36" s="33" t="s">
        <v>774</v>
      </c>
      <c r="H36" s="33">
        <f t="shared" si="1"/>
        <v>26</v>
      </c>
      <c r="I36" s="280"/>
      <c r="J36" s="46"/>
    </row>
    <row r="37" spans="1:10" x14ac:dyDescent="0.35">
      <c r="A37" s="33">
        <f t="shared" si="0"/>
        <v>27</v>
      </c>
      <c r="B37" s="171" t="s">
        <v>487</v>
      </c>
      <c r="E37" s="42">
        <f>-'Pg9.4 Rev AH-3'!D46</f>
        <v>-22865.18</v>
      </c>
      <c r="G37" s="33" t="s">
        <v>600</v>
      </c>
      <c r="H37" s="33">
        <f t="shared" si="1"/>
        <v>27</v>
      </c>
      <c r="J37"/>
    </row>
    <row r="38" spans="1:10" x14ac:dyDescent="0.35">
      <c r="A38" s="33">
        <f t="shared" si="0"/>
        <v>28</v>
      </c>
      <c r="B38" s="171" t="s">
        <v>212</v>
      </c>
      <c r="E38" s="42">
        <v>0</v>
      </c>
      <c r="G38" s="493" t="s">
        <v>603</v>
      </c>
      <c r="H38" s="33">
        <f t="shared" si="1"/>
        <v>28</v>
      </c>
      <c r="J38"/>
    </row>
    <row r="39" spans="1:10" x14ac:dyDescent="0.35">
      <c r="A39" s="33">
        <f t="shared" si="0"/>
        <v>29</v>
      </c>
      <c r="B39" s="171" t="s">
        <v>213</v>
      </c>
      <c r="E39" s="42">
        <f>-'Pg9.4 Rev AH-3'!E52</f>
        <v>-7.6341200000000002</v>
      </c>
      <c r="G39" s="45" t="s">
        <v>606</v>
      </c>
      <c r="H39" s="33">
        <f t="shared" si="1"/>
        <v>29</v>
      </c>
      <c r="I39" s="280"/>
      <c r="J39" s="613"/>
    </row>
    <row r="40" spans="1:10" x14ac:dyDescent="0.35">
      <c r="A40" s="33">
        <f t="shared" si="0"/>
        <v>30</v>
      </c>
      <c r="B40" s="171" t="s">
        <v>214</v>
      </c>
      <c r="E40" s="42">
        <f>-'Pg9.4 Rev AH-3'!E45</f>
        <v>-136000.65109999999</v>
      </c>
      <c r="G40" s="33" t="s">
        <v>775</v>
      </c>
      <c r="H40" s="33">
        <f t="shared" si="1"/>
        <v>30</v>
      </c>
      <c r="I40" s="280"/>
      <c r="J40" s="46"/>
    </row>
    <row r="41" spans="1:10" x14ac:dyDescent="0.35">
      <c r="A41" s="33">
        <f t="shared" si="0"/>
        <v>31</v>
      </c>
      <c r="B41" s="171" t="s">
        <v>215</v>
      </c>
      <c r="E41" s="42">
        <f>-'Pg9.4 Rev AH-3'!E55</f>
        <v>0</v>
      </c>
      <c r="G41" s="45" t="s">
        <v>776</v>
      </c>
      <c r="H41" s="33">
        <f t="shared" si="1"/>
        <v>31</v>
      </c>
    </row>
    <row r="42" spans="1:10" x14ac:dyDescent="0.35">
      <c r="A42" s="33">
        <f t="shared" si="0"/>
        <v>32</v>
      </c>
      <c r="B42" s="171" t="s">
        <v>216</v>
      </c>
      <c r="E42" s="42">
        <f>-'Pg9.4 Rev AH-3'!D47</f>
        <v>-0.96526000000000001</v>
      </c>
      <c r="G42" s="45" t="s">
        <v>777</v>
      </c>
      <c r="H42" s="33">
        <f t="shared" si="1"/>
        <v>32</v>
      </c>
    </row>
    <row r="43" spans="1:10" ht="31" x14ac:dyDescent="0.35">
      <c r="A43" s="33">
        <f t="shared" si="0"/>
        <v>33</v>
      </c>
      <c r="B43" s="89" t="s">
        <v>217</v>
      </c>
      <c r="E43" s="42">
        <f>-('Pg9.4 Rev AH-3'!E36+'Pg9.4 Rev AH-3'!E37+'Pg9.4 Rev AH-3'!E40+'Pg9.4 Rev AH-3'!D43+'Pg9.4 Rev AH-3'!D54)</f>
        <v>-238.71136999999931</v>
      </c>
      <c r="G43" s="45" t="s">
        <v>778</v>
      </c>
      <c r="H43" s="33">
        <f t="shared" si="1"/>
        <v>33</v>
      </c>
    </row>
    <row r="44" spans="1:10" x14ac:dyDescent="0.35">
      <c r="A44" s="33">
        <f t="shared" si="0"/>
        <v>34</v>
      </c>
      <c r="B44" s="506" t="s">
        <v>218</v>
      </c>
      <c r="E44" s="552">
        <f>-'Pg9.4 Rev AH-3'!H31</f>
        <v>7345.4156899999998</v>
      </c>
      <c r="F44" s="23" t="s">
        <v>27</v>
      </c>
      <c r="G44" s="45" t="s">
        <v>779</v>
      </c>
      <c r="H44" s="33">
        <f t="shared" si="1"/>
        <v>34</v>
      </c>
      <c r="J44" s="832"/>
    </row>
    <row r="45" spans="1:10" x14ac:dyDescent="0.35">
      <c r="A45" s="33">
        <f t="shared" si="0"/>
        <v>35</v>
      </c>
      <c r="B45" s="22" t="s">
        <v>219</v>
      </c>
      <c r="E45" s="48">
        <f>SUM(E31:E44)</f>
        <v>501184.89051973395</v>
      </c>
      <c r="F45" s="23" t="s">
        <v>27</v>
      </c>
      <c r="G45" s="33" t="s">
        <v>780</v>
      </c>
      <c r="H45" s="33">
        <f t="shared" si="1"/>
        <v>35</v>
      </c>
      <c r="J45" s="47"/>
    </row>
    <row r="46" spans="1:10" x14ac:dyDescent="0.35">
      <c r="A46" s="33">
        <f t="shared" si="0"/>
        <v>36</v>
      </c>
      <c r="B46" s="22" t="s">
        <v>220</v>
      </c>
      <c r="E46" s="614">
        <f>-'Pg9.4 Rev AH-3'!F16</f>
        <v>-8930.0596700000024</v>
      </c>
      <c r="G46" s="33" t="s">
        <v>781</v>
      </c>
      <c r="H46" s="33">
        <f t="shared" si="1"/>
        <v>36</v>
      </c>
      <c r="J46" s="47"/>
    </row>
    <row r="47" spans="1:10" x14ac:dyDescent="0.35">
      <c r="A47" s="33">
        <f t="shared" si="0"/>
        <v>37</v>
      </c>
      <c r="B47" s="22" t="s">
        <v>222</v>
      </c>
      <c r="E47" s="48">
        <f>SUM(E45:E46)</f>
        <v>492254.83084973396</v>
      </c>
      <c r="F47" s="23" t="s">
        <v>27</v>
      </c>
      <c r="G47" s="33" t="s">
        <v>782</v>
      </c>
      <c r="H47" s="33">
        <f t="shared" si="1"/>
        <v>37</v>
      </c>
      <c r="J47" s="297"/>
    </row>
    <row r="48" spans="1:10" x14ac:dyDescent="0.35">
      <c r="A48" s="33">
        <f t="shared" si="0"/>
        <v>38</v>
      </c>
      <c r="B48" s="17" t="s">
        <v>223</v>
      </c>
      <c r="E48" s="616">
        <v>0.10726751892997245</v>
      </c>
      <c r="G48" s="28" t="s">
        <v>224</v>
      </c>
      <c r="H48" s="33">
        <f t="shared" si="1"/>
        <v>38</v>
      </c>
    </row>
    <row r="49" spans="1:10" x14ac:dyDescent="0.35">
      <c r="A49" s="33">
        <f t="shared" si="0"/>
        <v>39</v>
      </c>
      <c r="B49" s="22" t="s">
        <v>225</v>
      </c>
      <c r="E49" s="49">
        <f>E47*E48</f>
        <v>52802.954386544225</v>
      </c>
      <c r="F49" s="23" t="s">
        <v>27</v>
      </c>
      <c r="G49" s="33" t="s">
        <v>783</v>
      </c>
      <c r="H49" s="33">
        <f t="shared" si="1"/>
        <v>39</v>
      </c>
    </row>
    <row r="50" spans="1:10" x14ac:dyDescent="0.35">
      <c r="A50" s="33">
        <f t="shared" si="0"/>
        <v>40</v>
      </c>
      <c r="B50" s="34" t="s">
        <v>226</v>
      </c>
      <c r="E50" s="618">
        <f>E70*(-E46)</f>
        <v>3461.067083811155</v>
      </c>
      <c r="G50" s="33" t="s">
        <v>784</v>
      </c>
      <c r="H50" s="33">
        <f t="shared" si="1"/>
        <v>40</v>
      </c>
      <c r="J50" s="47"/>
    </row>
    <row r="51" spans="1:10" ht="16" thickBot="1" x14ac:dyDescent="0.4">
      <c r="A51" s="33">
        <f t="shared" si="0"/>
        <v>41</v>
      </c>
      <c r="B51" s="40" t="s">
        <v>227</v>
      </c>
      <c r="E51" s="281">
        <f>E50+E49</f>
        <v>56264.021470355379</v>
      </c>
      <c r="F51" s="23" t="s">
        <v>27</v>
      </c>
      <c r="G51" s="33" t="s">
        <v>785</v>
      </c>
      <c r="H51" s="33">
        <f t="shared" si="1"/>
        <v>41</v>
      </c>
      <c r="I51" s="40"/>
      <c r="J51" s="47"/>
    </row>
    <row r="52" spans="1:10" ht="16" thickTop="1" x14ac:dyDescent="0.35">
      <c r="A52" s="33">
        <f t="shared" si="0"/>
        <v>42</v>
      </c>
      <c r="B52" s="50"/>
      <c r="E52" s="51"/>
      <c r="G52" s="33"/>
      <c r="H52" s="33">
        <f t="shared" si="1"/>
        <v>42</v>
      </c>
    </row>
    <row r="53" spans="1:10" x14ac:dyDescent="0.35">
      <c r="A53" s="33">
        <f t="shared" si="0"/>
        <v>43</v>
      </c>
      <c r="B53" s="24" t="s">
        <v>228</v>
      </c>
      <c r="E53" s="52"/>
      <c r="G53" s="33"/>
      <c r="H53" s="33">
        <f t="shared" si="1"/>
        <v>43</v>
      </c>
    </row>
    <row r="54" spans="1:10" x14ac:dyDescent="0.35">
      <c r="A54" s="33">
        <f t="shared" si="0"/>
        <v>44</v>
      </c>
      <c r="B54" s="22" t="s">
        <v>229</v>
      </c>
      <c r="E54" s="29">
        <v>7561575.1074746149</v>
      </c>
      <c r="G54" s="33" t="s">
        <v>230</v>
      </c>
      <c r="H54" s="33">
        <f t="shared" si="1"/>
        <v>44</v>
      </c>
    </row>
    <row r="55" spans="1:10" x14ac:dyDescent="0.35">
      <c r="A55" s="33">
        <f t="shared" si="0"/>
        <v>45</v>
      </c>
      <c r="B55" s="22" t="s">
        <v>231</v>
      </c>
      <c r="E55" s="53">
        <v>0</v>
      </c>
      <c r="G55" s="33" t="s">
        <v>232</v>
      </c>
      <c r="H55" s="33">
        <f t="shared" si="1"/>
        <v>45</v>
      </c>
    </row>
    <row r="56" spans="1:10" x14ac:dyDescent="0.35">
      <c r="A56" s="33">
        <f t="shared" si="0"/>
        <v>46</v>
      </c>
      <c r="B56" s="22" t="s">
        <v>233</v>
      </c>
      <c r="E56" s="54">
        <v>58499.721498188934</v>
      </c>
      <c r="G56" s="55" t="s">
        <v>234</v>
      </c>
      <c r="H56" s="33">
        <f t="shared" si="1"/>
        <v>46</v>
      </c>
    </row>
    <row r="57" spans="1:10" x14ac:dyDescent="0.35">
      <c r="A57" s="33">
        <f t="shared" si="0"/>
        <v>47</v>
      </c>
      <c r="B57" s="22" t="s">
        <v>235</v>
      </c>
      <c r="E57" s="620">
        <v>164102.84628287013</v>
      </c>
      <c r="G57" s="55" t="s">
        <v>236</v>
      </c>
      <c r="H57" s="33">
        <f t="shared" si="1"/>
        <v>47</v>
      </c>
    </row>
    <row r="58" spans="1:10" ht="16" thickBot="1" x14ac:dyDescent="0.4">
      <c r="A58" s="33">
        <f t="shared" si="0"/>
        <v>48</v>
      </c>
      <c r="B58" s="22" t="s">
        <v>237</v>
      </c>
      <c r="E58" s="56">
        <f>SUM(E54:E57)</f>
        <v>7784177.6752556739</v>
      </c>
      <c r="G58" s="33" t="s">
        <v>786</v>
      </c>
      <c r="H58" s="33">
        <f t="shared" si="1"/>
        <v>48</v>
      </c>
      <c r="I58" s="40"/>
    </row>
    <row r="59" spans="1:10" ht="16" thickTop="1" x14ac:dyDescent="0.35">
      <c r="A59" s="33">
        <f t="shared" si="0"/>
        <v>49</v>
      </c>
      <c r="B59" s="50"/>
      <c r="E59" s="32"/>
      <c r="G59" s="33"/>
      <c r="H59" s="33">
        <f t="shared" si="1"/>
        <v>49</v>
      </c>
    </row>
    <row r="60" spans="1:10" x14ac:dyDescent="0.35">
      <c r="A60" s="33">
        <f t="shared" si="0"/>
        <v>50</v>
      </c>
      <c r="B60" s="22" t="s">
        <v>238</v>
      </c>
      <c r="E60" s="57">
        <f>E54</f>
        <v>7561575.1074746149</v>
      </c>
      <c r="G60" s="58" t="s">
        <v>787</v>
      </c>
      <c r="H60" s="33">
        <f t="shared" si="1"/>
        <v>50</v>
      </c>
    </row>
    <row r="61" spans="1:10" x14ac:dyDescent="0.35">
      <c r="A61" s="33">
        <f t="shared" si="0"/>
        <v>51</v>
      </c>
      <c r="B61" s="22" t="s">
        <v>239</v>
      </c>
      <c r="E61" s="30">
        <v>573458.27988615376</v>
      </c>
      <c r="G61" s="55" t="s">
        <v>240</v>
      </c>
      <c r="H61" s="33">
        <f t="shared" si="1"/>
        <v>51</v>
      </c>
    </row>
    <row r="62" spans="1:10" x14ac:dyDescent="0.35">
      <c r="A62" s="33">
        <f t="shared" si="0"/>
        <v>52</v>
      </c>
      <c r="B62" s="22" t="s">
        <v>241</v>
      </c>
      <c r="E62" s="53">
        <v>0</v>
      </c>
      <c r="G62" s="33" t="s">
        <v>232</v>
      </c>
      <c r="H62" s="33">
        <f t="shared" si="1"/>
        <v>52</v>
      </c>
    </row>
    <row r="63" spans="1:10" x14ac:dyDescent="0.35">
      <c r="A63" s="33">
        <f t="shared" si="0"/>
        <v>53</v>
      </c>
      <c r="B63" s="22" t="s">
        <v>242</v>
      </c>
      <c r="E63" s="30">
        <v>539341.99986846163</v>
      </c>
      <c r="G63" s="55" t="s">
        <v>243</v>
      </c>
      <c r="H63" s="33">
        <f t="shared" si="1"/>
        <v>53</v>
      </c>
    </row>
    <row r="64" spans="1:10" x14ac:dyDescent="0.35">
      <c r="A64" s="33">
        <f t="shared" si="0"/>
        <v>54</v>
      </c>
      <c r="B64" s="22" t="s">
        <v>244</v>
      </c>
      <c r="E64" s="30">
        <v>9334732.9401250016</v>
      </c>
      <c r="G64" s="55" t="s">
        <v>245</v>
      </c>
      <c r="H64" s="33">
        <f t="shared" si="1"/>
        <v>54</v>
      </c>
    </row>
    <row r="65" spans="1:9" x14ac:dyDescent="0.35">
      <c r="A65" s="33">
        <f t="shared" si="0"/>
        <v>55</v>
      </c>
      <c r="B65" s="40" t="s">
        <v>231</v>
      </c>
      <c r="E65" s="53">
        <v>0</v>
      </c>
      <c r="G65" s="33" t="s">
        <v>232</v>
      </c>
      <c r="H65" s="33">
        <f t="shared" si="1"/>
        <v>55</v>
      </c>
    </row>
    <row r="66" spans="1:9" x14ac:dyDescent="0.35">
      <c r="A66" s="33">
        <f t="shared" si="0"/>
        <v>56</v>
      </c>
      <c r="B66" s="22" t="s">
        <v>246</v>
      </c>
      <c r="E66" s="30">
        <v>545362.86549500003</v>
      </c>
      <c r="G66" s="55" t="s">
        <v>247</v>
      </c>
      <c r="H66" s="33">
        <f t="shared" si="1"/>
        <v>56</v>
      </c>
    </row>
    <row r="67" spans="1:9" x14ac:dyDescent="0.35">
      <c r="A67" s="33">
        <f t="shared" si="0"/>
        <v>57</v>
      </c>
      <c r="B67" s="22" t="s">
        <v>248</v>
      </c>
      <c r="E67" s="621">
        <v>1529846.5735000502</v>
      </c>
      <c r="G67" s="55" t="s">
        <v>249</v>
      </c>
      <c r="H67" s="33">
        <f t="shared" si="1"/>
        <v>57</v>
      </c>
    </row>
    <row r="68" spans="1:9" ht="16" thickBot="1" x14ac:dyDescent="0.4">
      <c r="A68" s="33">
        <f t="shared" si="0"/>
        <v>58</v>
      </c>
      <c r="B68" s="22" t="s">
        <v>250</v>
      </c>
      <c r="E68" s="59">
        <f>SUM(E60:E67)</f>
        <v>20084317.766349278</v>
      </c>
      <c r="G68" s="33" t="s">
        <v>788</v>
      </c>
      <c r="H68" s="33">
        <f t="shared" si="1"/>
        <v>58</v>
      </c>
      <c r="I68" s="40"/>
    </row>
    <row r="69" spans="1:9" ht="16" thickTop="1" x14ac:dyDescent="0.35">
      <c r="A69" s="33">
        <f t="shared" si="0"/>
        <v>59</v>
      </c>
      <c r="E69" s="60"/>
      <c r="G69" s="33"/>
      <c r="H69" s="33">
        <f t="shared" si="1"/>
        <v>59</v>
      </c>
    </row>
    <row r="70" spans="1:9" ht="19" thickBot="1" x14ac:dyDescent="0.4">
      <c r="A70" s="33">
        <f t="shared" si="0"/>
        <v>60</v>
      </c>
      <c r="B70" s="22" t="s">
        <v>251</v>
      </c>
      <c r="E70" s="61">
        <f>E58/E68</f>
        <v>0.38757491122241899</v>
      </c>
      <c r="G70" s="33" t="s">
        <v>789</v>
      </c>
      <c r="H70" s="33">
        <f t="shared" si="1"/>
        <v>60</v>
      </c>
      <c r="I70" s="40"/>
    </row>
    <row r="71" spans="1:9" ht="16" thickTop="1" x14ac:dyDescent="0.35">
      <c r="B71" s="40" t="s">
        <v>207</v>
      </c>
      <c r="E71" s="62"/>
      <c r="G71" s="33"/>
      <c r="H71" s="33"/>
    </row>
    <row r="72" spans="1:9" x14ac:dyDescent="0.35">
      <c r="B72" s="40"/>
      <c r="E72" s="62"/>
      <c r="G72" s="33"/>
      <c r="H72" s="33"/>
    </row>
    <row r="73" spans="1:9" x14ac:dyDescent="0.35">
      <c r="A73" s="23" t="s">
        <v>27</v>
      </c>
      <c r="B73" s="588" t="s">
        <v>813</v>
      </c>
      <c r="E73" s="62"/>
      <c r="F73" s="62"/>
      <c r="G73" s="33"/>
      <c r="H73" s="33"/>
    </row>
    <row r="74" spans="1:9" x14ac:dyDescent="0.35">
      <c r="A74" s="23"/>
      <c r="B74" s="588" t="s">
        <v>819</v>
      </c>
      <c r="E74" s="62"/>
      <c r="F74" s="62"/>
      <c r="G74" s="33"/>
      <c r="H74" s="33"/>
    </row>
    <row r="75" spans="1:9" x14ac:dyDescent="0.35">
      <c r="A75" s="23"/>
      <c r="B75" s="21" t="s">
        <v>820</v>
      </c>
      <c r="E75" s="62"/>
      <c r="F75" s="62"/>
      <c r="G75" s="33"/>
      <c r="H75" s="33"/>
    </row>
    <row r="76" spans="1:9" ht="18" x14ac:dyDescent="0.35">
      <c r="A76" s="64">
        <v>1</v>
      </c>
      <c r="B76" s="22" t="s">
        <v>252</v>
      </c>
      <c r="H76" s="33"/>
    </row>
    <row r="77" spans="1:9" x14ac:dyDescent="0.35">
      <c r="B77" s="40"/>
      <c r="E77" s="60"/>
      <c r="F77" s="60"/>
      <c r="G77" s="33"/>
      <c r="H77" s="33"/>
    </row>
  </sheetData>
  <mergeCells count="5">
    <mergeCell ref="B6:G6"/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5409-8AFD-4739-8EB0-BE49F1F5B5BC}">
  <sheetPr>
    <pageSetUpPr fitToPage="1"/>
  </sheetPr>
  <dimension ref="A1:J73"/>
  <sheetViews>
    <sheetView zoomScale="80" zoomScaleNormal="80" workbookViewId="0"/>
  </sheetViews>
  <sheetFormatPr defaultColWidth="8.90625" defaultRowHeight="15.5" x14ac:dyDescent="0.35"/>
  <cols>
    <col min="1" max="1" width="5.36328125" style="33" bestFit="1" customWidth="1"/>
    <col min="2" max="2" width="80.54296875" style="34" customWidth="1"/>
    <col min="3" max="3" width="21.08984375" style="34" customWidth="1"/>
    <col min="4" max="4" width="1.54296875" style="34" customWidth="1"/>
    <col min="5" max="5" width="16.90625" style="34" customWidth="1"/>
    <col min="6" max="6" width="1.54296875" style="34" customWidth="1"/>
    <col min="7" max="7" width="55.54296875" style="34" customWidth="1"/>
    <col min="8" max="8" width="5.08984375" style="34" customWidth="1"/>
    <col min="9" max="9" width="8.90625" style="34"/>
    <col min="10" max="10" width="20.453125" style="34" bestFit="1" customWidth="1"/>
    <col min="11" max="16384" width="8.90625" style="34"/>
  </cols>
  <sheetData>
    <row r="1" spans="1:10" x14ac:dyDescent="0.35">
      <c r="A1" s="554" t="s">
        <v>631</v>
      </c>
    </row>
    <row r="2" spans="1:10" x14ac:dyDescent="0.35">
      <c r="G2" s="33"/>
      <c r="H2" s="33"/>
    </row>
    <row r="3" spans="1:10" x14ac:dyDescent="0.35">
      <c r="B3" s="906" t="s">
        <v>16</v>
      </c>
      <c r="C3" s="906"/>
      <c r="D3" s="906"/>
      <c r="E3" s="906"/>
      <c r="F3" s="906"/>
      <c r="G3" s="906"/>
      <c r="H3" s="33"/>
    </row>
    <row r="4" spans="1:10" x14ac:dyDescent="0.35">
      <c r="B4" s="906" t="s">
        <v>180</v>
      </c>
      <c r="C4" s="906"/>
      <c r="D4" s="906"/>
      <c r="E4" s="906"/>
      <c r="F4" s="906"/>
      <c r="G4" s="906"/>
      <c r="H4" s="33"/>
    </row>
    <row r="5" spans="1:10" x14ac:dyDescent="0.35">
      <c r="B5" s="906" t="s">
        <v>181</v>
      </c>
      <c r="C5" s="906"/>
      <c r="D5" s="906"/>
      <c r="E5" s="906"/>
      <c r="F5" s="906"/>
      <c r="G5" s="906"/>
      <c r="H5" s="33"/>
    </row>
    <row r="6" spans="1:10" x14ac:dyDescent="0.35">
      <c r="B6" s="907" t="s">
        <v>596</v>
      </c>
      <c r="C6" s="907"/>
      <c r="D6" s="907"/>
      <c r="E6" s="907"/>
      <c r="F6" s="907"/>
      <c r="G6" s="907"/>
      <c r="H6" s="33"/>
      <c r="J6" s="513"/>
    </row>
    <row r="7" spans="1:10" x14ac:dyDescent="0.35">
      <c r="B7" s="904" t="s">
        <v>2</v>
      </c>
      <c r="C7" s="908"/>
      <c r="D7" s="908"/>
      <c r="E7" s="908"/>
      <c r="F7" s="908"/>
      <c r="G7" s="908"/>
      <c r="H7" s="33"/>
    </row>
    <row r="8" spans="1:10" x14ac:dyDescent="0.35">
      <c r="B8" s="33"/>
      <c r="C8" s="33"/>
      <c r="D8" s="33"/>
      <c r="E8" s="36"/>
      <c r="F8" s="36"/>
      <c r="G8" s="33"/>
      <c r="H8" s="33"/>
    </row>
    <row r="9" spans="1:10" x14ac:dyDescent="0.35">
      <c r="A9" s="33" t="s">
        <v>3</v>
      </c>
      <c r="B9" s="308"/>
      <c r="C9" s="33" t="s">
        <v>182</v>
      </c>
      <c r="D9" s="308"/>
      <c r="E9" s="37"/>
      <c r="F9" s="37"/>
      <c r="G9" s="33"/>
      <c r="H9" s="33" t="s">
        <v>3</v>
      </c>
    </row>
    <row r="10" spans="1:10" x14ac:dyDescent="0.35">
      <c r="A10" s="33" t="s">
        <v>4</v>
      </c>
      <c r="C10" s="555" t="s">
        <v>183</v>
      </c>
      <c r="D10" s="308"/>
      <c r="E10" s="556" t="s">
        <v>6</v>
      </c>
      <c r="F10" s="37"/>
      <c r="G10" s="555" t="s">
        <v>7</v>
      </c>
      <c r="H10" s="33" t="s">
        <v>4</v>
      </c>
    </row>
    <row r="11" spans="1:10" x14ac:dyDescent="0.35">
      <c r="C11" s="308"/>
      <c r="D11" s="308"/>
      <c r="E11" s="37"/>
      <c r="F11" s="37"/>
      <c r="G11" s="33"/>
      <c r="H11" s="33"/>
      <c r="J11" s="613"/>
    </row>
    <row r="12" spans="1:10" x14ac:dyDescent="0.35">
      <c r="A12" s="33">
        <v>1</v>
      </c>
      <c r="B12" s="278" t="s">
        <v>184</v>
      </c>
      <c r="C12" s="308"/>
      <c r="D12" s="308"/>
      <c r="E12" s="37"/>
      <c r="F12" s="37"/>
      <c r="G12" s="33"/>
      <c r="H12" s="33">
        <f>A12</f>
        <v>1</v>
      </c>
    </row>
    <row r="13" spans="1:10" x14ac:dyDescent="0.35">
      <c r="A13" s="33">
        <f>+A12+1</f>
        <v>2</v>
      </c>
      <c r="B13" s="244" t="s">
        <v>185</v>
      </c>
      <c r="C13" s="308"/>
      <c r="D13" s="308"/>
      <c r="E13" s="39">
        <v>33.915090000000014</v>
      </c>
      <c r="F13" s="37"/>
      <c r="G13" s="33" t="s">
        <v>569</v>
      </c>
      <c r="H13" s="33">
        <f>H12+1</f>
        <v>2</v>
      </c>
    </row>
    <row r="14" spans="1:10" x14ac:dyDescent="0.35">
      <c r="A14" s="33">
        <f t="shared" ref="A14:A69" si="0">+A13+1</f>
        <v>3</v>
      </c>
      <c r="C14" s="308"/>
      <c r="D14" s="308"/>
      <c r="E14" s="37"/>
      <c r="F14" s="37"/>
      <c r="G14" s="33"/>
      <c r="H14" s="33">
        <f t="shared" ref="H14:H69" si="1">H13+1</f>
        <v>3</v>
      </c>
    </row>
    <row r="15" spans="1:10" x14ac:dyDescent="0.35">
      <c r="A15" s="33">
        <f t="shared" si="0"/>
        <v>4</v>
      </c>
      <c r="B15" s="278" t="s">
        <v>186</v>
      </c>
      <c r="G15" s="33"/>
      <c r="H15" s="33">
        <f t="shared" si="1"/>
        <v>4</v>
      </c>
    </row>
    <row r="16" spans="1:10" x14ac:dyDescent="0.35">
      <c r="A16" s="33">
        <f t="shared" si="0"/>
        <v>5</v>
      </c>
      <c r="B16" s="17" t="s">
        <v>187</v>
      </c>
      <c r="C16" s="33"/>
      <c r="E16" s="39">
        <v>112972.49735999999</v>
      </c>
      <c r="G16" s="33" t="s">
        <v>188</v>
      </c>
      <c r="H16" s="33">
        <f t="shared" si="1"/>
        <v>5</v>
      </c>
    </row>
    <row r="17" spans="1:10" x14ac:dyDescent="0.35">
      <c r="A17" s="33">
        <f t="shared" si="0"/>
        <v>6</v>
      </c>
      <c r="B17" s="22" t="s">
        <v>189</v>
      </c>
      <c r="E17" s="41"/>
      <c r="G17" s="33"/>
      <c r="H17" s="33">
        <f t="shared" si="1"/>
        <v>6</v>
      </c>
    </row>
    <row r="18" spans="1:10" x14ac:dyDescent="0.35">
      <c r="A18" s="33">
        <f t="shared" si="0"/>
        <v>7</v>
      </c>
      <c r="B18" s="17" t="s">
        <v>190</v>
      </c>
      <c r="C18" s="33"/>
      <c r="E18" s="42">
        <v>-3357.212</v>
      </c>
      <c r="G18" s="33" t="s">
        <v>570</v>
      </c>
      <c r="H18" s="33">
        <f t="shared" si="1"/>
        <v>7</v>
      </c>
    </row>
    <row r="19" spans="1:10" x14ac:dyDescent="0.35">
      <c r="A19" s="33">
        <f t="shared" si="0"/>
        <v>8</v>
      </c>
      <c r="B19" s="17" t="s">
        <v>192</v>
      </c>
      <c r="E19" s="42">
        <v>-1629.53</v>
      </c>
      <c r="G19" s="33" t="s">
        <v>571</v>
      </c>
      <c r="H19" s="33">
        <f t="shared" si="1"/>
        <v>8</v>
      </c>
    </row>
    <row r="20" spans="1:10" x14ac:dyDescent="0.35">
      <c r="A20" s="33">
        <f t="shared" si="0"/>
        <v>9</v>
      </c>
      <c r="B20" s="244" t="s">
        <v>194</v>
      </c>
      <c r="E20" s="42">
        <v>-11638.449000000001</v>
      </c>
      <c r="G20" s="33" t="s">
        <v>191</v>
      </c>
      <c r="H20" s="33">
        <f t="shared" si="1"/>
        <v>9</v>
      </c>
      <c r="J20" s="613"/>
    </row>
    <row r="21" spans="1:10" x14ac:dyDescent="0.35">
      <c r="A21" s="33">
        <f>+A20+1</f>
        <v>10</v>
      </c>
      <c r="B21" s="244" t="s">
        <v>196</v>
      </c>
      <c r="E21" s="42">
        <v>0.40300000000000002</v>
      </c>
      <c r="G21" s="33" t="s">
        <v>193</v>
      </c>
      <c r="H21" s="33">
        <f>H20+1</f>
        <v>10</v>
      </c>
      <c r="J21" s="613"/>
    </row>
    <row r="22" spans="1:10" x14ac:dyDescent="0.35">
      <c r="A22" s="33">
        <f t="shared" si="0"/>
        <v>11</v>
      </c>
      <c r="B22" s="17" t="s">
        <v>197</v>
      </c>
      <c r="E22" s="42">
        <v>0</v>
      </c>
      <c r="G22" s="33" t="s">
        <v>195</v>
      </c>
      <c r="H22" s="33">
        <f t="shared" si="1"/>
        <v>11</v>
      </c>
    </row>
    <row r="23" spans="1:10" x14ac:dyDescent="0.35">
      <c r="A23" s="33">
        <f t="shared" si="0"/>
        <v>12</v>
      </c>
      <c r="B23" s="17" t="s">
        <v>198</v>
      </c>
      <c r="E23" s="42">
        <v>-2107.7340000000004</v>
      </c>
      <c r="G23" s="33" t="s">
        <v>572</v>
      </c>
      <c r="H23" s="33">
        <f t="shared" si="1"/>
        <v>12</v>
      </c>
    </row>
    <row r="24" spans="1:10" x14ac:dyDescent="0.35">
      <c r="A24" s="33">
        <f t="shared" si="0"/>
        <v>13</v>
      </c>
      <c r="B24" s="244" t="s">
        <v>199</v>
      </c>
      <c r="E24" s="42">
        <v>-18834.561000000002</v>
      </c>
      <c r="G24" s="33" t="s">
        <v>573</v>
      </c>
      <c r="H24" s="33">
        <f t="shared" si="1"/>
        <v>13</v>
      </c>
      <c r="J24"/>
    </row>
    <row r="25" spans="1:10" x14ac:dyDescent="0.35">
      <c r="A25" s="33">
        <f t="shared" si="0"/>
        <v>14</v>
      </c>
      <c r="B25" s="244" t="s">
        <v>200</v>
      </c>
      <c r="E25" s="42">
        <v>-25278.445</v>
      </c>
      <c r="G25" s="33" t="s">
        <v>574</v>
      </c>
      <c r="H25" s="33">
        <f t="shared" si="1"/>
        <v>14</v>
      </c>
      <c r="J25"/>
    </row>
    <row r="26" spans="1:10" x14ac:dyDescent="0.35">
      <c r="A26" s="33">
        <f t="shared" si="0"/>
        <v>15</v>
      </c>
      <c r="B26" s="244" t="s">
        <v>201</v>
      </c>
      <c r="E26" s="42">
        <v>-578.39599999999996</v>
      </c>
      <c r="G26" s="33" t="s">
        <v>635</v>
      </c>
      <c r="H26" s="33">
        <f t="shared" si="1"/>
        <v>15</v>
      </c>
      <c r="J26"/>
    </row>
    <row r="27" spans="1:10" x14ac:dyDescent="0.35">
      <c r="A27" s="33">
        <f t="shared" si="0"/>
        <v>16</v>
      </c>
      <c r="B27" s="17" t="s">
        <v>202</v>
      </c>
      <c r="E27" s="43">
        <v>-143.70699999999999</v>
      </c>
      <c r="G27" s="33" t="s">
        <v>486</v>
      </c>
      <c r="H27" s="33">
        <f t="shared" si="1"/>
        <v>16</v>
      </c>
    </row>
    <row r="28" spans="1:10" x14ac:dyDescent="0.35">
      <c r="A28" s="33">
        <f t="shared" si="0"/>
        <v>17</v>
      </c>
      <c r="B28" s="17" t="s">
        <v>203</v>
      </c>
      <c r="E28" s="94">
        <f>SUM(E16:E27)</f>
        <v>49404.866359999993</v>
      </c>
      <c r="G28" s="28" t="s">
        <v>575</v>
      </c>
      <c r="H28" s="33">
        <f t="shared" si="1"/>
        <v>17</v>
      </c>
    </row>
    <row r="29" spans="1:10" x14ac:dyDescent="0.35">
      <c r="A29" s="33">
        <f t="shared" si="0"/>
        <v>18</v>
      </c>
      <c r="E29" s="32"/>
      <c r="H29" s="33">
        <f t="shared" si="1"/>
        <v>18</v>
      </c>
    </row>
    <row r="30" spans="1:10" x14ac:dyDescent="0.35">
      <c r="A30" s="33">
        <f t="shared" si="0"/>
        <v>19</v>
      </c>
      <c r="B30" s="279" t="s">
        <v>204</v>
      </c>
      <c r="E30" s="44"/>
      <c r="G30" s="33"/>
      <c r="H30" s="33">
        <f t="shared" si="1"/>
        <v>19</v>
      </c>
    </row>
    <row r="31" spans="1:10" x14ac:dyDescent="0.35">
      <c r="A31" s="33">
        <f t="shared" si="0"/>
        <v>20</v>
      </c>
      <c r="B31" s="22" t="s">
        <v>205</v>
      </c>
      <c r="C31" s="33"/>
      <c r="E31" s="39">
        <v>655962.7567899999</v>
      </c>
      <c r="G31" s="33" t="s">
        <v>576</v>
      </c>
      <c r="H31" s="33">
        <f t="shared" si="1"/>
        <v>20</v>
      </c>
    </row>
    <row r="32" spans="1:10" x14ac:dyDescent="0.35">
      <c r="A32" s="33">
        <f t="shared" si="0"/>
        <v>21</v>
      </c>
      <c r="B32" s="22" t="s">
        <v>206</v>
      </c>
      <c r="E32" s="44" t="s">
        <v>207</v>
      </c>
      <c r="G32" s="33"/>
      <c r="H32" s="33">
        <f t="shared" si="1"/>
        <v>21</v>
      </c>
    </row>
    <row r="33" spans="1:10" x14ac:dyDescent="0.35">
      <c r="A33" s="33">
        <f t="shared" si="0"/>
        <v>22</v>
      </c>
      <c r="B33" s="171" t="s">
        <v>208</v>
      </c>
      <c r="E33" s="42">
        <v>-401.94600000000003</v>
      </c>
      <c r="G33" s="33" t="s">
        <v>598</v>
      </c>
      <c r="H33" s="33">
        <f t="shared" si="1"/>
        <v>22</v>
      </c>
      <c r="I33" s="280"/>
      <c r="J33" s="46"/>
    </row>
    <row r="34" spans="1:10" ht="31" x14ac:dyDescent="0.35">
      <c r="A34" s="33">
        <f t="shared" si="0"/>
        <v>23</v>
      </c>
      <c r="B34" s="89" t="s">
        <v>209</v>
      </c>
      <c r="E34" s="42">
        <v>-803.07546026599982</v>
      </c>
      <c r="G34" s="45" t="s">
        <v>599</v>
      </c>
      <c r="H34" s="33">
        <f t="shared" si="1"/>
        <v>23</v>
      </c>
      <c r="I34" s="280"/>
      <c r="J34" s="46"/>
    </row>
    <row r="35" spans="1:10" x14ac:dyDescent="0.35">
      <c r="A35" s="33">
        <f t="shared" si="0"/>
        <v>24</v>
      </c>
      <c r="B35" s="171" t="s">
        <v>210</v>
      </c>
      <c r="E35" s="42">
        <v>0</v>
      </c>
      <c r="G35" s="33" t="s">
        <v>600</v>
      </c>
      <c r="H35" s="33">
        <f t="shared" si="1"/>
        <v>24</v>
      </c>
      <c r="I35" s="280"/>
      <c r="J35" s="46"/>
    </row>
    <row r="36" spans="1:10" ht="15.75" customHeight="1" x14ac:dyDescent="0.35">
      <c r="A36" s="33">
        <f t="shared" si="0"/>
        <v>25</v>
      </c>
      <c r="B36" s="89" t="s">
        <v>211</v>
      </c>
      <c r="E36" s="42">
        <v>-1805.1186499999999</v>
      </c>
      <c r="G36" s="33" t="s">
        <v>601</v>
      </c>
      <c r="H36" s="33">
        <f t="shared" si="1"/>
        <v>25</v>
      </c>
      <c r="I36" s="280"/>
      <c r="J36" s="46"/>
    </row>
    <row r="37" spans="1:10" x14ac:dyDescent="0.35">
      <c r="A37" s="33">
        <f t="shared" si="0"/>
        <v>26</v>
      </c>
      <c r="B37" s="171" t="s">
        <v>487</v>
      </c>
      <c r="E37" s="42">
        <v>-22865.18</v>
      </c>
      <c r="G37" s="33" t="s">
        <v>602</v>
      </c>
      <c r="H37" s="33">
        <f t="shared" si="1"/>
        <v>26</v>
      </c>
      <c r="J37"/>
    </row>
    <row r="38" spans="1:10" x14ac:dyDescent="0.35">
      <c r="A38" s="33">
        <f t="shared" si="0"/>
        <v>27</v>
      </c>
      <c r="B38" s="171" t="s">
        <v>212</v>
      </c>
      <c r="E38" s="42">
        <v>0</v>
      </c>
      <c r="G38" s="493" t="s">
        <v>603</v>
      </c>
      <c r="H38" s="33">
        <f t="shared" si="1"/>
        <v>27</v>
      </c>
      <c r="J38"/>
    </row>
    <row r="39" spans="1:10" x14ac:dyDescent="0.35">
      <c r="A39" s="33">
        <f t="shared" si="0"/>
        <v>28</v>
      </c>
      <c r="B39" s="171" t="s">
        <v>213</v>
      </c>
      <c r="E39" s="42">
        <v>-7.6341200000000002</v>
      </c>
      <c r="G39" s="45" t="s">
        <v>604</v>
      </c>
      <c r="H39" s="33">
        <f t="shared" si="1"/>
        <v>28</v>
      </c>
      <c r="I39" s="280"/>
      <c r="J39" s="613"/>
    </row>
    <row r="40" spans="1:10" x14ac:dyDescent="0.35">
      <c r="A40" s="33">
        <f t="shared" si="0"/>
        <v>29</v>
      </c>
      <c r="B40" s="171" t="s">
        <v>214</v>
      </c>
      <c r="E40" s="42">
        <v>-136000.65109999999</v>
      </c>
      <c r="G40" s="33" t="s">
        <v>605</v>
      </c>
      <c r="H40" s="33">
        <f t="shared" si="1"/>
        <v>29</v>
      </c>
      <c r="I40" s="280"/>
      <c r="J40" s="46"/>
    </row>
    <row r="41" spans="1:10" x14ac:dyDescent="0.35">
      <c r="A41" s="33">
        <f t="shared" si="0"/>
        <v>30</v>
      </c>
      <c r="B41" s="171" t="s">
        <v>215</v>
      </c>
      <c r="E41" s="42">
        <v>0</v>
      </c>
      <c r="G41" s="45" t="s">
        <v>606</v>
      </c>
      <c r="H41" s="33">
        <f t="shared" si="1"/>
        <v>30</v>
      </c>
    </row>
    <row r="42" spans="1:10" x14ac:dyDescent="0.35">
      <c r="A42" s="33">
        <f t="shared" si="0"/>
        <v>31</v>
      </c>
      <c r="B42" s="171" t="s">
        <v>216</v>
      </c>
      <c r="E42" s="42">
        <v>-0.96526000000000001</v>
      </c>
      <c r="G42" s="45" t="s">
        <v>607</v>
      </c>
      <c r="H42" s="33">
        <f t="shared" si="1"/>
        <v>31</v>
      </c>
    </row>
    <row r="43" spans="1:10" ht="31" x14ac:dyDescent="0.35">
      <c r="A43" s="33">
        <f t="shared" si="0"/>
        <v>32</v>
      </c>
      <c r="B43" s="89" t="s">
        <v>217</v>
      </c>
      <c r="E43" s="614">
        <v>-238.71136999999931</v>
      </c>
      <c r="G43" s="45" t="s">
        <v>608</v>
      </c>
      <c r="H43" s="33">
        <f t="shared" si="1"/>
        <v>32</v>
      </c>
    </row>
    <row r="44" spans="1:10" x14ac:dyDescent="0.35">
      <c r="A44" s="33">
        <f t="shared" si="0"/>
        <v>33</v>
      </c>
      <c r="B44" s="22" t="s">
        <v>219</v>
      </c>
      <c r="E44" s="615">
        <f>SUM(E31:E43)</f>
        <v>493839.47482973395</v>
      </c>
      <c r="G44" s="33" t="s">
        <v>577</v>
      </c>
      <c r="H44" s="33">
        <f t="shared" si="1"/>
        <v>33</v>
      </c>
      <c r="J44" s="47"/>
    </row>
    <row r="45" spans="1:10" x14ac:dyDescent="0.35">
      <c r="A45" s="33">
        <f t="shared" si="0"/>
        <v>34</v>
      </c>
      <c r="B45" s="22" t="s">
        <v>220</v>
      </c>
      <c r="E45" s="614">
        <v>-8930.0596700000024</v>
      </c>
      <c r="G45" s="33" t="s">
        <v>221</v>
      </c>
      <c r="H45" s="33">
        <f t="shared" si="1"/>
        <v>34</v>
      </c>
      <c r="J45" s="47"/>
    </row>
    <row r="46" spans="1:10" x14ac:dyDescent="0.35">
      <c r="A46" s="33">
        <f t="shared" si="0"/>
        <v>35</v>
      </c>
      <c r="B46" s="22" t="s">
        <v>222</v>
      </c>
      <c r="E46" s="615">
        <f>SUM(E44:E45)</f>
        <v>484909.41515973397</v>
      </c>
      <c r="G46" s="33" t="s">
        <v>578</v>
      </c>
      <c r="H46" s="33">
        <f t="shared" si="1"/>
        <v>35</v>
      </c>
    </row>
    <row r="47" spans="1:10" x14ac:dyDescent="0.35">
      <c r="A47" s="33">
        <f t="shared" si="0"/>
        <v>36</v>
      </c>
      <c r="B47" s="17" t="s">
        <v>223</v>
      </c>
      <c r="E47" s="616">
        <v>0.10726751892997245</v>
      </c>
      <c r="G47" s="28" t="s">
        <v>224</v>
      </c>
      <c r="H47" s="33">
        <f t="shared" si="1"/>
        <v>36</v>
      </c>
    </row>
    <row r="48" spans="1:10" x14ac:dyDescent="0.35">
      <c r="A48" s="33">
        <f t="shared" si="0"/>
        <v>37</v>
      </c>
      <c r="B48" s="22" t="s">
        <v>225</v>
      </c>
      <c r="E48" s="617">
        <f>E46*E47</f>
        <v>52015.029869968632</v>
      </c>
      <c r="G48" s="33" t="s">
        <v>579</v>
      </c>
      <c r="H48" s="33">
        <f t="shared" si="1"/>
        <v>37</v>
      </c>
    </row>
    <row r="49" spans="1:9" x14ac:dyDescent="0.35">
      <c r="A49" s="33">
        <f t="shared" si="0"/>
        <v>38</v>
      </c>
      <c r="B49" s="34" t="s">
        <v>226</v>
      </c>
      <c r="E49" s="618">
        <f>E69*(-E45)</f>
        <v>3461.067083811155</v>
      </c>
      <c r="G49" s="33" t="s">
        <v>580</v>
      </c>
      <c r="H49" s="33">
        <f t="shared" si="1"/>
        <v>38</v>
      </c>
    </row>
    <row r="50" spans="1:9" ht="16" thickBot="1" x14ac:dyDescent="0.4">
      <c r="A50" s="33">
        <f t="shared" si="0"/>
        <v>39</v>
      </c>
      <c r="B50" s="40" t="s">
        <v>227</v>
      </c>
      <c r="E50" s="619">
        <f>E49+E48</f>
        <v>55476.096953779786</v>
      </c>
      <c r="G50" s="33" t="s">
        <v>581</v>
      </c>
      <c r="H50" s="33">
        <f t="shared" si="1"/>
        <v>39</v>
      </c>
      <c r="I50" s="40"/>
    </row>
    <row r="51" spans="1:9" ht="16" thickTop="1" x14ac:dyDescent="0.35">
      <c r="A51" s="33">
        <f t="shared" si="0"/>
        <v>40</v>
      </c>
      <c r="B51" s="50"/>
      <c r="E51" s="51"/>
      <c r="G51" s="33"/>
      <c r="H51" s="33">
        <f t="shared" si="1"/>
        <v>40</v>
      </c>
    </row>
    <row r="52" spans="1:9" x14ac:dyDescent="0.35">
      <c r="A52" s="33">
        <f t="shared" si="0"/>
        <v>41</v>
      </c>
      <c r="B52" s="24" t="s">
        <v>228</v>
      </c>
      <c r="E52" s="52"/>
      <c r="G52" s="33"/>
      <c r="H52" s="33">
        <f t="shared" si="1"/>
        <v>41</v>
      </c>
    </row>
    <row r="53" spans="1:9" x14ac:dyDescent="0.35">
      <c r="A53" s="33">
        <f t="shared" si="0"/>
        <v>42</v>
      </c>
      <c r="B53" s="22" t="s">
        <v>229</v>
      </c>
      <c r="E53" s="29">
        <v>7561575.1074746149</v>
      </c>
      <c r="G53" s="33" t="s">
        <v>230</v>
      </c>
      <c r="H53" s="33">
        <f t="shared" si="1"/>
        <v>42</v>
      </c>
    </row>
    <row r="54" spans="1:9" x14ac:dyDescent="0.35">
      <c r="A54" s="33">
        <f t="shared" si="0"/>
        <v>43</v>
      </c>
      <c r="B54" s="22" t="s">
        <v>231</v>
      </c>
      <c r="E54" s="53">
        <v>0</v>
      </c>
      <c r="G54" s="33" t="s">
        <v>232</v>
      </c>
      <c r="H54" s="33">
        <f t="shared" si="1"/>
        <v>43</v>
      </c>
    </row>
    <row r="55" spans="1:9" x14ac:dyDescent="0.35">
      <c r="A55" s="33">
        <f t="shared" si="0"/>
        <v>44</v>
      </c>
      <c r="B55" s="22" t="s">
        <v>233</v>
      </c>
      <c r="E55" s="54">
        <v>58499.721498188934</v>
      </c>
      <c r="G55" s="55" t="s">
        <v>234</v>
      </c>
      <c r="H55" s="33">
        <f t="shared" si="1"/>
        <v>44</v>
      </c>
    </row>
    <row r="56" spans="1:9" x14ac:dyDescent="0.35">
      <c r="A56" s="33">
        <f t="shared" si="0"/>
        <v>45</v>
      </c>
      <c r="B56" s="22" t="s">
        <v>235</v>
      </c>
      <c r="E56" s="620">
        <v>164102.84628287013</v>
      </c>
      <c r="G56" s="55" t="s">
        <v>236</v>
      </c>
      <c r="H56" s="33">
        <f t="shared" si="1"/>
        <v>45</v>
      </c>
    </row>
    <row r="57" spans="1:9" ht="16" thickBot="1" x14ac:dyDescent="0.4">
      <c r="A57" s="33">
        <f t="shared" si="0"/>
        <v>46</v>
      </c>
      <c r="B57" s="22" t="s">
        <v>237</v>
      </c>
      <c r="E57" s="56">
        <f>SUM(E53:E56)</f>
        <v>7784177.6752556739</v>
      </c>
      <c r="G57" s="33" t="s">
        <v>582</v>
      </c>
      <c r="H57" s="33">
        <f t="shared" si="1"/>
        <v>46</v>
      </c>
      <c r="I57" s="40"/>
    </row>
    <row r="58" spans="1:9" ht="16" thickTop="1" x14ac:dyDescent="0.35">
      <c r="A58" s="33">
        <f t="shared" si="0"/>
        <v>47</v>
      </c>
      <c r="B58" s="50"/>
      <c r="E58" s="32"/>
      <c r="G58" s="33"/>
      <c r="H58" s="33">
        <f t="shared" si="1"/>
        <v>47</v>
      </c>
    </row>
    <row r="59" spans="1:9" x14ac:dyDescent="0.35">
      <c r="A59" s="33">
        <f t="shared" si="0"/>
        <v>48</v>
      </c>
      <c r="B59" s="22" t="s">
        <v>238</v>
      </c>
      <c r="E59" s="57">
        <f>E53</f>
        <v>7561575.1074746149</v>
      </c>
      <c r="G59" s="58" t="s">
        <v>583</v>
      </c>
      <c r="H59" s="33">
        <f t="shared" si="1"/>
        <v>48</v>
      </c>
    </row>
    <row r="60" spans="1:9" x14ac:dyDescent="0.35">
      <c r="A60" s="33">
        <f t="shared" si="0"/>
        <v>49</v>
      </c>
      <c r="B60" s="22" t="s">
        <v>239</v>
      </c>
      <c r="E60" s="30">
        <v>573458.27988615376</v>
      </c>
      <c r="G60" s="55" t="s">
        <v>240</v>
      </c>
      <c r="H60" s="33">
        <f t="shared" si="1"/>
        <v>49</v>
      </c>
    </row>
    <row r="61" spans="1:9" x14ac:dyDescent="0.35">
      <c r="A61" s="33">
        <f t="shared" si="0"/>
        <v>50</v>
      </c>
      <c r="B61" s="22" t="s">
        <v>241</v>
      </c>
      <c r="E61" s="53">
        <v>0</v>
      </c>
      <c r="G61" s="33" t="s">
        <v>232</v>
      </c>
      <c r="H61" s="33">
        <f t="shared" si="1"/>
        <v>50</v>
      </c>
    </row>
    <row r="62" spans="1:9" x14ac:dyDescent="0.35">
      <c r="A62" s="33">
        <f t="shared" si="0"/>
        <v>51</v>
      </c>
      <c r="B62" s="22" t="s">
        <v>242</v>
      </c>
      <c r="E62" s="30">
        <v>539341.99986846163</v>
      </c>
      <c r="G62" s="55" t="s">
        <v>243</v>
      </c>
      <c r="H62" s="33">
        <f t="shared" si="1"/>
        <v>51</v>
      </c>
    </row>
    <row r="63" spans="1:9" x14ac:dyDescent="0.35">
      <c r="A63" s="33">
        <f t="shared" si="0"/>
        <v>52</v>
      </c>
      <c r="B63" s="22" t="s">
        <v>244</v>
      </c>
      <c r="E63" s="30">
        <v>9334732.9401250016</v>
      </c>
      <c r="G63" s="55" t="s">
        <v>245</v>
      </c>
      <c r="H63" s="33">
        <f t="shared" si="1"/>
        <v>52</v>
      </c>
    </row>
    <row r="64" spans="1:9" x14ac:dyDescent="0.35">
      <c r="A64" s="33">
        <f t="shared" si="0"/>
        <v>53</v>
      </c>
      <c r="B64" s="40" t="s">
        <v>231</v>
      </c>
      <c r="E64" s="53">
        <v>0</v>
      </c>
      <c r="G64" s="33" t="s">
        <v>232</v>
      </c>
      <c r="H64" s="33">
        <f t="shared" si="1"/>
        <v>53</v>
      </c>
    </row>
    <row r="65" spans="1:9" x14ac:dyDescent="0.35">
      <c r="A65" s="33">
        <f t="shared" si="0"/>
        <v>54</v>
      </c>
      <c r="B65" s="22" t="s">
        <v>246</v>
      </c>
      <c r="E65" s="30">
        <v>545362.86549500003</v>
      </c>
      <c r="G65" s="55" t="s">
        <v>247</v>
      </c>
      <c r="H65" s="33">
        <f t="shared" si="1"/>
        <v>54</v>
      </c>
    </row>
    <row r="66" spans="1:9" x14ac:dyDescent="0.35">
      <c r="A66" s="33">
        <f t="shared" si="0"/>
        <v>55</v>
      </c>
      <c r="B66" s="22" t="s">
        <v>248</v>
      </c>
      <c r="E66" s="621">
        <v>1529846.5735000502</v>
      </c>
      <c r="G66" s="55" t="s">
        <v>249</v>
      </c>
      <c r="H66" s="33">
        <f t="shared" si="1"/>
        <v>55</v>
      </c>
    </row>
    <row r="67" spans="1:9" ht="16" thickBot="1" x14ac:dyDescent="0.4">
      <c r="A67" s="33">
        <f t="shared" si="0"/>
        <v>56</v>
      </c>
      <c r="B67" s="22" t="s">
        <v>250</v>
      </c>
      <c r="E67" s="59">
        <f>SUM(E59:E66)</f>
        <v>20084317.766349278</v>
      </c>
      <c r="G67" s="33" t="s">
        <v>584</v>
      </c>
      <c r="H67" s="33">
        <f t="shared" si="1"/>
        <v>56</v>
      </c>
      <c r="I67" s="40"/>
    </row>
    <row r="68" spans="1:9" ht="16" thickTop="1" x14ac:dyDescent="0.35">
      <c r="A68" s="33">
        <f t="shared" si="0"/>
        <v>57</v>
      </c>
      <c r="E68" s="60"/>
      <c r="G68" s="33"/>
      <c r="H68" s="33">
        <f t="shared" si="1"/>
        <v>57</v>
      </c>
    </row>
    <row r="69" spans="1:9" ht="19" thickBot="1" x14ac:dyDescent="0.4">
      <c r="A69" s="33">
        <f t="shared" si="0"/>
        <v>58</v>
      </c>
      <c r="B69" s="22" t="s">
        <v>251</v>
      </c>
      <c r="E69" s="61">
        <f>E57/E67</f>
        <v>0.38757491122241899</v>
      </c>
      <c r="G69" s="33" t="s">
        <v>585</v>
      </c>
      <c r="H69" s="33">
        <f t="shared" si="1"/>
        <v>58</v>
      </c>
      <c r="I69" s="40"/>
    </row>
    <row r="70" spans="1:9" ht="16" thickTop="1" x14ac:dyDescent="0.35">
      <c r="B70" s="40" t="s">
        <v>207</v>
      </c>
      <c r="E70" s="62"/>
      <c r="G70" s="33"/>
      <c r="H70" s="33"/>
    </row>
    <row r="71" spans="1:9" x14ac:dyDescent="0.35">
      <c r="B71" s="22"/>
      <c r="E71" s="62"/>
      <c r="F71" s="62"/>
      <c r="G71" s="33"/>
      <c r="H71" s="33"/>
    </row>
    <row r="72" spans="1:9" ht="18" x14ac:dyDescent="0.35">
      <c r="A72" s="64">
        <v>1</v>
      </c>
      <c r="B72" s="22" t="s">
        <v>252</v>
      </c>
      <c r="H72" s="33"/>
    </row>
    <row r="73" spans="1:9" x14ac:dyDescent="0.35">
      <c r="B73" s="40"/>
      <c r="E73" s="60"/>
      <c r="F73" s="60"/>
      <c r="G73" s="33"/>
      <c r="H73" s="33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FILED</oddHeader>
    <oddFooter>&amp;L&amp;F&amp;CPage 9.1&amp;R&amp;A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5D7E-9706-4CD3-A03D-91A871BEA2BE}">
  <sheetPr>
    <pageSetUpPr fitToPage="1"/>
  </sheetPr>
  <dimension ref="A1:N431"/>
  <sheetViews>
    <sheetView zoomScale="80" zoomScaleNormal="80" workbookViewId="0"/>
  </sheetViews>
  <sheetFormatPr defaultColWidth="13.453125" defaultRowHeight="15.5" x14ac:dyDescent="0.35"/>
  <cols>
    <col min="1" max="1" width="5.1796875" style="34" customWidth="1"/>
    <col min="2" max="2" width="8.54296875" style="723" customWidth="1"/>
    <col min="3" max="3" width="65.54296875" style="34" customWidth="1"/>
    <col min="4" max="4" width="16.81640625" style="34" customWidth="1"/>
    <col min="5" max="5" width="16.81640625" style="32" customWidth="1"/>
    <col min="6" max="6" width="18.1796875" style="34" bestFit="1" customWidth="1"/>
    <col min="7" max="7" width="15.453125" style="34" bestFit="1" customWidth="1"/>
    <col min="8" max="8" width="2" style="34" customWidth="1"/>
    <col min="9" max="9" width="18.1796875" style="34" customWidth="1"/>
    <col min="10" max="10" width="39" style="34" customWidth="1"/>
    <col min="11" max="11" width="5.1796875" style="34" customWidth="1"/>
    <col min="12" max="16384" width="13.453125" style="34"/>
  </cols>
  <sheetData>
    <row r="1" spans="1:14" x14ac:dyDescent="0.35">
      <c r="A1" s="506"/>
    </row>
    <row r="2" spans="1:14" s="506" customFormat="1" ht="15" x14ac:dyDescent="0.35">
      <c r="B2" s="906" t="s">
        <v>16</v>
      </c>
      <c r="C2" s="906"/>
      <c r="D2" s="906"/>
      <c r="E2" s="906"/>
      <c r="F2" s="906"/>
      <c r="G2" s="906"/>
      <c r="H2" s="906"/>
      <c r="I2" s="906"/>
      <c r="J2" s="906"/>
      <c r="K2" s="308"/>
    </row>
    <row r="3" spans="1:14" s="506" customFormat="1" ht="15" x14ac:dyDescent="0.35">
      <c r="B3" s="906" t="s">
        <v>686</v>
      </c>
      <c r="C3" s="906"/>
      <c r="D3" s="906"/>
      <c r="E3" s="906"/>
      <c r="F3" s="906"/>
      <c r="G3" s="906"/>
      <c r="H3" s="906"/>
      <c r="I3" s="906"/>
      <c r="J3" s="906"/>
      <c r="K3" s="724"/>
    </row>
    <row r="4" spans="1:14" s="506" customFormat="1" ht="15" x14ac:dyDescent="0.35">
      <c r="B4" s="906" t="s">
        <v>801</v>
      </c>
      <c r="C4" s="906"/>
      <c r="D4" s="906"/>
      <c r="E4" s="906"/>
      <c r="F4" s="906"/>
      <c r="G4" s="906"/>
      <c r="H4" s="906"/>
      <c r="I4" s="906"/>
      <c r="J4" s="906"/>
      <c r="K4" s="724"/>
      <c r="M4"/>
    </row>
    <row r="5" spans="1:14" s="506" customFormat="1" ht="15" x14ac:dyDescent="0.35">
      <c r="B5" s="904" t="s">
        <v>2</v>
      </c>
      <c r="C5" s="904"/>
      <c r="D5" s="904"/>
      <c r="E5" s="904"/>
      <c r="F5" s="904"/>
      <c r="G5" s="904"/>
      <c r="H5" s="904"/>
      <c r="I5" s="904"/>
      <c r="J5" s="904"/>
      <c r="K5" s="724"/>
    </row>
    <row r="6" spans="1:14" ht="16" thickBot="1" x14ac:dyDescent="0.4">
      <c r="A6" s="725"/>
      <c r="B6" s="726"/>
      <c r="C6" s="727"/>
      <c r="D6" s="727"/>
      <c r="E6" s="728"/>
      <c r="F6" s="727"/>
      <c r="G6" s="789"/>
      <c r="H6" s="727"/>
      <c r="I6" s="727"/>
      <c r="J6" s="727"/>
      <c r="K6" s="727"/>
    </row>
    <row r="7" spans="1:14" s="506" customFormat="1" ht="18" x14ac:dyDescent="0.3">
      <c r="A7" s="34"/>
      <c r="B7" s="729"/>
      <c r="C7" s="730"/>
      <c r="D7" s="66" t="s">
        <v>254</v>
      </c>
      <c r="E7" s="731" t="s">
        <v>255</v>
      </c>
      <c r="F7" s="66" t="s">
        <v>256</v>
      </c>
      <c r="G7" s="522" t="s">
        <v>807</v>
      </c>
      <c r="H7" s="785"/>
      <c r="I7" s="67" t="s">
        <v>624</v>
      </c>
      <c r="J7" s="732"/>
      <c r="K7" s="34"/>
    </row>
    <row r="8" spans="1:14" s="506" customFormat="1" x14ac:dyDescent="0.3">
      <c r="A8" s="33" t="s">
        <v>3</v>
      </c>
      <c r="B8" s="733" t="s">
        <v>257</v>
      </c>
      <c r="D8" s="734" t="s">
        <v>258</v>
      </c>
      <c r="E8" s="734" t="s">
        <v>259</v>
      </c>
      <c r="F8" s="734" t="s">
        <v>258</v>
      </c>
      <c r="G8" s="308" t="s">
        <v>764</v>
      </c>
      <c r="H8" s="786"/>
      <c r="I8" s="68" t="s">
        <v>765</v>
      </c>
      <c r="J8" s="69"/>
      <c r="K8" s="33" t="s">
        <v>3</v>
      </c>
    </row>
    <row r="9" spans="1:14" s="506" customFormat="1" x14ac:dyDescent="0.3">
      <c r="A9" s="33" t="s">
        <v>4</v>
      </c>
      <c r="B9" s="735" t="s">
        <v>260</v>
      </c>
      <c r="C9" s="696" t="s">
        <v>5</v>
      </c>
      <c r="D9" s="736" t="s">
        <v>261</v>
      </c>
      <c r="E9" s="736" t="s">
        <v>262</v>
      </c>
      <c r="F9" s="736" t="s">
        <v>263</v>
      </c>
      <c r="G9" s="696" t="s">
        <v>766</v>
      </c>
      <c r="H9" s="787"/>
      <c r="I9" s="788" t="s">
        <v>767</v>
      </c>
      <c r="J9" s="737" t="s">
        <v>7</v>
      </c>
      <c r="K9" s="33" t="s">
        <v>4</v>
      </c>
    </row>
    <row r="10" spans="1:14" s="506" customFormat="1" x14ac:dyDescent="0.35">
      <c r="A10" s="33"/>
      <c r="B10" s="738"/>
      <c r="C10" s="739" t="s">
        <v>687</v>
      </c>
      <c r="D10" s="740"/>
      <c r="E10" s="740"/>
      <c r="F10" s="740"/>
      <c r="G10" s="780"/>
      <c r="H10" s="780"/>
      <c r="I10" s="790"/>
      <c r="J10" s="741"/>
      <c r="K10" s="33"/>
      <c r="M10" s="34"/>
      <c r="N10" s="34"/>
    </row>
    <row r="11" spans="1:14" s="506" customFormat="1" x14ac:dyDescent="0.35">
      <c r="A11" s="33">
        <v>1</v>
      </c>
      <c r="B11" s="742">
        <v>560</v>
      </c>
      <c r="C11" s="34" t="s">
        <v>688</v>
      </c>
      <c r="D11" s="70">
        <v>9101.5750000000007</v>
      </c>
      <c r="E11" s="70">
        <f>E51</f>
        <v>143.70699999999999</v>
      </c>
      <c r="F11" s="70">
        <f>D11-E11</f>
        <v>8957.8680000000004</v>
      </c>
      <c r="G11" s="31"/>
      <c r="H11" s="31"/>
      <c r="I11" s="70">
        <f>F11-G11</f>
        <v>8957.8680000000004</v>
      </c>
      <c r="J11" s="743" t="s">
        <v>689</v>
      </c>
      <c r="K11" s="33">
        <f>A11</f>
        <v>1</v>
      </c>
      <c r="M11" s="613"/>
      <c r="N11" s="34"/>
    </row>
    <row r="12" spans="1:14" s="506" customFormat="1" x14ac:dyDescent="0.35">
      <c r="A12" s="33">
        <f>A11+1</f>
        <v>2</v>
      </c>
      <c r="B12" s="742">
        <v>561.1</v>
      </c>
      <c r="C12" s="34" t="s">
        <v>690</v>
      </c>
      <c r="D12" s="71">
        <v>964.71199999999999</v>
      </c>
      <c r="E12" s="71">
        <v>0</v>
      </c>
      <c r="F12" s="71">
        <f>D12-E12</f>
        <v>964.71199999999999</v>
      </c>
      <c r="G12" s="72"/>
      <c r="H12" s="72"/>
      <c r="I12" s="71">
        <f>F12-G12</f>
        <v>964.71199999999999</v>
      </c>
      <c r="J12" s="743" t="s">
        <v>691</v>
      </c>
      <c r="K12" s="33">
        <f>K11+1</f>
        <v>2</v>
      </c>
      <c r="M12" s="613"/>
      <c r="N12" s="34"/>
    </row>
    <row r="13" spans="1:14" s="506" customFormat="1" x14ac:dyDescent="0.35">
      <c r="A13" s="33">
        <f t="shared" ref="A13:A77" si="0">A12+1</f>
        <v>3</v>
      </c>
      <c r="B13" s="742">
        <v>561.20000000000005</v>
      </c>
      <c r="C13" s="34" t="s">
        <v>692</v>
      </c>
      <c r="D13" s="71">
        <v>1892.6669999999999</v>
      </c>
      <c r="E13" s="71">
        <v>0</v>
      </c>
      <c r="F13" s="71">
        <f t="shared" ref="F13:F24" si="1">D13-E13</f>
        <v>1892.6669999999999</v>
      </c>
      <c r="G13" s="72"/>
      <c r="H13" s="72"/>
      <c r="I13" s="71">
        <f t="shared" ref="I13:I24" si="2">F13-G13</f>
        <v>1892.6669999999999</v>
      </c>
      <c r="J13" s="743" t="s">
        <v>693</v>
      </c>
      <c r="K13" s="33">
        <f t="shared" ref="K13:K77" si="3">K12+1</f>
        <v>3</v>
      </c>
      <c r="M13" s="613"/>
      <c r="N13" s="34"/>
    </row>
    <row r="14" spans="1:14" s="506" customFormat="1" x14ac:dyDescent="0.35">
      <c r="A14" s="33">
        <f t="shared" si="0"/>
        <v>4</v>
      </c>
      <c r="B14" s="742">
        <v>561.29999999999995</v>
      </c>
      <c r="C14" s="34" t="s">
        <v>694</v>
      </c>
      <c r="D14" s="71">
        <v>157.91900000000001</v>
      </c>
      <c r="E14" s="71">
        <v>0</v>
      </c>
      <c r="F14" s="71">
        <f t="shared" si="1"/>
        <v>157.91900000000001</v>
      </c>
      <c r="G14" s="72"/>
      <c r="H14" s="72"/>
      <c r="I14" s="71">
        <f t="shared" si="2"/>
        <v>157.91900000000001</v>
      </c>
      <c r="J14" s="743" t="s">
        <v>695</v>
      </c>
      <c r="K14" s="33">
        <f t="shared" si="3"/>
        <v>4</v>
      </c>
      <c r="M14" s="613"/>
      <c r="N14" s="34"/>
    </row>
    <row r="15" spans="1:14" s="506" customFormat="1" x14ac:dyDescent="0.35">
      <c r="A15" s="33">
        <f t="shared" si="0"/>
        <v>5</v>
      </c>
      <c r="B15" s="742">
        <v>561.4</v>
      </c>
      <c r="C15" s="34" t="s">
        <v>696</v>
      </c>
      <c r="D15" s="71">
        <v>3357.212</v>
      </c>
      <c r="E15" s="71">
        <f>E52</f>
        <v>3357.212</v>
      </c>
      <c r="F15" s="71">
        <f t="shared" si="1"/>
        <v>0</v>
      </c>
      <c r="G15" s="72"/>
      <c r="H15" s="72"/>
      <c r="I15" s="71">
        <f t="shared" si="2"/>
        <v>0</v>
      </c>
      <c r="J15" s="743" t="s">
        <v>697</v>
      </c>
      <c r="K15" s="33">
        <f t="shared" si="3"/>
        <v>5</v>
      </c>
      <c r="M15" s="613"/>
      <c r="N15" s="34"/>
    </row>
    <row r="16" spans="1:14" s="506" customFormat="1" x14ac:dyDescent="0.35">
      <c r="A16" s="33">
        <f t="shared" si="0"/>
        <v>6</v>
      </c>
      <c r="B16" s="742">
        <v>561.5</v>
      </c>
      <c r="C16" s="34" t="s">
        <v>698</v>
      </c>
      <c r="D16" s="71">
        <v>139.928</v>
      </c>
      <c r="E16" s="71">
        <v>0</v>
      </c>
      <c r="F16" s="71">
        <f t="shared" si="1"/>
        <v>139.928</v>
      </c>
      <c r="G16" s="72"/>
      <c r="H16" s="72"/>
      <c r="I16" s="71">
        <f t="shared" si="2"/>
        <v>139.928</v>
      </c>
      <c r="J16" s="743" t="s">
        <v>699</v>
      </c>
      <c r="K16" s="33">
        <f t="shared" si="3"/>
        <v>6</v>
      </c>
      <c r="M16" s="613"/>
      <c r="N16" s="34"/>
    </row>
    <row r="17" spans="1:14" s="506" customFormat="1" x14ac:dyDescent="0.35">
      <c r="A17" s="33">
        <f t="shared" si="0"/>
        <v>7</v>
      </c>
      <c r="B17" s="742">
        <v>561.6</v>
      </c>
      <c r="C17" s="34" t="s">
        <v>700</v>
      </c>
      <c r="D17" s="71">
        <v>0</v>
      </c>
      <c r="E17" s="71">
        <v>0</v>
      </c>
      <c r="F17" s="71">
        <f t="shared" si="1"/>
        <v>0</v>
      </c>
      <c r="G17" s="72"/>
      <c r="H17" s="72"/>
      <c r="I17" s="71">
        <f t="shared" si="2"/>
        <v>0</v>
      </c>
      <c r="J17" s="743" t="s">
        <v>701</v>
      </c>
      <c r="K17" s="33">
        <f t="shared" si="3"/>
        <v>7</v>
      </c>
      <c r="M17" s="613"/>
      <c r="N17" s="34"/>
    </row>
    <row r="18" spans="1:14" s="506" customFormat="1" x14ac:dyDescent="0.35">
      <c r="A18" s="33">
        <f t="shared" si="0"/>
        <v>8</v>
      </c>
      <c r="B18" s="742">
        <v>561.70000000000005</v>
      </c>
      <c r="C18" s="34" t="s">
        <v>702</v>
      </c>
      <c r="D18" s="71">
        <v>0</v>
      </c>
      <c r="E18" s="71">
        <v>0</v>
      </c>
      <c r="F18" s="71">
        <f t="shared" si="1"/>
        <v>0</v>
      </c>
      <c r="G18" s="781"/>
      <c r="H18" s="72"/>
      <c r="I18" s="71">
        <f t="shared" si="2"/>
        <v>0</v>
      </c>
      <c r="J18" s="743" t="s">
        <v>703</v>
      </c>
      <c r="K18" s="33">
        <f t="shared" si="3"/>
        <v>8</v>
      </c>
      <c r="M18" s="613"/>
      <c r="N18" s="34"/>
    </row>
    <row r="19" spans="1:14" s="506" customFormat="1" x14ac:dyDescent="0.35">
      <c r="A19" s="33">
        <f t="shared" si="0"/>
        <v>9</v>
      </c>
      <c r="B19" s="742">
        <v>561.79999999999995</v>
      </c>
      <c r="C19" s="34" t="s">
        <v>704</v>
      </c>
      <c r="D19" s="71">
        <v>2611.931</v>
      </c>
      <c r="E19" s="71">
        <f>E53</f>
        <v>1629.53</v>
      </c>
      <c r="F19" s="71">
        <f t="shared" si="1"/>
        <v>982.40100000000007</v>
      </c>
      <c r="G19" s="781"/>
      <c r="H19" s="72"/>
      <c r="I19" s="71">
        <f t="shared" si="2"/>
        <v>982.40100000000007</v>
      </c>
      <c r="J19" s="743" t="s">
        <v>705</v>
      </c>
      <c r="K19" s="33">
        <f t="shared" si="3"/>
        <v>9</v>
      </c>
      <c r="M19" s="613"/>
      <c r="N19" s="34"/>
    </row>
    <row r="20" spans="1:14" s="506" customFormat="1" ht="18" x14ac:dyDescent="0.35">
      <c r="A20" s="33">
        <f t="shared" si="0"/>
        <v>10</v>
      </c>
      <c r="B20" s="742">
        <v>562</v>
      </c>
      <c r="C20" s="34" t="s">
        <v>706</v>
      </c>
      <c r="D20" s="71">
        <v>11638.449000000001</v>
      </c>
      <c r="E20" s="71">
        <f>E54</f>
        <v>11638.449000000001</v>
      </c>
      <c r="F20" s="71">
        <f t="shared" si="1"/>
        <v>0</v>
      </c>
      <c r="G20" s="781"/>
      <c r="H20" s="72"/>
      <c r="I20" s="71">
        <f t="shared" si="2"/>
        <v>0</v>
      </c>
      <c r="J20" s="743" t="s">
        <v>707</v>
      </c>
      <c r="K20" s="33">
        <f t="shared" si="3"/>
        <v>10</v>
      </c>
      <c r="L20" s="721"/>
      <c r="M20" s="613"/>
      <c r="N20" s="34"/>
    </row>
    <row r="21" spans="1:14" s="506" customFormat="1" x14ac:dyDescent="0.35">
      <c r="A21" s="33">
        <f t="shared" si="0"/>
        <v>11</v>
      </c>
      <c r="B21" s="742">
        <v>563</v>
      </c>
      <c r="C21" s="34" t="s">
        <v>708</v>
      </c>
      <c r="D21" s="71">
        <v>10659.147999999999</v>
      </c>
      <c r="E21" s="71">
        <v>0</v>
      </c>
      <c r="F21" s="71">
        <f t="shared" si="1"/>
        <v>10659.147999999999</v>
      </c>
      <c r="G21" s="781"/>
      <c r="H21" s="72"/>
      <c r="I21" s="71">
        <f t="shared" si="2"/>
        <v>10659.147999999999</v>
      </c>
      <c r="J21" s="743" t="s">
        <v>709</v>
      </c>
      <c r="K21" s="33">
        <f t="shared" si="3"/>
        <v>11</v>
      </c>
      <c r="L21" s="745"/>
      <c r="M21" s="613"/>
      <c r="N21" s="34"/>
    </row>
    <row r="22" spans="1:14" s="506" customFormat="1" x14ac:dyDescent="0.35">
      <c r="A22" s="33">
        <f t="shared" si="0"/>
        <v>12</v>
      </c>
      <c r="B22" s="742">
        <v>564</v>
      </c>
      <c r="C22" s="34" t="s">
        <v>710</v>
      </c>
      <c r="D22" s="71">
        <v>-0.40300000000000002</v>
      </c>
      <c r="E22" s="71">
        <f>E55</f>
        <v>-0.40300000000000002</v>
      </c>
      <c r="F22" s="71">
        <f t="shared" si="1"/>
        <v>0</v>
      </c>
      <c r="G22" s="781"/>
      <c r="H22" s="72"/>
      <c r="I22" s="71">
        <f t="shared" si="2"/>
        <v>0</v>
      </c>
      <c r="J22" s="743" t="s">
        <v>711</v>
      </c>
      <c r="K22" s="33">
        <f t="shared" si="3"/>
        <v>12</v>
      </c>
      <c r="M22" s="613"/>
      <c r="N22" s="34"/>
    </row>
    <row r="23" spans="1:14" s="506" customFormat="1" x14ac:dyDescent="0.35">
      <c r="A23" s="33">
        <f t="shared" si="0"/>
        <v>13</v>
      </c>
      <c r="B23" s="742">
        <v>565</v>
      </c>
      <c r="C23" s="34" t="s">
        <v>712</v>
      </c>
      <c r="D23" s="71">
        <v>0</v>
      </c>
      <c r="E23" s="71">
        <f>E56</f>
        <v>0</v>
      </c>
      <c r="F23" s="71">
        <f t="shared" si="1"/>
        <v>0</v>
      </c>
      <c r="G23" s="781"/>
      <c r="H23" s="72"/>
      <c r="I23" s="71">
        <f t="shared" si="2"/>
        <v>0</v>
      </c>
      <c r="J23" s="743" t="s">
        <v>713</v>
      </c>
      <c r="K23" s="33">
        <f t="shared" si="3"/>
        <v>13</v>
      </c>
      <c r="M23" s="613"/>
      <c r="N23" s="34"/>
    </row>
    <row r="24" spans="1:14" s="506" customFormat="1" x14ac:dyDescent="0.35">
      <c r="A24" s="33">
        <f t="shared" si="0"/>
        <v>14</v>
      </c>
      <c r="B24" s="802">
        <v>566</v>
      </c>
      <c r="C24" s="34" t="s">
        <v>714</v>
      </c>
      <c r="D24" s="71">
        <v>16813.008000000002</v>
      </c>
      <c r="E24" s="71">
        <f>E62</f>
        <v>2107.7340000000004</v>
      </c>
      <c r="F24" s="71">
        <f t="shared" si="1"/>
        <v>14705.274000000001</v>
      </c>
      <c r="G24" s="721">
        <v>1171.9041</v>
      </c>
      <c r="H24" s="23" t="s">
        <v>27</v>
      </c>
      <c r="I24" s="541">
        <f t="shared" si="2"/>
        <v>13533.369900000002</v>
      </c>
      <c r="J24" s="743" t="s">
        <v>715</v>
      </c>
      <c r="K24" s="33">
        <f t="shared" si="3"/>
        <v>14</v>
      </c>
      <c r="M24" s="613"/>
      <c r="N24" s="34"/>
    </row>
    <row r="25" spans="1:14" s="506" customFormat="1" x14ac:dyDescent="0.35">
      <c r="A25" s="33">
        <f t="shared" si="0"/>
        <v>15</v>
      </c>
      <c r="B25" s="742">
        <v>567</v>
      </c>
      <c r="C25" s="34" t="s">
        <v>277</v>
      </c>
      <c r="D25" s="401">
        <v>3610.3420000000001</v>
      </c>
      <c r="E25" s="401">
        <v>0</v>
      </c>
      <c r="F25" s="401">
        <f>D25-E25</f>
        <v>3610.3420000000001</v>
      </c>
      <c r="G25" s="791"/>
      <c r="H25" s="720"/>
      <c r="I25" s="401">
        <f>F25-G25</f>
        <v>3610.3420000000001</v>
      </c>
      <c r="J25" s="743" t="s">
        <v>716</v>
      </c>
      <c r="K25" s="33">
        <f t="shared" si="3"/>
        <v>15</v>
      </c>
      <c r="M25" s="613"/>
      <c r="N25" s="34"/>
    </row>
    <row r="26" spans="1:14" s="506" customFormat="1" x14ac:dyDescent="0.35">
      <c r="A26" s="33">
        <f t="shared" si="0"/>
        <v>16</v>
      </c>
      <c r="B26" s="742"/>
      <c r="C26" s="34"/>
      <c r="D26" s="71"/>
      <c r="E26" s="71"/>
      <c r="F26" s="71"/>
      <c r="G26" s="72"/>
      <c r="H26" s="72"/>
      <c r="I26" s="71"/>
      <c r="J26" s="743"/>
      <c r="K26" s="33">
        <f t="shared" si="3"/>
        <v>16</v>
      </c>
      <c r="M26" s="34"/>
      <c r="N26" s="34"/>
    </row>
    <row r="27" spans="1:14" s="506" customFormat="1" ht="16" thickBot="1" x14ac:dyDescent="0.4">
      <c r="A27" s="33">
        <f t="shared" si="0"/>
        <v>17</v>
      </c>
      <c r="B27" s="746"/>
      <c r="C27" s="747" t="s">
        <v>717</v>
      </c>
      <c r="D27" s="748">
        <f>SUM(D11:D25)</f>
        <v>60946.487999999998</v>
      </c>
      <c r="E27" s="748">
        <f>SUM(E11:E25)</f>
        <v>18876.229000000003</v>
      </c>
      <c r="F27" s="748">
        <f>SUM(F11:F25)</f>
        <v>42070.258999999998</v>
      </c>
      <c r="G27" s="804">
        <f>SUM(G11:G25)</f>
        <v>1171.9041</v>
      </c>
      <c r="H27" s="805" t="s">
        <v>27</v>
      </c>
      <c r="I27" s="803">
        <f>SUM(I11:I25)</f>
        <v>40898.354899999998</v>
      </c>
      <c r="J27" s="749" t="str">
        <f>"Sum Lines "&amp;A11&amp;" thru "&amp;A25</f>
        <v>Sum Lines 1 thru 15</v>
      </c>
      <c r="K27" s="33">
        <f t="shared" si="3"/>
        <v>17</v>
      </c>
      <c r="M27" s="47"/>
      <c r="N27" s="34"/>
    </row>
    <row r="28" spans="1:14" s="506" customFormat="1" x14ac:dyDescent="0.35">
      <c r="A28" s="33">
        <f t="shared" si="0"/>
        <v>18</v>
      </c>
      <c r="B28" s="750"/>
      <c r="C28" s="34"/>
      <c r="D28" s="751"/>
      <c r="E28" s="751"/>
      <c r="F28" s="751"/>
      <c r="G28" s="782"/>
      <c r="H28" s="793"/>
      <c r="I28" s="761"/>
      <c r="J28" s="744"/>
      <c r="K28" s="33">
        <f t="shared" si="3"/>
        <v>18</v>
      </c>
      <c r="M28" s="34"/>
      <c r="N28" s="34"/>
    </row>
    <row r="29" spans="1:14" s="506" customFormat="1" x14ac:dyDescent="0.35">
      <c r="A29" s="33">
        <f t="shared" si="0"/>
        <v>19</v>
      </c>
      <c r="B29" s="738"/>
      <c r="C29" s="739" t="s">
        <v>718</v>
      </c>
      <c r="D29" s="751"/>
      <c r="E29" s="751"/>
      <c r="F29" s="751"/>
      <c r="G29" s="782"/>
      <c r="H29" s="793"/>
      <c r="I29" s="761"/>
      <c r="J29" s="744"/>
      <c r="K29" s="33">
        <f t="shared" si="3"/>
        <v>19</v>
      </c>
      <c r="M29" s="34"/>
      <c r="N29" s="34"/>
    </row>
    <row r="30" spans="1:14" s="506" customFormat="1" x14ac:dyDescent="0.35">
      <c r="A30" s="33">
        <f t="shared" si="0"/>
        <v>20</v>
      </c>
      <c r="B30" s="742">
        <v>568</v>
      </c>
      <c r="C30" s="34" t="s">
        <v>719</v>
      </c>
      <c r="D30" s="70">
        <v>2150.4340000000002</v>
      </c>
      <c r="E30" s="70">
        <v>0</v>
      </c>
      <c r="F30" s="70">
        <f t="shared" ref="F30:F31" si="4">D30-E30</f>
        <v>2150.4340000000002</v>
      </c>
      <c r="G30" s="783"/>
      <c r="H30" s="792"/>
      <c r="I30" s="31">
        <f>F30-G30</f>
        <v>2150.4340000000002</v>
      </c>
      <c r="J30" s="744" t="s">
        <v>720</v>
      </c>
      <c r="K30" s="33">
        <f t="shared" si="3"/>
        <v>20</v>
      </c>
      <c r="M30" s="34"/>
      <c r="N30" s="34"/>
    </row>
    <row r="31" spans="1:14" s="506" customFormat="1" x14ac:dyDescent="0.35">
      <c r="A31" s="33">
        <f t="shared" si="0"/>
        <v>21</v>
      </c>
      <c r="B31" s="742">
        <v>569</v>
      </c>
      <c r="C31" s="34" t="s">
        <v>721</v>
      </c>
      <c r="D31" s="71">
        <v>1191.816</v>
      </c>
      <c r="E31" s="71">
        <v>0</v>
      </c>
      <c r="F31" s="71">
        <f t="shared" si="4"/>
        <v>1191.816</v>
      </c>
      <c r="G31" s="781"/>
      <c r="H31" s="794"/>
      <c r="I31" s="72">
        <f>F31-G31</f>
        <v>1191.816</v>
      </c>
      <c r="J31" s="744" t="s">
        <v>722</v>
      </c>
      <c r="K31" s="33">
        <f t="shared" si="3"/>
        <v>21</v>
      </c>
      <c r="M31" s="34"/>
      <c r="N31" s="34"/>
    </row>
    <row r="32" spans="1:14" s="506" customFormat="1" x14ac:dyDescent="0.35">
      <c r="A32" s="33">
        <f t="shared" si="0"/>
        <v>22</v>
      </c>
      <c r="B32" s="742">
        <v>569.1</v>
      </c>
      <c r="C32" s="34" t="s">
        <v>723</v>
      </c>
      <c r="D32" s="71">
        <v>1021.635</v>
      </c>
      <c r="E32" s="71">
        <v>0</v>
      </c>
      <c r="F32" s="71">
        <f>D32-E32</f>
        <v>1021.635</v>
      </c>
      <c r="G32" s="781"/>
      <c r="H32" s="794"/>
      <c r="I32" s="72">
        <f t="shared" ref="I32:I38" si="5">F32-G32</f>
        <v>1021.635</v>
      </c>
      <c r="J32" s="744" t="s">
        <v>724</v>
      </c>
      <c r="K32" s="33">
        <f t="shared" si="3"/>
        <v>22</v>
      </c>
      <c r="M32" s="34"/>
      <c r="N32" s="34"/>
    </row>
    <row r="33" spans="1:14" s="506" customFormat="1" x14ac:dyDescent="0.35">
      <c r="A33" s="33">
        <f t="shared" si="0"/>
        <v>23</v>
      </c>
      <c r="B33" s="742">
        <v>569.20000000000005</v>
      </c>
      <c r="C33" s="34" t="s">
        <v>725</v>
      </c>
      <c r="D33" s="71">
        <v>2015.654</v>
      </c>
      <c r="E33" s="71">
        <v>0</v>
      </c>
      <c r="F33" s="71">
        <f t="shared" ref="F33:F35" si="6">D33-E33</f>
        <v>2015.654</v>
      </c>
      <c r="G33" s="781"/>
      <c r="H33" s="794"/>
      <c r="I33" s="72">
        <f t="shared" si="5"/>
        <v>2015.654</v>
      </c>
      <c r="J33" s="744" t="s">
        <v>726</v>
      </c>
      <c r="K33" s="33">
        <f t="shared" si="3"/>
        <v>23</v>
      </c>
      <c r="M33" s="34"/>
      <c r="N33" s="34"/>
    </row>
    <row r="34" spans="1:14" s="506" customFormat="1" x14ac:dyDescent="0.35">
      <c r="A34" s="33">
        <f t="shared" si="0"/>
        <v>24</v>
      </c>
      <c r="B34" s="742">
        <v>569.29999999999995</v>
      </c>
      <c r="C34" s="34" t="s">
        <v>727</v>
      </c>
      <c r="D34" s="71">
        <v>64.367999999999995</v>
      </c>
      <c r="E34" s="71">
        <v>0</v>
      </c>
      <c r="F34" s="71">
        <f t="shared" si="6"/>
        <v>64.367999999999995</v>
      </c>
      <c r="G34" s="781"/>
      <c r="H34" s="794"/>
      <c r="I34" s="72">
        <f t="shared" si="5"/>
        <v>64.367999999999995</v>
      </c>
      <c r="J34" s="744" t="s">
        <v>728</v>
      </c>
      <c r="K34" s="33">
        <f t="shared" si="3"/>
        <v>24</v>
      </c>
      <c r="M34" s="34"/>
      <c r="N34" s="34"/>
    </row>
    <row r="35" spans="1:14" s="506" customFormat="1" x14ac:dyDescent="0.35">
      <c r="A35" s="33">
        <f t="shared" si="0"/>
        <v>25</v>
      </c>
      <c r="B35" s="742">
        <v>569.4</v>
      </c>
      <c r="C35" s="34" t="s">
        <v>729</v>
      </c>
      <c r="D35" s="71">
        <v>102</v>
      </c>
      <c r="E35" s="71">
        <v>0</v>
      </c>
      <c r="F35" s="71">
        <f t="shared" si="6"/>
        <v>102</v>
      </c>
      <c r="G35" s="781"/>
      <c r="H35" s="794"/>
      <c r="I35" s="72">
        <f t="shared" si="5"/>
        <v>102</v>
      </c>
      <c r="J35" s="744" t="s">
        <v>730</v>
      </c>
      <c r="K35" s="33">
        <f t="shared" si="3"/>
        <v>25</v>
      </c>
      <c r="M35" s="34"/>
      <c r="N35" s="34"/>
    </row>
    <row r="36" spans="1:14" s="506" customFormat="1" ht="18" x14ac:dyDescent="0.35">
      <c r="A36" s="33">
        <f t="shared" si="0"/>
        <v>26</v>
      </c>
      <c r="B36" s="742">
        <v>570</v>
      </c>
      <c r="C36" s="34" t="s">
        <v>731</v>
      </c>
      <c r="D36" s="71">
        <v>18834.561000000002</v>
      </c>
      <c r="E36" s="71">
        <f>E64</f>
        <v>18834.561000000002</v>
      </c>
      <c r="F36" s="71">
        <f>D36-E36</f>
        <v>0</v>
      </c>
      <c r="G36" s="781"/>
      <c r="H36" s="794"/>
      <c r="I36" s="72">
        <f t="shared" si="5"/>
        <v>0</v>
      </c>
      <c r="J36" s="744" t="s">
        <v>732</v>
      </c>
      <c r="K36" s="33">
        <f t="shared" si="3"/>
        <v>26</v>
      </c>
      <c r="M36" s="34"/>
      <c r="N36" s="34"/>
    </row>
    <row r="37" spans="1:14" s="506" customFormat="1" ht="18" x14ac:dyDescent="0.35">
      <c r="A37" s="33">
        <f t="shared" si="0"/>
        <v>27</v>
      </c>
      <c r="B37" s="742">
        <v>571</v>
      </c>
      <c r="C37" s="34" t="s">
        <v>733</v>
      </c>
      <c r="D37" s="71">
        <v>25278.445</v>
      </c>
      <c r="E37" s="71">
        <f>E65</f>
        <v>25278.445</v>
      </c>
      <c r="F37" s="71">
        <f t="shared" ref="F37:F38" si="7">D37-E37</f>
        <v>0</v>
      </c>
      <c r="G37" s="781"/>
      <c r="H37" s="794"/>
      <c r="I37" s="72">
        <f t="shared" si="5"/>
        <v>0</v>
      </c>
      <c r="J37" s="744" t="s">
        <v>734</v>
      </c>
      <c r="K37" s="33">
        <f t="shared" si="3"/>
        <v>27</v>
      </c>
      <c r="M37" s="34"/>
      <c r="N37" s="34"/>
    </row>
    <row r="38" spans="1:14" s="506" customFormat="1" ht="18" x14ac:dyDescent="0.35">
      <c r="A38" s="33">
        <f t="shared" si="0"/>
        <v>28</v>
      </c>
      <c r="B38" s="742">
        <v>572</v>
      </c>
      <c r="C38" s="34" t="s">
        <v>735</v>
      </c>
      <c r="D38" s="71">
        <v>578.39599999999996</v>
      </c>
      <c r="E38" s="71">
        <f>E66</f>
        <v>578.39599999999996</v>
      </c>
      <c r="F38" s="71">
        <f t="shared" si="7"/>
        <v>0</v>
      </c>
      <c r="G38" s="72"/>
      <c r="H38" s="794"/>
      <c r="I38" s="71">
        <f t="shared" si="5"/>
        <v>0</v>
      </c>
      <c r="J38" s="743" t="s">
        <v>736</v>
      </c>
      <c r="K38" s="33">
        <f t="shared" si="3"/>
        <v>28</v>
      </c>
      <c r="M38" s="34"/>
      <c r="N38" s="34"/>
    </row>
    <row r="39" spans="1:14" s="506" customFormat="1" x14ac:dyDescent="0.35">
      <c r="A39" s="33">
        <f t="shared" si="0"/>
        <v>29</v>
      </c>
      <c r="B39" s="742">
        <v>573</v>
      </c>
      <c r="C39" s="34" t="s">
        <v>737</v>
      </c>
      <c r="D39" s="401">
        <v>34.209000000000003</v>
      </c>
      <c r="E39" s="401">
        <v>0</v>
      </c>
      <c r="F39" s="401">
        <f>D39-E39</f>
        <v>34.209000000000003</v>
      </c>
      <c r="G39" s="791"/>
      <c r="H39" s="796"/>
      <c r="I39" s="401">
        <f>F39-G39</f>
        <v>34.209000000000003</v>
      </c>
      <c r="J39" s="743" t="s">
        <v>738</v>
      </c>
      <c r="K39" s="33">
        <f t="shared" si="3"/>
        <v>29</v>
      </c>
      <c r="M39" s="34"/>
      <c r="N39" s="34"/>
    </row>
    <row r="40" spans="1:14" s="506" customFormat="1" x14ac:dyDescent="0.35">
      <c r="A40" s="33">
        <f t="shared" si="0"/>
        <v>30</v>
      </c>
      <c r="B40" s="742"/>
      <c r="C40" s="34"/>
      <c r="D40" s="752"/>
      <c r="E40" s="71"/>
      <c r="F40" s="752"/>
      <c r="G40" s="72"/>
      <c r="H40" s="794"/>
      <c r="I40" s="71"/>
      <c r="J40" s="743"/>
      <c r="K40" s="33">
        <f t="shared" si="3"/>
        <v>30</v>
      </c>
      <c r="M40" s="34"/>
      <c r="N40" s="34"/>
    </row>
    <row r="41" spans="1:14" s="506" customFormat="1" x14ac:dyDescent="0.35">
      <c r="A41" s="33">
        <f t="shared" si="0"/>
        <v>31</v>
      </c>
      <c r="B41" s="750"/>
      <c r="C41" s="753" t="s">
        <v>739</v>
      </c>
      <c r="D41" s="70">
        <f>SUM(D30:D39)</f>
        <v>51271.518000000004</v>
      </c>
      <c r="E41" s="70">
        <f>SUM(E30:E39)</f>
        <v>44691.402000000002</v>
      </c>
      <c r="F41" s="70">
        <f>SUM(F30:F39)</f>
        <v>6580.1160000000009</v>
      </c>
      <c r="G41" s="799">
        <f>SUM(G30:G39)</f>
        <v>0</v>
      </c>
      <c r="H41" s="797"/>
      <c r="I41" s="798">
        <f>SUM(I30:I39)</f>
        <v>6580.1160000000009</v>
      </c>
      <c r="J41" s="743" t="str">
        <f>"Sum Lines "&amp;A30&amp;" thru "&amp;A39</f>
        <v>Sum Lines 20 thru 29</v>
      </c>
      <c r="K41" s="33">
        <f t="shared" si="3"/>
        <v>31</v>
      </c>
      <c r="M41" s="34"/>
      <c r="N41" s="34"/>
    </row>
    <row r="42" spans="1:14" s="506" customFormat="1" x14ac:dyDescent="0.35">
      <c r="A42" s="33">
        <f t="shared" si="0"/>
        <v>32</v>
      </c>
      <c r="B42" s="750"/>
      <c r="C42" s="34"/>
      <c r="D42" s="754"/>
      <c r="E42" s="754"/>
      <c r="F42" s="754"/>
      <c r="G42" s="73"/>
      <c r="H42" s="474"/>
      <c r="I42" s="74"/>
      <c r="J42" s="743"/>
      <c r="K42" s="33">
        <f t="shared" si="3"/>
        <v>32</v>
      </c>
      <c r="M42" s="34"/>
      <c r="N42" s="34"/>
    </row>
    <row r="43" spans="1:14" s="506" customFormat="1" ht="16" thickBot="1" x14ac:dyDescent="0.4">
      <c r="A43" s="33">
        <f t="shared" si="0"/>
        <v>33</v>
      </c>
      <c r="B43" s="733"/>
      <c r="C43" s="506" t="s">
        <v>740</v>
      </c>
      <c r="D43" s="75">
        <f>D27+D41</f>
        <v>112218.00599999999</v>
      </c>
      <c r="E43" s="75">
        <f>+E27+E41</f>
        <v>63567.631000000008</v>
      </c>
      <c r="F43" s="75">
        <f>+F27+F41</f>
        <v>48650.375</v>
      </c>
      <c r="G43" s="800">
        <f>+G27+G41</f>
        <v>1171.9041</v>
      </c>
      <c r="H43" s="806" t="s">
        <v>27</v>
      </c>
      <c r="I43" s="75">
        <f>+I27+I41</f>
        <v>47478.4709</v>
      </c>
      <c r="J43" s="743" t="str">
        <f>"Line "&amp;A27&amp;" + Line "&amp;A41</f>
        <v>Line 17 + Line 31</v>
      </c>
      <c r="K43" s="33">
        <f t="shared" si="3"/>
        <v>33</v>
      </c>
      <c r="M43" s="34"/>
      <c r="N43" s="34"/>
    </row>
    <row r="44" spans="1:14" s="506" customFormat="1" ht="16" thickTop="1" x14ac:dyDescent="0.35">
      <c r="A44" s="33">
        <f t="shared" si="0"/>
        <v>34</v>
      </c>
      <c r="B44" s="733"/>
      <c r="D44" s="74"/>
      <c r="E44" s="74"/>
      <c r="F44" s="74"/>
      <c r="G44" s="73"/>
      <c r="H44" s="474"/>
      <c r="I44" s="74"/>
      <c r="J44" s="743"/>
      <c r="K44" s="33">
        <f t="shared" si="3"/>
        <v>34</v>
      </c>
      <c r="M44" s="34"/>
      <c r="N44" s="34"/>
    </row>
    <row r="45" spans="1:14" s="506" customFormat="1" ht="18" x14ac:dyDescent="0.35">
      <c r="A45" s="33">
        <f t="shared" si="0"/>
        <v>35</v>
      </c>
      <c r="B45" s="742">
        <v>413</v>
      </c>
      <c r="C45" s="34" t="s">
        <v>741</v>
      </c>
      <c r="D45" s="401">
        <v>754.49135999999999</v>
      </c>
      <c r="E45" s="401">
        <v>0</v>
      </c>
      <c r="F45" s="401">
        <f>D45-E45</f>
        <v>754.49135999999999</v>
      </c>
      <c r="G45" s="791"/>
      <c r="H45" s="796"/>
      <c r="I45" s="401">
        <f>F45-G45</f>
        <v>754.49135999999999</v>
      </c>
      <c r="J45" s="78"/>
      <c r="K45" s="33">
        <f t="shared" si="3"/>
        <v>35</v>
      </c>
      <c r="M45" s="613"/>
      <c r="N45" s="34"/>
    </row>
    <row r="46" spans="1:14" s="506" customFormat="1" x14ac:dyDescent="0.35">
      <c r="A46" s="33">
        <f t="shared" si="0"/>
        <v>36</v>
      </c>
      <c r="B46" s="733"/>
      <c r="D46" s="74"/>
      <c r="E46" s="74"/>
      <c r="F46" s="74"/>
      <c r="G46" s="73"/>
      <c r="H46" s="474"/>
      <c r="I46" s="74"/>
      <c r="J46" s="743"/>
      <c r="K46" s="33">
        <f t="shared" si="3"/>
        <v>36</v>
      </c>
      <c r="M46" s="34"/>
      <c r="N46" s="34"/>
    </row>
    <row r="47" spans="1:14" s="506" customFormat="1" ht="16" thickBot="1" x14ac:dyDescent="0.4">
      <c r="A47" s="33">
        <f t="shared" si="0"/>
        <v>37</v>
      </c>
      <c r="B47" s="733"/>
      <c r="C47" s="506" t="s">
        <v>742</v>
      </c>
      <c r="D47" s="75">
        <f>D43+D45</f>
        <v>112972.49735999999</v>
      </c>
      <c r="E47" s="75">
        <f>E43+E45</f>
        <v>63567.631000000008</v>
      </c>
      <c r="F47" s="75">
        <f>F43+F45</f>
        <v>49404.86636</v>
      </c>
      <c r="G47" s="800">
        <f>G43+G45</f>
        <v>1171.9041</v>
      </c>
      <c r="H47" s="806" t="s">
        <v>27</v>
      </c>
      <c r="I47" s="801">
        <f>I43+I45</f>
        <v>48232.96226</v>
      </c>
      <c r="J47" s="743" t="str">
        <f>"Line "&amp;A43&amp;" + Line "&amp;A45</f>
        <v>Line 33 + Line 35</v>
      </c>
      <c r="K47" s="33">
        <f t="shared" si="3"/>
        <v>37</v>
      </c>
      <c r="M47" s="34"/>
      <c r="N47" s="34"/>
    </row>
    <row r="48" spans="1:14" ht="16.5" thickTop="1" thickBot="1" x14ac:dyDescent="0.4">
      <c r="A48" s="33">
        <f t="shared" si="0"/>
        <v>38</v>
      </c>
      <c r="B48" s="755"/>
      <c r="C48" s="77"/>
      <c r="D48" s="756"/>
      <c r="E48" s="757"/>
      <c r="F48" s="756"/>
      <c r="G48" s="784"/>
      <c r="H48" s="795"/>
      <c r="I48" s="756"/>
      <c r="J48" s="758"/>
      <c r="K48" s="33">
        <f t="shared" si="3"/>
        <v>38</v>
      </c>
    </row>
    <row r="49" spans="1:13" x14ac:dyDescent="0.35">
      <c r="A49" s="33">
        <f t="shared" si="0"/>
        <v>39</v>
      </c>
      <c r="B49" s="759"/>
      <c r="D49" s="760"/>
      <c r="E49" s="761"/>
      <c r="F49" s="760"/>
      <c r="G49" s="760"/>
      <c r="H49" s="760"/>
      <c r="I49" s="760"/>
      <c r="J49" s="762"/>
      <c r="K49" s="33">
        <f t="shared" si="3"/>
        <v>39</v>
      </c>
    </row>
    <row r="50" spans="1:13" s="17" customFormat="1" x14ac:dyDescent="0.35">
      <c r="A50" s="33">
        <f t="shared" si="0"/>
        <v>40</v>
      </c>
      <c r="B50" s="763" t="s">
        <v>743</v>
      </c>
      <c r="D50" s="593"/>
      <c r="E50" s="764"/>
      <c r="F50" s="593"/>
      <c r="G50" s="593"/>
      <c r="H50" s="593"/>
      <c r="I50" s="593"/>
      <c r="J50" s="765"/>
      <c r="K50" s="33">
        <f t="shared" si="3"/>
        <v>40</v>
      </c>
    </row>
    <row r="51" spans="1:13" s="17" customFormat="1" x14ac:dyDescent="0.35">
      <c r="A51" s="33">
        <f t="shared" si="0"/>
        <v>41</v>
      </c>
      <c r="B51" s="759" t="s">
        <v>744</v>
      </c>
      <c r="C51" s="34" t="s">
        <v>745</v>
      </c>
      <c r="D51" s="760"/>
      <c r="E51" s="47">
        <v>143.70699999999999</v>
      </c>
      <c r="F51" s="593"/>
      <c r="G51" s="593"/>
      <c r="H51" s="593"/>
      <c r="I51" s="593"/>
      <c r="J51" s="765"/>
      <c r="K51" s="33">
        <f t="shared" si="3"/>
        <v>41</v>
      </c>
      <c r="M51" s="625"/>
    </row>
    <row r="52" spans="1:13" s="17" customFormat="1" x14ac:dyDescent="0.35">
      <c r="A52" s="33">
        <f t="shared" si="0"/>
        <v>42</v>
      </c>
      <c r="B52" s="759" t="s">
        <v>746</v>
      </c>
      <c r="C52" s="34" t="s">
        <v>747</v>
      </c>
      <c r="D52" s="760"/>
      <c r="E52" s="46">
        <v>3357.212</v>
      </c>
      <c r="F52" s="593"/>
      <c r="G52" s="593"/>
      <c r="H52" s="593"/>
      <c r="I52" s="593"/>
      <c r="J52" s="765"/>
      <c r="K52" s="33">
        <f t="shared" si="3"/>
        <v>42</v>
      </c>
      <c r="M52" s="382"/>
    </row>
    <row r="53" spans="1:13" s="17" customFormat="1" x14ac:dyDescent="0.35">
      <c r="A53" s="33">
        <f t="shared" si="0"/>
        <v>43</v>
      </c>
      <c r="B53" s="759">
        <v>561.79999999999995</v>
      </c>
      <c r="C53" s="34" t="s">
        <v>748</v>
      </c>
      <c r="D53" s="760"/>
      <c r="E53" s="46">
        <v>1629.53</v>
      </c>
      <c r="F53" s="593"/>
      <c r="G53" s="593"/>
      <c r="H53" s="593"/>
      <c r="I53" s="593"/>
      <c r="J53" s="765"/>
      <c r="K53" s="33">
        <f t="shared" si="3"/>
        <v>43</v>
      </c>
    </row>
    <row r="54" spans="1:13" s="17" customFormat="1" ht="18" x14ac:dyDescent="0.35">
      <c r="A54" s="33">
        <f t="shared" si="0"/>
        <v>44</v>
      </c>
      <c r="B54" s="759">
        <v>562</v>
      </c>
      <c r="C54" s="34" t="s">
        <v>706</v>
      </c>
      <c r="D54" s="760"/>
      <c r="E54" s="46">
        <f>D20</f>
        <v>11638.449000000001</v>
      </c>
      <c r="F54" s="593"/>
      <c r="G54" s="593"/>
      <c r="H54" s="593"/>
      <c r="I54" s="593"/>
      <c r="J54" s="765"/>
      <c r="K54" s="33">
        <f t="shared" si="3"/>
        <v>44</v>
      </c>
      <c r="M54" s="382"/>
    </row>
    <row r="55" spans="1:13" s="17" customFormat="1" x14ac:dyDescent="0.35">
      <c r="A55" s="33">
        <f t="shared" si="0"/>
        <v>45</v>
      </c>
      <c r="B55" s="759">
        <v>564</v>
      </c>
      <c r="C55" s="34" t="s">
        <v>749</v>
      </c>
      <c r="D55" s="760"/>
      <c r="E55" s="46">
        <f>D22</f>
        <v>-0.40300000000000002</v>
      </c>
      <c r="F55" s="593"/>
      <c r="G55" s="593"/>
      <c r="H55" s="593"/>
      <c r="I55" s="593"/>
      <c r="J55" s="765"/>
      <c r="K55" s="33">
        <f t="shared" si="3"/>
        <v>45</v>
      </c>
    </row>
    <row r="56" spans="1:13" s="17" customFormat="1" x14ac:dyDescent="0.35">
      <c r="A56" s="33">
        <f t="shared" si="0"/>
        <v>46</v>
      </c>
      <c r="B56" s="759">
        <v>565</v>
      </c>
      <c r="C56" s="34" t="s">
        <v>750</v>
      </c>
      <c r="D56" s="760"/>
      <c r="E56" s="46">
        <v>0</v>
      </c>
      <c r="F56" s="593"/>
      <c r="G56" s="593"/>
      <c r="H56" s="593"/>
      <c r="I56" s="593"/>
      <c r="J56" s="765"/>
      <c r="K56" s="33">
        <f t="shared" si="3"/>
        <v>46</v>
      </c>
    </row>
    <row r="57" spans="1:13" s="17" customFormat="1" x14ac:dyDescent="0.35">
      <c r="A57" s="33">
        <f t="shared" si="0"/>
        <v>47</v>
      </c>
      <c r="B57" s="759" t="s">
        <v>751</v>
      </c>
      <c r="C57" s="17" t="s">
        <v>752</v>
      </c>
      <c r="E57" s="46"/>
      <c r="F57" s="593"/>
      <c r="G57" s="593"/>
      <c r="H57" s="593"/>
      <c r="I57" s="593"/>
      <c r="J57" s="765"/>
      <c r="K57" s="33">
        <f t="shared" si="3"/>
        <v>47</v>
      </c>
    </row>
    <row r="58" spans="1:13" s="17" customFormat="1" x14ac:dyDescent="0.35">
      <c r="A58" s="33">
        <f t="shared" si="0"/>
        <v>48</v>
      </c>
      <c r="B58" s="759"/>
      <c r="C58" s="34" t="s">
        <v>753</v>
      </c>
      <c r="D58" s="47">
        <v>0</v>
      </c>
      <c r="E58" s="46"/>
      <c r="F58" s="593"/>
      <c r="G58" s="593"/>
      <c r="H58" s="593"/>
      <c r="I58" s="593"/>
      <c r="J58" s="765"/>
      <c r="K58" s="33">
        <f t="shared" si="3"/>
        <v>48</v>
      </c>
    </row>
    <row r="59" spans="1:13" s="17" customFormat="1" x14ac:dyDescent="0.35">
      <c r="A59" s="33">
        <f t="shared" si="0"/>
        <v>49</v>
      </c>
      <c r="B59" s="759"/>
      <c r="C59" s="34" t="s">
        <v>754</v>
      </c>
      <c r="D59" s="46">
        <v>0</v>
      </c>
      <c r="E59" s="46"/>
      <c r="F59" s="593"/>
      <c r="G59" s="593"/>
      <c r="H59" s="593"/>
      <c r="I59" s="593"/>
      <c r="J59" s="765"/>
      <c r="K59" s="33">
        <f t="shared" si="3"/>
        <v>49</v>
      </c>
    </row>
    <row r="60" spans="1:13" s="17" customFormat="1" x14ac:dyDescent="0.35">
      <c r="A60" s="33">
        <f t="shared" si="0"/>
        <v>50</v>
      </c>
      <c r="B60" s="759"/>
      <c r="C60" s="34" t="s">
        <v>755</v>
      </c>
      <c r="D60" s="46">
        <v>993.31799999999998</v>
      </c>
      <c r="E60" s="46"/>
      <c r="F60" s="593"/>
      <c r="G60" s="593"/>
      <c r="H60" s="593"/>
      <c r="I60" s="593"/>
      <c r="J60" s="765"/>
      <c r="K60" s="33">
        <f t="shared" si="3"/>
        <v>50</v>
      </c>
    </row>
    <row r="61" spans="1:13" s="17" customFormat="1" x14ac:dyDescent="0.35">
      <c r="A61" s="33">
        <f t="shared" si="0"/>
        <v>51</v>
      </c>
      <c r="B61" s="759"/>
      <c r="C61" s="34" t="s">
        <v>756</v>
      </c>
      <c r="D61" s="46">
        <v>473.28300000000002</v>
      </c>
      <c r="E61" s="46"/>
      <c r="F61" s="593"/>
      <c r="G61" s="593"/>
      <c r="H61" s="593"/>
      <c r="I61" s="593"/>
      <c r="J61" s="765"/>
      <c r="K61" s="33">
        <f t="shared" si="3"/>
        <v>51</v>
      </c>
    </row>
    <row r="62" spans="1:13" s="17" customFormat="1" x14ac:dyDescent="0.35">
      <c r="A62" s="33">
        <f t="shared" si="0"/>
        <v>52</v>
      </c>
      <c r="B62" s="759"/>
      <c r="C62" s="34" t="s">
        <v>757</v>
      </c>
      <c r="D62" s="766">
        <v>641.13300000000004</v>
      </c>
      <c r="E62" s="767">
        <f>SUM(D58:D62)</f>
        <v>2107.7340000000004</v>
      </c>
      <c r="F62" s="593"/>
      <c r="G62" s="593"/>
      <c r="H62" s="593"/>
      <c r="I62" s="593"/>
      <c r="J62" s="765"/>
      <c r="K62" s="33">
        <f t="shared" si="3"/>
        <v>52</v>
      </c>
    </row>
    <row r="63" spans="1:13" s="17" customFormat="1" ht="18.5" x14ac:dyDescent="0.35">
      <c r="A63" s="33">
        <f t="shared" si="0"/>
        <v>53</v>
      </c>
      <c r="B63" s="759"/>
      <c r="C63" s="588" t="s">
        <v>806</v>
      </c>
      <c r="D63" s="46"/>
      <c r="E63" s="767"/>
      <c r="F63" s="593"/>
      <c r="G63" s="721"/>
      <c r="H63" s="827"/>
      <c r="I63" s="593"/>
      <c r="J63" s="765"/>
      <c r="K63" s="33">
        <f t="shared" si="3"/>
        <v>53</v>
      </c>
    </row>
    <row r="64" spans="1:13" s="17" customFormat="1" ht="18.5" x14ac:dyDescent="0.35">
      <c r="A64" s="33">
        <f t="shared" si="0"/>
        <v>54</v>
      </c>
      <c r="B64" s="768">
        <v>570</v>
      </c>
      <c r="C64" s="769" t="s">
        <v>758</v>
      </c>
      <c r="D64" s="46"/>
      <c r="E64" s="767">
        <f>D36</f>
        <v>18834.561000000002</v>
      </c>
      <c r="F64" s="593"/>
      <c r="G64" s="593"/>
      <c r="H64" s="593"/>
      <c r="I64" s="593"/>
      <c r="J64" s="765"/>
      <c r="K64" s="33">
        <f t="shared" si="3"/>
        <v>54</v>
      </c>
    </row>
    <row r="65" spans="1:13" s="17" customFormat="1" ht="18.5" x14ac:dyDescent="0.35">
      <c r="A65" s="33">
        <f t="shared" si="0"/>
        <v>55</v>
      </c>
      <c r="B65" s="768">
        <v>571</v>
      </c>
      <c r="C65" s="769" t="s">
        <v>733</v>
      </c>
      <c r="D65" s="46"/>
      <c r="E65" s="767">
        <f>D37</f>
        <v>25278.445</v>
      </c>
      <c r="F65" s="593"/>
      <c r="G65" s="593"/>
      <c r="H65" s="593"/>
      <c r="I65" s="593"/>
      <c r="J65" s="765"/>
      <c r="K65" s="33">
        <f t="shared" si="3"/>
        <v>55</v>
      </c>
    </row>
    <row r="66" spans="1:13" s="17" customFormat="1" ht="18.5" x14ac:dyDescent="0.35">
      <c r="A66" s="33">
        <f t="shared" si="0"/>
        <v>56</v>
      </c>
      <c r="B66" s="768">
        <v>572</v>
      </c>
      <c r="C66" s="770" t="s">
        <v>735</v>
      </c>
      <c r="D66" s="46"/>
      <c r="E66" s="767">
        <f>D38</f>
        <v>578.39599999999996</v>
      </c>
      <c r="F66" s="593"/>
      <c r="G66" s="593"/>
      <c r="H66" s="593"/>
      <c r="I66" s="593"/>
      <c r="J66" s="765"/>
      <c r="K66" s="33">
        <f t="shared" si="3"/>
        <v>56</v>
      </c>
    </row>
    <row r="67" spans="1:13" s="17" customFormat="1" x14ac:dyDescent="0.35">
      <c r="A67" s="33">
        <f t="shared" si="0"/>
        <v>57</v>
      </c>
      <c r="B67" s="771"/>
      <c r="D67" s="593"/>
      <c r="E67" s="772"/>
      <c r="F67" s="593"/>
      <c r="G67" s="593"/>
      <c r="H67" s="593"/>
      <c r="I67" s="593"/>
      <c r="J67" s="765"/>
      <c r="K67" s="33">
        <f t="shared" si="3"/>
        <v>57</v>
      </c>
    </row>
    <row r="68" spans="1:13" s="17" customFormat="1" ht="16" thickBot="1" x14ac:dyDescent="0.4">
      <c r="A68" s="33">
        <f t="shared" si="0"/>
        <v>58</v>
      </c>
      <c r="B68" s="773"/>
      <c r="C68" s="774" t="s">
        <v>288</v>
      </c>
      <c r="D68" s="593"/>
      <c r="E68" s="775">
        <f>SUM(E51:E66)</f>
        <v>63567.631000000008</v>
      </c>
      <c r="F68" s="593"/>
      <c r="G68" s="776"/>
      <c r="H68" s="593"/>
      <c r="I68" s="593"/>
      <c r="J68" s="765"/>
      <c r="K68" s="33">
        <f t="shared" si="3"/>
        <v>58</v>
      </c>
    </row>
    <row r="69" spans="1:13" s="17" customFormat="1" ht="16" thickTop="1" x14ac:dyDescent="0.35">
      <c r="A69" s="33">
        <f t="shared" si="0"/>
        <v>59</v>
      </c>
      <c r="B69" s="773"/>
      <c r="C69" s="769"/>
      <c r="D69" s="593"/>
      <c r="E69" s="776"/>
      <c r="F69" s="593"/>
      <c r="G69" s="593"/>
      <c r="H69" s="593"/>
      <c r="I69" s="593"/>
      <c r="J69" s="765"/>
      <c r="K69" s="33">
        <f t="shared" si="3"/>
        <v>59</v>
      </c>
    </row>
    <row r="70" spans="1:13" s="17" customFormat="1" x14ac:dyDescent="0.35">
      <c r="A70" s="33">
        <f t="shared" si="0"/>
        <v>60</v>
      </c>
      <c r="B70" s="773"/>
      <c r="C70" s="769"/>
      <c r="D70" s="593"/>
      <c r="E70" s="776"/>
      <c r="F70" s="593"/>
      <c r="G70" s="593"/>
      <c r="H70" s="593"/>
      <c r="I70" s="593"/>
      <c r="J70" s="765"/>
      <c r="K70" s="33">
        <f t="shared" si="3"/>
        <v>60</v>
      </c>
    </row>
    <row r="71" spans="1:13" s="17" customFormat="1" x14ac:dyDescent="0.35">
      <c r="A71" s="33">
        <f t="shared" si="0"/>
        <v>61</v>
      </c>
      <c r="B71" s="63" t="s">
        <v>27</v>
      </c>
      <c r="C71" s="588" t="s">
        <v>816</v>
      </c>
      <c r="D71" s="593"/>
      <c r="E71" s="776"/>
      <c r="F71" s="593"/>
      <c r="G71" s="593"/>
      <c r="H71" s="593"/>
      <c r="I71" s="593"/>
      <c r="J71" s="765"/>
      <c r="K71" s="33">
        <f t="shared" si="3"/>
        <v>61</v>
      </c>
    </row>
    <row r="72" spans="1:13" s="17" customFormat="1" ht="18.5" x14ac:dyDescent="0.35">
      <c r="A72" s="33">
        <f t="shared" si="0"/>
        <v>62</v>
      </c>
      <c r="B72" s="777">
        <v>1</v>
      </c>
      <c r="C72" s="769" t="s">
        <v>759</v>
      </c>
      <c r="D72" s="593"/>
      <c r="E72" s="27"/>
      <c r="F72" s="593"/>
      <c r="G72" s="593"/>
      <c r="H72" s="593"/>
      <c r="I72" s="593"/>
      <c r="J72" s="765"/>
      <c r="K72" s="33">
        <f t="shared" si="3"/>
        <v>62</v>
      </c>
      <c r="M72" s="382"/>
    </row>
    <row r="73" spans="1:13" s="17" customFormat="1" ht="18.5" x14ac:dyDescent="0.35">
      <c r="A73" s="33">
        <f t="shared" si="0"/>
        <v>63</v>
      </c>
      <c r="B73" s="777"/>
      <c r="C73" s="769" t="s">
        <v>760</v>
      </c>
      <c r="D73" s="593"/>
      <c r="E73" s="27"/>
      <c r="F73" s="593"/>
      <c r="G73" s="593"/>
      <c r="H73" s="593"/>
      <c r="I73" s="593"/>
      <c r="J73" s="765"/>
      <c r="K73" s="33">
        <f t="shared" si="3"/>
        <v>63</v>
      </c>
      <c r="M73" s="382"/>
    </row>
    <row r="74" spans="1:13" s="17" customFormat="1" ht="18.5" x14ac:dyDescent="0.35">
      <c r="A74" s="33">
        <f t="shared" si="0"/>
        <v>64</v>
      </c>
      <c r="B74" s="777">
        <v>2</v>
      </c>
      <c r="C74" s="769" t="s">
        <v>761</v>
      </c>
      <c r="E74" s="27"/>
      <c r="J74" s="765"/>
      <c r="K74" s="33">
        <f t="shared" si="3"/>
        <v>64</v>
      </c>
    </row>
    <row r="75" spans="1:13" s="17" customFormat="1" ht="18.5" x14ac:dyDescent="0.35">
      <c r="A75" s="33">
        <f t="shared" si="0"/>
        <v>65</v>
      </c>
      <c r="B75" s="777">
        <v>3</v>
      </c>
      <c r="C75" s="769" t="s">
        <v>802</v>
      </c>
      <c r="E75" s="27"/>
      <c r="J75" s="765"/>
      <c r="K75" s="33">
        <f t="shared" si="3"/>
        <v>65</v>
      </c>
    </row>
    <row r="76" spans="1:13" s="17" customFormat="1" ht="18.5" x14ac:dyDescent="0.35">
      <c r="A76" s="33">
        <f t="shared" si="0"/>
        <v>66</v>
      </c>
      <c r="B76" s="777"/>
      <c r="C76" s="769" t="s">
        <v>762</v>
      </c>
      <c r="E76" s="27"/>
      <c r="J76" s="765"/>
      <c r="K76" s="33">
        <f t="shared" si="3"/>
        <v>66</v>
      </c>
    </row>
    <row r="77" spans="1:13" s="17" customFormat="1" ht="18" x14ac:dyDescent="0.35">
      <c r="A77" s="33">
        <f t="shared" si="0"/>
        <v>67</v>
      </c>
      <c r="B77" s="538">
        <v>4</v>
      </c>
      <c r="C77" s="769" t="s">
        <v>804</v>
      </c>
      <c r="E77" s="27"/>
      <c r="J77" s="765"/>
      <c r="K77" s="33">
        <f t="shared" si="3"/>
        <v>67</v>
      </c>
    </row>
    <row r="78" spans="1:13" ht="16" thickBot="1" x14ac:dyDescent="0.4">
      <c r="A78" s="33">
        <f t="shared" ref="A78" si="8">A77+1</f>
        <v>68</v>
      </c>
      <c r="B78" s="778"/>
      <c r="C78" s="77"/>
      <c r="D78" s="77"/>
      <c r="E78" s="709"/>
      <c r="F78" s="77"/>
      <c r="G78" s="77"/>
      <c r="H78" s="77"/>
      <c r="I78" s="77"/>
      <c r="J78" s="758"/>
      <c r="K78" s="33">
        <f t="shared" ref="K78" si="9">K77+1</f>
        <v>68</v>
      </c>
    </row>
    <row r="79" spans="1:13" x14ac:dyDescent="0.35">
      <c r="A79" s="33"/>
      <c r="B79" s="779"/>
    </row>
    <row r="80" spans="1:13" ht="18" x14ac:dyDescent="0.35">
      <c r="A80" s="33"/>
      <c r="B80" s="282"/>
      <c r="C80" s="17"/>
      <c r="D80" s="156"/>
      <c r="E80" s="156"/>
      <c r="F80" s="156"/>
      <c r="G80" s="156"/>
      <c r="H80" s="156"/>
      <c r="I80" s="156"/>
    </row>
    <row r="81" spans="1:9" ht="18" x14ac:dyDescent="0.35">
      <c r="A81" s="33"/>
      <c r="B81" s="282"/>
      <c r="C81" s="244"/>
      <c r="D81" s="156"/>
      <c r="E81" s="156"/>
      <c r="F81" s="156"/>
      <c r="G81" s="156"/>
      <c r="H81" s="156"/>
      <c r="I81" s="156"/>
    </row>
    <row r="82" spans="1:9" ht="18" x14ac:dyDescent="0.35">
      <c r="A82" s="33"/>
      <c r="B82" s="282"/>
      <c r="C82" s="244"/>
      <c r="D82" s="156"/>
      <c r="E82" s="156"/>
      <c r="F82" s="156"/>
      <c r="G82" s="156"/>
      <c r="H82" s="156"/>
      <c r="I82" s="156"/>
    </row>
    <row r="83" spans="1:9" x14ac:dyDescent="0.35">
      <c r="A83" s="33"/>
      <c r="B83" s="779"/>
    </row>
    <row r="84" spans="1:9" x14ac:dyDescent="0.35">
      <c r="A84" s="33"/>
      <c r="B84" s="779"/>
    </row>
    <row r="85" spans="1:9" x14ac:dyDescent="0.35">
      <c r="A85" s="33"/>
      <c r="B85" s="779"/>
    </row>
    <row r="86" spans="1:9" x14ac:dyDescent="0.35">
      <c r="A86" s="33"/>
      <c r="B86" s="779"/>
    </row>
    <row r="87" spans="1:9" x14ac:dyDescent="0.35">
      <c r="A87" s="33"/>
      <c r="B87" s="779"/>
    </row>
    <row r="88" spans="1:9" x14ac:dyDescent="0.35">
      <c r="A88" s="33"/>
      <c r="B88" s="779"/>
    </row>
    <row r="89" spans="1:9" x14ac:dyDescent="0.35">
      <c r="A89" s="33"/>
      <c r="B89" s="779"/>
    </row>
    <row r="90" spans="1:9" x14ac:dyDescent="0.35">
      <c r="A90" s="33"/>
      <c r="B90" s="779"/>
    </row>
    <row r="91" spans="1:9" x14ac:dyDescent="0.35">
      <c r="A91" s="33"/>
      <c r="B91" s="779"/>
    </row>
    <row r="92" spans="1:9" x14ac:dyDescent="0.35">
      <c r="A92" s="33"/>
      <c r="B92" s="779"/>
      <c r="E92" s="34"/>
    </row>
    <row r="93" spans="1:9" x14ac:dyDescent="0.35">
      <c r="A93" s="33"/>
      <c r="B93" s="779"/>
      <c r="E93" s="34"/>
    </row>
    <row r="94" spans="1:9" x14ac:dyDescent="0.35">
      <c r="A94" s="33"/>
      <c r="B94" s="779"/>
      <c r="E94" s="34"/>
    </row>
    <row r="95" spans="1:9" x14ac:dyDescent="0.35">
      <c r="A95" s="33"/>
      <c r="B95" s="779"/>
      <c r="E95" s="34"/>
    </row>
    <row r="96" spans="1:9" x14ac:dyDescent="0.35">
      <c r="A96" s="33"/>
      <c r="B96" s="779"/>
      <c r="E96" s="34"/>
    </row>
    <row r="97" spans="1:5" x14ac:dyDescent="0.35">
      <c r="A97" s="33"/>
      <c r="B97" s="779"/>
      <c r="E97" s="34"/>
    </row>
    <row r="98" spans="1:5" x14ac:dyDescent="0.35">
      <c r="A98" s="33"/>
      <c r="B98" s="779"/>
      <c r="E98" s="34"/>
    </row>
    <row r="99" spans="1:5" x14ac:dyDescent="0.35">
      <c r="A99" s="33"/>
      <c r="B99" s="779"/>
      <c r="E99" s="34"/>
    </row>
    <row r="100" spans="1:5" x14ac:dyDescent="0.35">
      <c r="A100" s="33"/>
      <c r="B100" s="779"/>
      <c r="E100" s="34"/>
    </row>
    <row r="101" spans="1:5" x14ac:dyDescent="0.35">
      <c r="A101" s="33"/>
      <c r="B101" s="779"/>
      <c r="E101" s="34"/>
    </row>
    <row r="102" spans="1:5" x14ac:dyDescent="0.35">
      <c r="A102" s="33"/>
      <c r="B102" s="779"/>
      <c r="E102" s="34"/>
    </row>
    <row r="103" spans="1:5" x14ac:dyDescent="0.35">
      <c r="A103" s="33"/>
      <c r="B103" s="779"/>
      <c r="E103" s="34"/>
    </row>
    <row r="104" spans="1:5" x14ac:dyDescent="0.35">
      <c r="A104" s="33"/>
      <c r="B104" s="779"/>
      <c r="E104" s="34"/>
    </row>
    <row r="105" spans="1:5" x14ac:dyDescent="0.35">
      <c r="A105" s="33"/>
      <c r="B105" s="779"/>
      <c r="E105" s="34"/>
    </row>
    <row r="106" spans="1:5" x14ac:dyDescent="0.35">
      <c r="B106" s="779"/>
      <c r="E106" s="34"/>
    </row>
    <row r="107" spans="1:5" x14ac:dyDescent="0.35">
      <c r="B107" s="779"/>
      <c r="E107" s="34"/>
    </row>
    <row r="108" spans="1:5" x14ac:dyDescent="0.35">
      <c r="B108" s="779"/>
      <c r="E108" s="34"/>
    </row>
    <row r="109" spans="1:5" x14ac:dyDescent="0.35">
      <c r="B109" s="779"/>
      <c r="E109" s="34"/>
    </row>
    <row r="110" spans="1:5" x14ac:dyDescent="0.35">
      <c r="B110" s="779"/>
      <c r="E110" s="34"/>
    </row>
    <row r="111" spans="1:5" x14ac:dyDescent="0.35">
      <c r="B111" s="779"/>
      <c r="E111" s="34"/>
    </row>
    <row r="112" spans="1:5" x14ac:dyDescent="0.35">
      <c r="B112" s="779"/>
      <c r="E112" s="34"/>
    </row>
    <row r="113" spans="2:5" x14ac:dyDescent="0.35">
      <c r="B113" s="779"/>
      <c r="E113" s="34"/>
    </row>
    <row r="114" spans="2:5" x14ac:dyDescent="0.35">
      <c r="B114" s="779"/>
      <c r="E114" s="34"/>
    </row>
    <row r="115" spans="2:5" x14ac:dyDescent="0.35">
      <c r="B115" s="779"/>
      <c r="E115" s="34"/>
    </row>
    <row r="116" spans="2:5" x14ac:dyDescent="0.35">
      <c r="B116" s="779"/>
      <c r="E116" s="34"/>
    </row>
    <row r="117" spans="2:5" x14ac:dyDescent="0.35">
      <c r="B117" s="779"/>
      <c r="E117" s="34"/>
    </row>
    <row r="118" spans="2:5" x14ac:dyDescent="0.35">
      <c r="B118" s="779"/>
      <c r="E118" s="34"/>
    </row>
    <row r="119" spans="2:5" x14ac:dyDescent="0.35">
      <c r="B119" s="779"/>
      <c r="E119" s="34"/>
    </row>
    <row r="120" spans="2:5" x14ac:dyDescent="0.35">
      <c r="B120" s="779"/>
      <c r="E120" s="34"/>
    </row>
    <row r="121" spans="2:5" x14ac:dyDescent="0.35">
      <c r="B121" s="779"/>
      <c r="E121" s="34"/>
    </row>
    <row r="122" spans="2:5" x14ac:dyDescent="0.35">
      <c r="B122" s="779"/>
      <c r="E122" s="34"/>
    </row>
    <row r="123" spans="2:5" x14ac:dyDescent="0.35">
      <c r="B123" s="779"/>
      <c r="E123" s="34"/>
    </row>
    <row r="124" spans="2:5" x14ac:dyDescent="0.35">
      <c r="B124" s="779"/>
      <c r="E124" s="34"/>
    </row>
    <row r="125" spans="2:5" x14ac:dyDescent="0.35">
      <c r="B125" s="779"/>
      <c r="E125" s="34"/>
    </row>
    <row r="126" spans="2:5" x14ac:dyDescent="0.35">
      <c r="B126" s="779"/>
      <c r="E126" s="34"/>
    </row>
    <row r="127" spans="2:5" x14ac:dyDescent="0.35">
      <c r="B127" s="779"/>
      <c r="E127" s="34"/>
    </row>
    <row r="128" spans="2:5" x14ac:dyDescent="0.35">
      <c r="B128" s="779"/>
      <c r="E128" s="34"/>
    </row>
    <row r="129" spans="2:5" x14ac:dyDescent="0.35">
      <c r="B129" s="779"/>
      <c r="E129" s="34"/>
    </row>
    <row r="130" spans="2:5" x14ac:dyDescent="0.35">
      <c r="B130" s="779"/>
      <c r="E130" s="34"/>
    </row>
    <row r="131" spans="2:5" x14ac:dyDescent="0.35">
      <c r="B131" s="779"/>
      <c r="E131" s="34"/>
    </row>
    <row r="132" spans="2:5" x14ac:dyDescent="0.35">
      <c r="B132" s="779"/>
      <c r="E132" s="34"/>
    </row>
    <row r="133" spans="2:5" x14ac:dyDescent="0.35">
      <c r="B133" s="779"/>
      <c r="E133" s="34"/>
    </row>
    <row r="134" spans="2:5" x14ac:dyDescent="0.35">
      <c r="B134" s="779"/>
      <c r="E134" s="34"/>
    </row>
    <row r="135" spans="2:5" x14ac:dyDescent="0.35">
      <c r="B135" s="779"/>
      <c r="E135" s="34"/>
    </row>
    <row r="136" spans="2:5" x14ac:dyDescent="0.35">
      <c r="B136" s="779"/>
      <c r="E136" s="34"/>
    </row>
    <row r="137" spans="2:5" x14ac:dyDescent="0.35">
      <c r="B137" s="779"/>
      <c r="E137" s="34"/>
    </row>
    <row r="138" spans="2:5" x14ac:dyDescent="0.35">
      <c r="B138" s="779"/>
      <c r="E138" s="34"/>
    </row>
    <row r="139" spans="2:5" x14ac:dyDescent="0.35">
      <c r="B139" s="779"/>
      <c r="E139" s="34"/>
    </row>
    <row r="140" spans="2:5" x14ac:dyDescent="0.35">
      <c r="B140" s="779"/>
      <c r="E140" s="34"/>
    </row>
    <row r="141" spans="2:5" x14ac:dyDescent="0.35">
      <c r="B141" s="779"/>
      <c r="E141" s="34"/>
    </row>
    <row r="142" spans="2:5" x14ac:dyDescent="0.35">
      <c r="B142" s="779"/>
      <c r="E142" s="34"/>
    </row>
    <row r="143" spans="2:5" x14ac:dyDescent="0.35">
      <c r="B143" s="779"/>
      <c r="E143" s="34"/>
    </row>
    <row r="144" spans="2:5" x14ac:dyDescent="0.35">
      <c r="B144" s="779"/>
      <c r="E144" s="34"/>
    </row>
    <row r="145" spans="2:5" x14ac:dyDescent="0.35">
      <c r="B145" s="779"/>
      <c r="E145" s="34"/>
    </row>
    <row r="146" spans="2:5" x14ac:dyDescent="0.35">
      <c r="B146" s="779"/>
      <c r="E146" s="34"/>
    </row>
    <row r="147" spans="2:5" x14ac:dyDescent="0.35">
      <c r="B147" s="779"/>
      <c r="E147" s="34"/>
    </row>
    <row r="148" spans="2:5" x14ac:dyDescent="0.35">
      <c r="B148" s="779"/>
      <c r="E148" s="34"/>
    </row>
    <row r="149" spans="2:5" x14ac:dyDescent="0.35">
      <c r="B149" s="779"/>
      <c r="E149" s="34"/>
    </row>
    <row r="150" spans="2:5" x14ac:dyDescent="0.35">
      <c r="B150" s="779"/>
      <c r="E150" s="34"/>
    </row>
    <row r="151" spans="2:5" x14ac:dyDescent="0.35">
      <c r="B151" s="779"/>
      <c r="E151" s="34"/>
    </row>
    <row r="152" spans="2:5" x14ac:dyDescent="0.35">
      <c r="B152" s="779"/>
      <c r="E152" s="34"/>
    </row>
    <row r="153" spans="2:5" x14ac:dyDescent="0.35">
      <c r="B153" s="779"/>
      <c r="E153" s="34"/>
    </row>
    <row r="154" spans="2:5" x14ac:dyDescent="0.35">
      <c r="B154" s="779"/>
      <c r="E154" s="34"/>
    </row>
    <row r="155" spans="2:5" x14ac:dyDescent="0.35">
      <c r="B155" s="779"/>
      <c r="E155" s="34"/>
    </row>
    <row r="156" spans="2:5" x14ac:dyDescent="0.35">
      <c r="B156" s="779"/>
      <c r="E156" s="34"/>
    </row>
    <row r="157" spans="2:5" x14ac:dyDescent="0.35">
      <c r="B157" s="779"/>
      <c r="E157" s="34"/>
    </row>
    <row r="158" spans="2:5" x14ac:dyDescent="0.35">
      <c r="B158" s="779"/>
      <c r="E158" s="34"/>
    </row>
    <row r="159" spans="2:5" x14ac:dyDescent="0.35">
      <c r="B159" s="779"/>
      <c r="E159" s="34"/>
    </row>
    <row r="160" spans="2:5" x14ac:dyDescent="0.35">
      <c r="B160" s="779"/>
      <c r="E160" s="34"/>
    </row>
    <row r="161" spans="2:5" x14ac:dyDescent="0.35">
      <c r="B161" s="779"/>
      <c r="E161" s="34"/>
    </row>
    <row r="162" spans="2:5" x14ac:dyDescent="0.35">
      <c r="B162" s="779"/>
      <c r="E162" s="34"/>
    </row>
    <row r="163" spans="2:5" x14ac:dyDescent="0.35">
      <c r="B163" s="779"/>
      <c r="E163" s="34"/>
    </row>
    <row r="164" spans="2:5" x14ac:dyDescent="0.35">
      <c r="B164" s="779"/>
      <c r="E164" s="34"/>
    </row>
    <row r="165" spans="2:5" x14ac:dyDescent="0.35">
      <c r="B165" s="779"/>
      <c r="E165" s="34"/>
    </row>
    <row r="166" spans="2:5" x14ac:dyDescent="0.35">
      <c r="B166" s="779"/>
      <c r="E166" s="34"/>
    </row>
    <row r="167" spans="2:5" x14ac:dyDescent="0.35">
      <c r="B167" s="779"/>
      <c r="E167" s="34"/>
    </row>
    <row r="168" spans="2:5" x14ac:dyDescent="0.35">
      <c r="B168" s="779"/>
      <c r="E168" s="34"/>
    </row>
    <row r="169" spans="2:5" x14ac:dyDescent="0.35">
      <c r="B169" s="779"/>
      <c r="E169" s="34"/>
    </row>
    <row r="170" spans="2:5" x14ac:dyDescent="0.35">
      <c r="B170" s="779"/>
      <c r="E170" s="34"/>
    </row>
    <row r="171" spans="2:5" x14ac:dyDescent="0.35">
      <c r="B171" s="779"/>
      <c r="E171" s="34"/>
    </row>
    <row r="172" spans="2:5" x14ac:dyDescent="0.35">
      <c r="B172" s="779"/>
      <c r="E172" s="34"/>
    </row>
    <row r="173" spans="2:5" x14ac:dyDescent="0.35">
      <c r="B173" s="779"/>
      <c r="E173" s="34"/>
    </row>
    <row r="174" spans="2:5" x14ac:dyDescent="0.35">
      <c r="B174" s="779"/>
      <c r="E174" s="34"/>
    </row>
    <row r="175" spans="2:5" x14ac:dyDescent="0.35">
      <c r="B175" s="779"/>
      <c r="E175" s="34"/>
    </row>
    <row r="176" spans="2:5" x14ac:dyDescent="0.35">
      <c r="B176" s="779"/>
      <c r="E176" s="34"/>
    </row>
    <row r="177" spans="2:5" x14ac:dyDescent="0.35">
      <c r="B177" s="779"/>
      <c r="E177" s="34"/>
    </row>
    <row r="178" spans="2:5" x14ac:dyDescent="0.35">
      <c r="B178" s="779"/>
      <c r="E178" s="34"/>
    </row>
    <row r="179" spans="2:5" x14ac:dyDescent="0.35">
      <c r="B179" s="779"/>
      <c r="E179" s="34"/>
    </row>
    <row r="180" spans="2:5" x14ac:dyDescent="0.35">
      <c r="B180" s="779"/>
      <c r="E180" s="34"/>
    </row>
    <row r="181" spans="2:5" x14ac:dyDescent="0.35">
      <c r="B181" s="779"/>
      <c r="E181" s="34"/>
    </row>
    <row r="182" spans="2:5" x14ac:dyDescent="0.35">
      <c r="B182" s="779"/>
      <c r="E182" s="34"/>
    </row>
    <row r="183" spans="2:5" x14ac:dyDescent="0.35">
      <c r="B183" s="779"/>
      <c r="E183" s="34"/>
    </row>
    <row r="184" spans="2:5" x14ac:dyDescent="0.35">
      <c r="B184" s="779"/>
      <c r="E184" s="34"/>
    </row>
    <row r="185" spans="2:5" x14ac:dyDescent="0.35">
      <c r="B185" s="779"/>
      <c r="E185" s="34"/>
    </row>
    <row r="186" spans="2:5" x14ac:dyDescent="0.35">
      <c r="B186" s="779"/>
      <c r="E186" s="34"/>
    </row>
    <row r="187" spans="2:5" x14ac:dyDescent="0.35">
      <c r="B187" s="779"/>
      <c r="E187" s="34"/>
    </row>
    <row r="188" spans="2:5" x14ac:dyDescent="0.35">
      <c r="B188" s="779"/>
      <c r="E188" s="34"/>
    </row>
    <row r="189" spans="2:5" x14ac:dyDescent="0.35">
      <c r="B189" s="779"/>
      <c r="E189" s="34"/>
    </row>
    <row r="190" spans="2:5" x14ac:dyDescent="0.35">
      <c r="B190" s="779"/>
      <c r="E190" s="34"/>
    </row>
    <row r="191" spans="2:5" x14ac:dyDescent="0.35">
      <c r="B191" s="779"/>
      <c r="E191" s="34"/>
    </row>
    <row r="192" spans="2:5" x14ac:dyDescent="0.35">
      <c r="B192" s="779"/>
      <c r="E192" s="34"/>
    </row>
    <row r="193" spans="2:5" x14ac:dyDescent="0.35">
      <c r="B193" s="779"/>
      <c r="E193" s="34"/>
    </row>
    <row r="194" spans="2:5" x14ac:dyDescent="0.35">
      <c r="B194" s="779"/>
      <c r="E194" s="34"/>
    </row>
    <row r="195" spans="2:5" x14ac:dyDescent="0.35">
      <c r="B195" s="779"/>
      <c r="E195" s="34"/>
    </row>
    <row r="196" spans="2:5" x14ac:dyDescent="0.35">
      <c r="B196" s="779"/>
      <c r="E196" s="34"/>
    </row>
    <row r="197" spans="2:5" x14ac:dyDescent="0.35">
      <c r="B197" s="779"/>
      <c r="E197" s="34"/>
    </row>
    <row r="198" spans="2:5" x14ac:dyDescent="0.35">
      <c r="B198" s="779"/>
      <c r="E198" s="34"/>
    </row>
    <row r="199" spans="2:5" x14ac:dyDescent="0.35">
      <c r="B199" s="779"/>
      <c r="E199" s="34"/>
    </row>
    <row r="200" spans="2:5" x14ac:dyDescent="0.35">
      <c r="B200" s="779"/>
      <c r="E200" s="34"/>
    </row>
    <row r="201" spans="2:5" x14ac:dyDescent="0.35">
      <c r="B201" s="779"/>
      <c r="E201" s="34"/>
    </row>
    <row r="202" spans="2:5" x14ac:dyDescent="0.35">
      <c r="B202" s="779"/>
      <c r="E202" s="34"/>
    </row>
    <row r="203" spans="2:5" x14ac:dyDescent="0.35">
      <c r="B203" s="779"/>
      <c r="E203" s="34"/>
    </row>
    <row r="204" spans="2:5" x14ac:dyDescent="0.35">
      <c r="B204" s="779"/>
      <c r="E204" s="34"/>
    </row>
    <row r="205" spans="2:5" x14ac:dyDescent="0.35">
      <c r="B205" s="779"/>
      <c r="E205" s="34"/>
    </row>
    <row r="206" spans="2:5" x14ac:dyDescent="0.35">
      <c r="B206" s="779"/>
      <c r="E206" s="34"/>
    </row>
    <row r="207" spans="2:5" x14ac:dyDescent="0.35">
      <c r="B207" s="779"/>
      <c r="E207" s="34"/>
    </row>
    <row r="208" spans="2:5" x14ac:dyDescent="0.35">
      <c r="B208" s="779"/>
      <c r="E208" s="34"/>
    </row>
    <row r="209" spans="2:5" x14ac:dyDescent="0.35">
      <c r="B209" s="779"/>
      <c r="E209" s="34"/>
    </row>
    <row r="210" spans="2:5" x14ac:dyDescent="0.35">
      <c r="B210" s="779"/>
      <c r="E210" s="34"/>
    </row>
    <row r="211" spans="2:5" x14ac:dyDescent="0.35">
      <c r="B211" s="779"/>
      <c r="E211" s="34"/>
    </row>
    <row r="212" spans="2:5" x14ac:dyDescent="0.35">
      <c r="B212" s="779"/>
      <c r="E212" s="34"/>
    </row>
    <row r="213" spans="2:5" x14ac:dyDescent="0.35">
      <c r="B213" s="779"/>
      <c r="E213" s="34"/>
    </row>
    <row r="214" spans="2:5" x14ac:dyDescent="0.35">
      <c r="B214" s="779"/>
      <c r="E214" s="34"/>
    </row>
    <row r="215" spans="2:5" x14ac:dyDescent="0.35">
      <c r="B215" s="779"/>
      <c r="E215" s="34"/>
    </row>
    <row r="216" spans="2:5" x14ac:dyDescent="0.35">
      <c r="B216" s="779"/>
      <c r="E216" s="34"/>
    </row>
    <row r="217" spans="2:5" x14ac:dyDescent="0.35">
      <c r="B217" s="779"/>
      <c r="E217" s="34"/>
    </row>
    <row r="218" spans="2:5" x14ac:dyDescent="0.35">
      <c r="B218" s="779"/>
      <c r="E218" s="34"/>
    </row>
    <row r="219" spans="2:5" x14ac:dyDescent="0.35">
      <c r="B219" s="779"/>
      <c r="E219" s="34"/>
    </row>
    <row r="220" spans="2:5" x14ac:dyDescent="0.35">
      <c r="B220" s="779"/>
      <c r="E220" s="34"/>
    </row>
    <row r="221" spans="2:5" x14ac:dyDescent="0.35">
      <c r="B221" s="779"/>
      <c r="E221" s="34"/>
    </row>
    <row r="222" spans="2:5" x14ac:dyDescent="0.35">
      <c r="B222" s="779"/>
      <c r="E222" s="34"/>
    </row>
    <row r="223" spans="2:5" x14ac:dyDescent="0.35">
      <c r="B223" s="779"/>
      <c r="E223" s="34"/>
    </row>
    <row r="224" spans="2:5" x14ac:dyDescent="0.35">
      <c r="B224" s="779"/>
      <c r="E224" s="34"/>
    </row>
    <row r="225" spans="2:5" x14ac:dyDescent="0.35">
      <c r="B225" s="779"/>
      <c r="E225" s="34"/>
    </row>
    <row r="226" spans="2:5" x14ac:dyDescent="0.35">
      <c r="B226" s="779"/>
      <c r="E226" s="34"/>
    </row>
    <row r="227" spans="2:5" x14ac:dyDescent="0.35">
      <c r="B227" s="779"/>
      <c r="E227" s="34"/>
    </row>
    <row r="228" spans="2:5" x14ac:dyDescent="0.35">
      <c r="B228" s="779"/>
      <c r="E228" s="34"/>
    </row>
    <row r="229" spans="2:5" x14ac:dyDescent="0.35">
      <c r="B229" s="779"/>
      <c r="E229" s="34"/>
    </row>
    <row r="230" spans="2:5" x14ac:dyDescent="0.35">
      <c r="B230" s="779"/>
      <c r="E230" s="34"/>
    </row>
    <row r="231" spans="2:5" x14ac:dyDescent="0.35">
      <c r="B231" s="779"/>
      <c r="E231" s="34"/>
    </row>
    <row r="232" spans="2:5" x14ac:dyDescent="0.35">
      <c r="B232" s="779"/>
      <c r="E232" s="34"/>
    </row>
    <row r="233" spans="2:5" x14ac:dyDescent="0.35">
      <c r="B233" s="779"/>
      <c r="E233" s="34"/>
    </row>
    <row r="234" spans="2:5" x14ac:dyDescent="0.35">
      <c r="B234" s="779"/>
      <c r="E234" s="34"/>
    </row>
    <row r="235" spans="2:5" x14ac:dyDescent="0.35">
      <c r="B235" s="779"/>
      <c r="E235" s="34"/>
    </row>
    <row r="236" spans="2:5" x14ac:dyDescent="0.35">
      <c r="B236" s="779"/>
      <c r="E236" s="34"/>
    </row>
    <row r="237" spans="2:5" x14ac:dyDescent="0.35">
      <c r="B237" s="779"/>
      <c r="E237" s="34"/>
    </row>
    <row r="238" spans="2:5" x14ac:dyDescent="0.35">
      <c r="B238" s="779"/>
      <c r="E238" s="34"/>
    </row>
    <row r="239" spans="2:5" x14ac:dyDescent="0.35">
      <c r="B239" s="779"/>
      <c r="E239" s="34"/>
    </row>
    <row r="240" spans="2:5" x14ac:dyDescent="0.35">
      <c r="B240" s="779"/>
      <c r="E240" s="34"/>
    </row>
    <row r="241" spans="2:5" x14ac:dyDescent="0.35">
      <c r="B241" s="779"/>
      <c r="E241" s="34"/>
    </row>
    <row r="242" spans="2:5" x14ac:dyDescent="0.35">
      <c r="B242" s="779"/>
      <c r="E242" s="34"/>
    </row>
    <row r="243" spans="2:5" x14ac:dyDescent="0.35">
      <c r="B243" s="779"/>
      <c r="E243" s="34"/>
    </row>
    <row r="244" spans="2:5" x14ac:dyDescent="0.35">
      <c r="B244" s="779"/>
      <c r="E244" s="34"/>
    </row>
    <row r="245" spans="2:5" x14ac:dyDescent="0.35">
      <c r="B245" s="779"/>
      <c r="E245" s="34"/>
    </row>
    <row r="246" spans="2:5" x14ac:dyDescent="0.35">
      <c r="B246" s="779"/>
      <c r="E246" s="34"/>
    </row>
    <row r="247" spans="2:5" x14ac:dyDescent="0.35">
      <c r="B247" s="779"/>
      <c r="E247" s="34"/>
    </row>
    <row r="248" spans="2:5" x14ac:dyDescent="0.35">
      <c r="B248" s="779"/>
      <c r="E248" s="34"/>
    </row>
    <row r="249" spans="2:5" x14ac:dyDescent="0.35">
      <c r="B249" s="779"/>
      <c r="E249" s="34"/>
    </row>
    <row r="250" spans="2:5" x14ac:dyDescent="0.35">
      <c r="B250" s="779"/>
      <c r="E250" s="34"/>
    </row>
    <row r="251" spans="2:5" x14ac:dyDescent="0.35">
      <c r="B251" s="779"/>
      <c r="E251" s="34"/>
    </row>
    <row r="252" spans="2:5" x14ac:dyDescent="0.35">
      <c r="B252" s="779"/>
      <c r="E252" s="34"/>
    </row>
    <row r="253" spans="2:5" x14ac:dyDescent="0.35">
      <c r="B253" s="779"/>
      <c r="E253" s="34"/>
    </row>
    <row r="254" spans="2:5" x14ac:dyDescent="0.35">
      <c r="B254" s="779"/>
      <c r="E254" s="34"/>
    </row>
    <row r="255" spans="2:5" x14ac:dyDescent="0.35">
      <c r="B255" s="779"/>
      <c r="E255" s="34"/>
    </row>
    <row r="256" spans="2:5" x14ac:dyDescent="0.35">
      <c r="B256" s="779"/>
      <c r="E256" s="34"/>
    </row>
    <row r="257" spans="2:5" x14ac:dyDescent="0.35">
      <c r="B257" s="779"/>
      <c r="E257" s="34"/>
    </row>
    <row r="258" spans="2:5" x14ac:dyDescent="0.35">
      <c r="B258" s="779"/>
      <c r="E258" s="34"/>
    </row>
    <row r="259" spans="2:5" x14ac:dyDescent="0.35">
      <c r="B259" s="779"/>
      <c r="E259" s="34"/>
    </row>
    <row r="260" spans="2:5" x14ac:dyDescent="0.35">
      <c r="B260" s="779"/>
      <c r="E260" s="34"/>
    </row>
    <row r="261" spans="2:5" x14ac:dyDescent="0.35">
      <c r="B261" s="779"/>
      <c r="E261" s="34"/>
    </row>
    <row r="262" spans="2:5" x14ac:dyDescent="0.35">
      <c r="B262" s="779"/>
      <c r="E262" s="34"/>
    </row>
    <row r="263" spans="2:5" x14ac:dyDescent="0.35">
      <c r="B263" s="779"/>
      <c r="E263" s="34"/>
    </row>
    <row r="264" spans="2:5" x14ac:dyDescent="0.35">
      <c r="B264" s="779"/>
      <c r="E264" s="34"/>
    </row>
    <row r="265" spans="2:5" x14ac:dyDescent="0.35">
      <c r="B265" s="779"/>
      <c r="E265" s="34"/>
    </row>
    <row r="266" spans="2:5" x14ac:dyDescent="0.35">
      <c r="B266" s="779"/>
      <c r="E266" s="34"/>
    </row>
    <row r="267" spans="2:5" x14ac:dyDescent="0.35">
      <c r="B267" s="779"/>
      <c r="E267" s="34"/>
    </row>
    <row r="268" spans="2:5" x14ac:dyDescent="0.35">
      <c r="B268" s="779"/>
      <c r="E268" s="34"/>
    </row>
    <row r="269" spans="2:5" x14ac:dyDescent="0.35">
      <c r="B269" s="779"/>
      <c r="E269" s="34"/>
    </row>
    <row r="270" spans="2:5" x14ac:dyDescent="0.35">
      <c r="B270" s="779"/>
      <c r="E270" s="34"/>
    </row>
    <row r="271" spans="2:5" x14ac:dyDescent="0.35">
      <c r="B271" s="779"/>
      <c r="E271" s="34"/>
    </row>
    <row r="272" spans="2:5" x14ac:dyDescent="0.35">
      <c r="B272" s="779"/>
      <c r="E272" s="34"/>
    </row>
    <row r="273" spans="2:5" x14ac:dyDescent="0.35">
      <c r="B273" s="779"/>
      <c r="E273" s="34"/>
    </row>
    <row r="274" spans="2:5" x14ac:dyDescent="0.35">
      <c r="B274" s="779"/>
      <c r="E274" s="34"/>
    </row>
    <row r="275" spans="2:5" x14ac:dyDescent="0.35">
      <c r="B275" s="779"/>
      <c r="E275" s="34"/>
    </row>
    <row r="276" spans="2:5" x14ac:dyDescent="0.35">
      <c r="B276" s="779"/>
      <c r="E276" s="34"/>
    </row>
    <row r="277" spans="2:5" x14ac:dyDescent="0.35">
      <c r="B277" s="779"/>
      <c r="E277" s="34"/>
    </row>
    <row r="278" spans="2:5" x14ac:dyDescent="0.35">
      <c r="B278" s="779"/>
      <c r="E278" s="34"/>
    </row>
    <row r="279" spans="2:5" x14ac:dyDescent="0.35">
      <c r="B279" s="779"/>
      <c r="E279" s="34"/>
    </row>
    <row r="280" spans="2:5" x14ac:dyDescent="0.35">
      <c r="B280" s="779"/>
      <c r="E280" s="34"/>
    </row>
    <row r="281" spans="2:5" x14ac:dyDescent="0.35">
      <c r="B281" s="779"/>
      <c r="E281" s="34"/>
    </row>
    <row r="282" spans="2:5" x14ac:dyDescent="0.35">
      <c r="B282" s="779"/>
      <c r="E282" s="34"/>
    </row>
    <row r="283" spans="2:5" x14ac:dyDescent="0.35">
      <c r="B283" s="779"/>
      <c r="E283" s="34"/>
    </row>
    <row r="284" spans="2:5" x14ac:dyDescent="0.35">
      <c r="B284" s="779"/>
      <c r="E284" s="34"/>
    </row>
    <row r="285" spans="2:5" x14ac:dyDescent="0.35">
      <c r="B285" s="779"/>
      <c r="E285" s="34"/>
    </row>
    <row r="286" spans="2:5" x14ac:dyDescent="0.35">
      <c r="B286" s="779"/>
      <c r="E286" s="34"/>
    </row>
    <row r="287" spans="2:5" x14ac:dyDescent="0.35">
      <c r="B287" s="779"/>
      <c r="E287" s="34"/>
    </row>
    <row r="288" spans="2:5" x14ac:dyDescent="0.35">
      <c r="B288" s="779"/>
      <c r="E288" s="34"/>
    </row>
    <row r="289" spans="2:5" x14ac:dyDescent="0.35">
      <c r="B289" s="779"/>
      <c r="E289" s="34"/>
    </row>
    <row r="290" spans="2:5" x14ac:dyDescent="0.35">
      <c r="B290" s="779"/>
      <c r="E290" s="34"/>
    </row>
    <row r="291" spans="2:5" x14ac:dyDescent="0.35">
      <c r="B291" s="779"/>
      <c r="E291" s="34"/>
    </row>
    <row r="292" spans="2:5" x14ac:dyDescent="0.35">
      <c r="B292" s="779"/>
      <c r="E292" s="34"/>
    </row>
    <row r="293" spans="2:5" x14ac:dyDescent="0.35">
      <c r="B293" s="779"/>
      <c r="E293" s="34"/>
    </row>
    <row r="294" spans="2:5" x14ac:dyDescent="0.35">
      <c r="B294" s="779"/>
      <c r="E294" s="34"/>
    </row>
    <row r="295" spans="2:5" x14ac:dyDescent="0.35">
      <c r="B295" s="779"/>
      <c r="E295" s="34"/>
    </row>
    <row r="296" spans="2:5" x14ac:dyDescent="0.35">
      <c r="B296" s="779"/>
      <c r="E296" s="34"/>
    </row>
    <row r="297" spans="2:5" x14ac:dyDescent="0.35">
      <c r="B297" s="779"/>
      <c r="E297" s="34"/>
    </row>
    <row r="298" spans="2:5" x14ac:dyDescent="0.35">
      <c r="B298" s="779"/>
      <c r="E298" s="34"/>
    </row>
    <row r="299" spans="2:5" x14ac:dyDescent="0.35">
      <c r="B299" s="779"/>
      <c r="E299" s="34"/>
    </row>
    <row r="300" spans="2:5" x14ac:dyDescent="0.35">
      <c r="B300" s="779"/>
      <c r="E300" s="34"/>
    </row>
    <row r="301" spans="2:5" x14ac:dyDescent="0.35">
      <c r="B301" s="779"/>
      <c r="E301" s="34"/>
    </row>
    <row r="302" spans="2:5" x14ac:dyDescent="0.35">
      <c r="B302" s="779"/>
      <c r="E302" s="34"/>
    </row>
    <row r="303" spans="2:5" x14ac:dyDescent="0.35">
      <c r="B303" s="779"/>
      <c r="E303" s="34"/>
    </row>
    <row r="304" spans="2:5" x14ac:dyDescent="0.35">
      <c r="B304" s="779"/>
      <c r="E304" s="34"/>
    </row>
    <row r="305" spans="2:5" x14ac:dyDescent="0.35">
      <c r="B305" s="779"/>
      <c r="E305" s="34"/>
    </row>
    <row r="306" spans="2:5" x14ac:dyDescent="0.35">
      <c r="B306" s="779"/>
      <c r="E306" s="34"/>
    </row>
    <row r="307" spans="2:5" x14ac:dyDescent="0.35">
      <c r="B307" s="779"/>
      <c r="E307" s="34"/>
    </row>
    <row r="308" spans="2:5" x14ac:dyDescent="0.35">
      <c r="B308" s="779"/>
      <c r="E308" s="34"/>
    </row>
    <row r="309" spans="2:5" x14ac:dyDescent="0.35">
      <c r="B309" s="779"/>
      <c r="E309" s="34"/>
    </row>
    <row r="310" spans="2:5" x14ac:dyDescent="0.35">
      <c r="B310" s="779"/>
      <c r="E310" s="34"/>
    </row>
    <row r="311" spans="2:5" x14ac:dyDescent="0.35">
      <c r="B311" s="779"/>
      <c r="E311" s="34"/>
    </row>
    <row r="312" spans="2:5" x14ac:dyDescent="0.35">
      <c r="B312" s="779"/>
      <c r="E312" s="34"/>
    </row>
    <row r="313" spans="2:5" x14ac:dyDescent="0.35">
      <c r="B313" s="779"/>
      <c r="E313" s="34"/>
    </row>
    <row r="314" spans="2:5" x14ac:dyDescent="0.35">
      <c r="B314" s="779"/>
      <c r="E314" s="34"/>
    </row>
    <row r="315" spans="2:5" x14ac:dyDescent="0.35">
      <c r="B315" s="779"/>
      <c r="E315" s="34"/>
    </row>
    <row r="316" spans="2:5" x14ac:dyDescent="0.35">
      <c r="B316" s="779"/>
      <c r="E316" s="34"/>
    </row>
    <row r="317" spans="2:5" x14ac:dyDescent="0.35">
      <c r="B317" s="779"/>
      <c r="E317" s="34"/>
    </row>
    <row r="318" spans="2:5" x14ac:dyDescent="0.35">
      <c r="B318" s="779"/>
      <c r="E318" s="34"/>
    </row>
    <row r="319" spans="2:5" x14ac:dyDescent="0.35">
      <c r="B319" s="779"/>
      <c r="E319" s="34"/>
    </row>
    <row r="320" spans="2:5" x14ac:dyDescent="0.35">
      <c r="B320" s="779"/>
      <c r="E320" s="34"/>
    </row>
    <row r="321" spans="2:5" x14ac:dyDescent="0.35">
      <c r="B321" s="779"/>
      <c r="E321" s="34"/>
    </row>
    <row r="322" spans="2:5" x14ac:dyDescent="0.35">
      <c r="B322" s="779"/>
      <c r="E322" s="34"/>
    </row>
    <row r="323" spans="2:5" x14ac:dyDescent="0.35">
      <c r="B323" s="779"/>
      <c r="E323" s="34"/>
    </row>
    <row r="324" spans="2:5" x14ac:dyDescent="0.35">
      <c r="B324" s="779"/>
      <c r="E324" s="34"/>
    </row>
    <row r="325" spans="2:5" x14ac:dyDescent="0.35">
      <c r="B325" s="779"/>
      <c r="E325" s="34"/>
    </row>
    <row r="326" spans="2:5" x14ac:dyDescent="0.35">
      <c r="B326" s="779"/>
      <c r="E326" s="34"/>
    </row>
    <row r="327" spans="2:5" x14ac:dyDescent="0.35">
      <c r="B327" s="779"/>
      <c r="E327" s="34"/>
    </row>
    <row r="328" spans="2:5" x14ac:dyDescent="0.35">
      <c r="B328" s="779"/>
      <c r="E328" s="34"/>
    </row>
    <row r="329" spans="2:5" x14ac:dyDescent="0.35">
      <c r="B329" s="779"/>
      <c r="E329" s="34"/>
    </row>
    <row r="330" spans="2:5" x14ac:dyDescent="0.35">
      <c r="B330" s="779"/>
      <c r="E330" s="34"/>
    </row>
    <row r="331" spans="2:5" x14ac:dyDescent="0.35">
      <c r="B331" s="779"/>
      <c r="E331" s="34"/>
    </row>
    <row r="332" spans="2:5" x14ac:dyDescent="0.35">
      <c r="B332" s="779"/>
      <c r="E332" s="34"/>
    </row>
    <row r="333" spans="2:5" x14ac:dyDescent="0.35">
      <c r="B333" s="779"/>
      <c r="E333" s="34"/>
    </row>
    <row r="334" spans="2:5" x14ac:dyDescent="0.35">
      <c r="B334" s="779"/>
      <c r="E334" s="34"/>
    </row>
    <row r="335" spans="2:5" x14ac:dyDescent="0.35">
      <c r="B335" s="779"/>
      <c r="E335" s="34"/>
    </row>
    <row r="336" spans="2:5" x14ac:dyDescent="0.35">
      <c r="B336" s="779"/>
      <c r="E336" s="34"/>
    </row>
    <row r="337" spans="2:5" x14ac:dyDescent="0.35">
      <c r="B337" s="779"/>
      <c r="E337" s="34"/>
    </row>
    <row r="338" spans="2:5" x14ac:dyDescent="0.35">
      <c r="B338" s="779"/>
      <c r="E338" s="34"/>
    </row>
    <row r="339" spans="2:5" x14ac:dyDescent="0.35">
      <c r="B339" s="779"/>
      <c r="E339" s="34"/>
    </row>
    <row r="340" spans="2:5" x14ac:dyDescent="0.35">
      <c r="B340" s="779"/>
      <c r="E340" s="34"/>
    </row>
    <row r="341" spans="2:5" x14ac:dyDescent="0.35">
      <c r="B341" s="779"/>
      <c r="E341" s="34"/>
    </row>
    <row r="342" spans="2:5" x14ac:dyDescent="0.35">
      <c r="B342" s="779"/>
      <c r="E342" s="34"/>
    </row>
    <row r="343" spans="2:5" x14ac:dyDescent="0.35">
      <c r="B343" s="779"/>
      <c r="E343" s="34"/>
    </row>
    <row r="344" spans="2:5" x14ac:dyDescent="0.35">
      <c r="B344" s="779"/>
      <c r="E344" s="34"/>
    </row>
    <row r="345" spans="2:5" x14ac:dyDescent="0.35">
      <c r="B345" s="779"/>
      <c r="E345" s="34"/>
    </row>
    <row r="346" spans="2:5" x14ac:dyDescent="0.35">
      <c r="B346" s="779"/>
      <c r="E346" s="34"/>
    </row>
    <row r="347" spans="2:5" x14ac:dyDescent="0.35">
      <c r="B347" s="779"/>
      <c r="E347" s="34"/>
    </row>
    <row r="348" spans="2:5" x14ac:dyDescent="0.35">
      <c r="B348" s="779"/>
      <c r="E348" s="34"/>
    </row>
    <row r="349" spans="2:5" x14ac:dyDescent="0.35">
      <c r="B349" s="779"/>
      <c r="E349" s="34"/>
    </row>
    <row r="350" spans="2:5" x14ac:dyDescent="0.35">
      <c r="B350" s="779"/>
      <c r="E350" s="34"/>
    </row>
    <row r="351" spans="2:5" x14ac:dyDescent="0.35">
      <c r="B351" s="779"/>
      <c r="E351" s="34"/>
    </row>
    <row r="352" spans="2:5" x14ac:dyDescent="0.35">
      <c r="B352" s="779"/>
      <c r="E352" s="34"/>
    </row>
    <row r="353" spans="2:5" x14ac:dyDescent="0.35">
      <c r="B353" s="779"/>
      <c r="E353" s="34"/>
    </row>
    <row r="354" spans="2:5" x14ac:dyDescent="0.35">
      <c r="B354" s="779"/>
      <c r="E354" s="34"/>
    </row>
    <row r="355" spans="2:5" x14ac:dyDescent="0.35">
      <c r="B355" s="779"/>
      <c r="E355" s="34"/>
    </row>
    <row r="356" spans="2:5" x14ac:dyDescent="0.35">
      <c r="B356" s="779"/>
      <c r="E356" s="34"/>
    </row>
    <row r="357" spans="2:5" x14ac:dyDescent="0.35">
      <c r="B357" s="779"/>
      <c r="E357" s="34"/>
    </row>
    <row r="358" spans="2:5" x14ac:dyDescent="0.35">
      <c r="B358" s="779"/>
      <c r="E358" s="34"/>
    </row>
    <row r="359" spans="2:5" x14ac:dyDescent="0.35">
      <c r="B359" s="779"/>
      <c r="E359" s="34"/>
    </row>
    <row r="360" spans="2:5" x14ac:dyDescent="0.35">
      <c r="B360" s="779"/>
      <c r="E360" s="34"/>
    </row>
    <row r="361" spans="2:5" x14ac:dyDescent="0.35">
      <c r="B361" s="779"/>
      <c r="E361" s="34"/>
    </row>
    <row r="362" spans="2:5" x14ac:dyDescent="0.35">
      <c r="B362" s="779"/>
      <c r="E362" s="34"/>
    </row>
    <row r="363" spans="2:5" x14ac:dyDescent="0.35">
      <c r="B363" s="779"/>
      <c r="E363" s="34"/>
    </row>
    <row r="364" spans="2:5" x14ac:dyDescent="0.35">
      <c r="B364" s="779"/>
      <c r="E364" s="34"/>
    </row>
    <row r="365" spans="2:5" x14ac:dyDescent="0.35">
      <c r="B365" s="779"/>
      <c r="E365" s="34"/>
    </row>
    <row r="366" spans="2:5" x14ac:dyDescent="0.35">
      <c r="B366" s="779"/>
      <c r="E366" s="34"/>
    </row>
    <row r="367" spans="2:5" x14ac:dyDescent="0.35">
      <c r="B367" s="779"/>
      <c r="E367" s="34"/>
    </row>
    <row r="368" spans="2:5" x14ac:dyDescent="0.35">
      <c r="B368" s="779"/>
      <c r="E368" s="34"/>
    </row>
    <row r="369" spans="2:5" x14ac:dyDescent="0.35">
      <c r="B369" s="779"/>
      <c r="E369" s="34"/>
    </row>
    <row r="370" spans="2:5" x14ac:dyDescent="0.35">
      <c r="B370" s="779"/>
      <c r="E370" s="34"/>
    </row>
    <row r="371" spans="2:5" x14ac:dyDescent="0.35">
      <c r="B371" s="779"/>
      <c r="E371" s="34"/>
    </row>
    <row r="372" spans="2:5" x14ac:dyDescent="0.35">
      <c r="B372" s="779"/>
      <c r="E372" s="34"/>
    </row>
    <row r="373" spans="2:5" x14ac:dyDescent="0.35">
      <c r="B373" s="779"/>
      <c r="E373" s="34"/>
    </row>
    <row r="374" spans="2:5" x14ac:dyDescent="0.35">
      <c r="B374" s="779"/>
      <c r="E374" s="34"/>
    </row>
    <row r="375" spans="2:5" x14ac:dyDescent="0.35">
      <c r="B375" s="779"/>
      <c r="E375" s="34"/>
    </row>
    <row r="376" spans="2:5" x14ac:dyDescent="0.35">
      <c r="B376" s="779"/>
      <c r="E376" s="34"/>
    </row>
    <row r="377" spans="2:5" x14ac:dyDescent="0.35">
      <c r="B377" s="779"/>
      <c r="E377" s="34"/>
    </row>
    <row r="378" spans="2:5" x14ac:dyDescent="0.35">
      <c r="B378" s="779"/>
      <c r="E378" s="34"/>
    </row>
    <row r="379" spans="2:5" x14ac:dyDescent="0.35">
      <c r="B379" s="779"/>
      <c r="E379" s="34"/>
    </row>
    <row r="380" spans="2:5" x14ac:dyDescent="0.35">
      <c r="B380" s="779"/>
      <c r="E380" s="34"/>
    </row>
    <row r="381" spans="2:5" x14ac:dyDescent="0.35">
      <c r="B381" s="779"/>
      <c r="E381" s="34"/>
    </row>
    <row r="382" spans="2:5" x14ac:dyDescent="0.35">
      <c r="B382" s="779"/>
      <c r="E382" s="34"/>
    </row>
    <row r="383" spans="2:5" x14ac:dyDescent="0.35">
      <c r="B383" s="779"/>
      <c r="E383" s="34"/>
    </row>
    <row r="384" spans="2:5" x14ac:dyDescent="0.35">
      <c r="B384" s="779"/>
      <c r="E384" s="34"/>
    </row>
    <row r="385" spans="2:5" x14ac:dyDescent="0.35">
      <c r="B385" s="779"/>
      <c r="E385" s="34"/>
    </row>
    <row r="386" spans="2:5" x14ac:dyDescent="0.35">
      <c r="B386" s="779"/>
      <c r="E386" s="34"/>
    </row>
    <row r="387" spans="2:5" x14ac:dyDescent="0.35">
      <c r="B387" s="779"/>
      <c r="E387" s="34"/>
    </row>
    <row r="388" spans="2:5" x14ac:dyDescent="0.35">
      <c r="B388" s="779"/>
      <c r="E388" s="34"/>
    </row>
    <row r="389" spans="2:5" x14ac:dyDescent="0.35">
      <c r="B389" s="779"/>
      <c r="E389" s="34"/>
    </row>
    <row r="390" spans="2:5" x14ac:dyDescent="0.35">
      <c r="B390" s="779"/>
      <c r="E390" s="34"/>
    </row>
    <row r="391" spans="2:5" x14ac:dyDescent="0.35">
      <c r="B391" s="779"/>
      <c r="E391" s="34"/>
    </row>
    <row r="392" spans="2:5" x14ac:dyDescent="0.35">
      <c r="B392" s="779"/>
      <c r="E392" s="34"/>
    </row>
    <row r="393" spans="2:5" x14ac:dyDescent="0.35">
      <c r="B393" s="779"/>
      <c r="E393" s="34"/>
    </row>
    <row r="394" spans="2:5" x14ac:dyDescent="0.35">
      <c r="B394" s="779"/>
      <c r="E394" s="34"/>
    </row>
    <row r="395" spans="2:5" x14ac:dyDescent="0.35">
      <c r="B395" s="779"/>
      <c r="E395" s="34"/>
    </row>
    <row r="396" spans="2:5" x14ac:dyDescent="0.35">
      <c r="B396" s="779"/>
      <c r="E396" s="34"/>
    </row>
    <row r="397" spans="2:5" x14ac:dyDescent="0.35">
      <c r="B397" s="779"/>
      <c r="E397" s="34"/>
    </row>
    <row r="398" spans="2:5" x14ac:dyDescent="0.35">
      <c r="B398" s="779"/>
      <c r="E398" s="34"/>
    </row>
    <row r="399" spans="2:5" x14ac:dyDescent="0.35">
      <c r="B399" s="779"/>
      <c r="E399" s="34"/>
    </row>
    <row r="400" spans="2:5" x14ac:dyDescent="0.35">
      <c r="B400" s="779"/>
      <c r="E400" s="34"/>
    </row>
    <row r="401" spans="2:5" x14ac:dyDescent="0.35">
      <c r="B401" s="779"/>
      <c r="E401" s="34"/>
    </row>
    <row r="402" spans="2:5" x14ac:dyDescent="0.35">
      <c r="B402" s="779"/>
      <c r="E402" s="34"/>
    </row>
    <row r="403" spans="2:5" x14ac:dyDescent="0.35">
      <c r="B403" s="779"/>
      <c r="E403" s="34"/>
    </row>
    <row r="404" spans="2:5" x14ac:dyDescent="0.35">
      <c r="B404" s="779"/>
      <c r="E404" s="34"/>
    </row>
    <row r="405" spans="2:5" x14ac:dyDescent="0.35">
      <c r="B405" s="779"/>
      <c r="E405" s="34"/>
    </row>
    <row r="406" spans="2:5" x14ac:dyDescent="0.35">
      <c r="B406" s="779"/>
      <c r="E406" s="34"/>
    </row>
    <row r="407" spans="2:5" x14ac:dyDescent="0.35">
      <c r="B407" s="779"/>
      <c r="E407" s="34"/>
    </row>
    <row r="408" spans="2:5" x14ac:dyDescent="0.35">
      <c r="B408" s="779"/>
      <c r="E408" s="34"/>
    </row>
    <row r="409" spans="2:5" x14ac:dyDescent="0.35">
      <c r="B409" s="779"/>
      <c r="E409" s="34"/>
    </row>
    <row r="410" spans="2:5" x14ac:dyDescent="0.35">
      <c r="B410" s="779"/>
      <c r="E410" s="34"/>
    </row>
    <row r="411" spans="2:5" x14ac:dyDescent="0.35">
      <c r="B411" s="779"/>
      <c r="E411" s="34"/>
    </row>
    <row r="412" spans="2:5" x14ac:dyDescent="0.35">
      <c r="B412" s="779"/>
      <c r="E412" s="34"/>
    </row>
    <row r="413" spans="2:5" x14ac:dyDescent="0.35">
      <c r="B413" s="779"/>
      <c r="E413" s="34"/>
    </row>
    <row r="414" spans="2:5" x14ac:dyDescent="0.35">
      <c r="B414" s="779"/>
      <c r="E414" s="34"/>
    </row>
    <row r="415" spans="2:5" x14ac:dyDescent="0.35">
      <c r="B415" s="779"/>
      <c r="E415" s="34"/>
    </row>
    <row r="416" spans="2:5" x14ac:dyDescent="0.35">
      <c r="B416" s="779"/>
      <c r="E416" s="34"/>
    </row>
    <row r="417" spans="2:5" x14ac:dyDescent="0.35">
      <c r="B417" s="779"/>
      <c r="E417" s="34"/>
    </row>
    <row r="418" spans="2:5" x14ac:dyDescent="0.35">
      <c r="B418" s="779"/>
      <c r="E418" s="34"/>
    </row>
    <row r="419" spans="2:5" x14ac:dyDescent="0.35">
      <c r="B419" s="779"/>
      <c r="E419" s="34"/>
    </row>
    <row r="420" spans="2:5" x14ac:dyDescent="0.35">
      <c r="B420" s="779"/>
      <c r="E420" s="34"/>
    </row>
    <row r="421" spans="2:5" x14ac:dyDescent="0.35">
      <c r="B421" s="779"/>
      <c r="E421" s="34"/>
    </row>
    <row r="422" spans="2:5" x14ac:dyDescent="0.35">
      <c r="B422" s="779"/>
      <c r="E422" s="34"/>
    </row>
    <row r="423" spans="2:5" x14ac:dyDescent="0.35">
      <c r="B423" s="779"/>
      <c r="E423" s="34"/>
    </row>
    <row r="424" spans="2:5" x14ac:dyDescent="0.35">
      <c r="B424" s="779"/>
      <c r="E424" s="34"/>
    </row>
    <row r="425" spans="2:5" x14ac:dyDescent="0.35">
      <c r="B425" s="779"/>
      <c r="E425" s="34"/>
    </row>
    <row r="426" spans="2:5" x14ac:dyDescent="0.35">
      <c r="B426" s="779"/>
      <c r="E426" s="34"/>
    </row>
    <row r="427" spans="2:5" x14ac:dyDescent="0.35">
      <c r="B427" s="779"/>
      <c r="E427" s="34"/>
    </row>
    <row r="428" spans="2:5" x14ac:dyDescent="0.35">
      <c r="B428" s="779"/>
      <c r="E428" s="34"/>
    </row>
    <row r="429" spans="2:5" x14ac:dyDescent="0.35">
      <c r="B429" s="779"/>
      <c r="E429" s="34"/>
    </row>
    <row r="430" spans="2:5" x14ac:dyDescent="0.35">
      <c r="B430" s="779"/>
      <c r="E430" s="34"/>
    </row>
    <row r="431" spans="2:5" x14ac:dyDescent="0.35">
      <c r="B431" s="779"/>
      <c r="E431" s="34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48" orientation="portrait" r:id="rId1"/>
  <headerFooter scaleWithDoc="0" alignWithMargins="0">
    <oddHeader>&amp;C&amp;"Times New Roman,Bold"&amp;7REVISED</oddHeader>
    <oddFooter>&amp;L&amp;F&amp;CPage 9.2&amp;R&amp;A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3C7-22F5-46CB-BA8C-2FCAC90703AC}">
  <sheetPr>
    <pageSetUpPr fitToPage="1"/>
  </sheetPr>
  <dimension ref="A1:K428"/>
  <sheetViews>
    <sheetView zoomScale="80" zoomScaleNormal="80" workbookViewId="0"/>
  </sheetViews>
  <sheetFormatPr defaultColWidth="13.453125" defaultRowHeight="15.5" x14ac:dyDescent="0.35"/>
  <cols>
    <col min="1" max="1" width="5.1796875" style="34" customWidth="1"/>
    <col min="2" max="2" width="8.54296875" style="723" customWidth="1"/>
    <col min="3" max="3" width="65.54296875" style="34" customWidth="1"/>
    <col min="4" max="4" width="16.81640625" style="34" customWidth="1"/>
    <col min="5" max="5" width="16.81640625" style="32" customWidth="1"/>
    <col min="6" max="6" width="18.1796875" style="34" bestFit="1" customWidth="1"/>
    <col min="7" max="7" width="30.54296875" style="34" customWidth="1"/>
    <col min="8" max="8" width="5.1796875" style="34" customWidth="1"/>
    <col min="9" max="16384" width="13.453125" style="34"/>
  </cols>
  <sheetData>
    <row r="1" spans="1:11" x14ac:dyDescent="0.35">
      <c r="A1" s="554" t="s">
        <v>763</v>
      </c>
    </row>
    <row r="2" spans="1:11" x14ac:dyDescent="0.35">
      <c r="A2" s="506"/>
    </row>
    <row r="3" spans="1:11" s="506" customFormat="1" ht="15" x14ac:dyDescent="0.35">
      <c r="B3" s="906" t="s">
        <v>16</v>
      </c>
      <c r="C3" s="906"/>
      <c r="D3" s="906"/>
      <c r="E3" s="906"/>
      <c r="F3" s="906"/>
      <c r="G3" s="906"/>
      <c r="H3" s="308"/>
    </row>
    <row r="4" spans="1:11" s="506" customFormat="1" ht="15" x14ac:dyDescent="0.35">
      <c r="B4" s="906" t="s">
        <v>686</v>
      </c>
      <c r="C4" s="906"/>
      <c r="D4" s="906"/>
      <c r="E4" s="906"/>
      <c r="F4" s="906"/>
      <c r="G4" s="906"/>
      <c r="H4" s="724"/>
    </row>
    <row r="5" spans="1:11" s="506" customFormat="1" ht="15" x14ac:dyDescent="0.35">
      <c r="B5" s="906" t="s">
        <v>801</v>
      </c>
      <c r="C5" s="906"/>
      <c r="D5" s="906"/>
      <c r="E5" s="906"/>
      <c r="F5" s="906"/>
      <c r="G5" s="906"/>
      <c r="H5" s="724"/>
      <c r="J5"/>
    </row>
    <row r="6" spans="1:11" s="506" customFormat="1" ht="15" x14ac:dyDescent="0.35">
      <c r="B6" s="904" t="s">
        <v>2</v>
      </c>
      <c r="C6" s="904"/>
      <c r="D6" s="904"/>
      <c r="E6" s="904"/>
      <c r="F6" s="904"/>
      <c r="G6" s="904"/>
      <c r="H6" s="724"/>
    </row>
    <row r="7" spans="1:11" ht="16" thickBot="1" x14ac:dyDescent="0.4">
      <c r="A7" s="725"/>
      <c r="B7" s="726"/>
      <c r="C7" s="727"/>
      <c r="D7" s="727"/>
      <c r="E7" s="728"/>
      <c r="F7" s="727"/>
      <c r="G7" s="727"/>
      <c r="H7" s="727"/>
    </row>
    <row r="8" spans="1:11" s="506" customFormat="1" x14ac:dyDescent="0.35">
      <c r="A8" s="34"/>
      <c r="B8" s="729"/>
      <c r="C8" s="730"/>
      <c r="D8" s="66" t="s">
        <v>254</v>
      </c>
      <c r="E8" s="731" t="s">
        <v>255</v>
      </c>
      <c r="F8" s="66" t="s">
        <v>256</v>
      </c>
      <c r="G8" s="732"/>
      <c r="H8" s="34"/>
    </row>
    <row r="9" spans="1:11" s="506" customFormat="1" x14ac:dyDescent="0.35">
      <c r="A9" s="33" t="s">
        <v>3</v>
      </c>
      <c r="B9" s="733" t="s">
        <v>257</v>
      </c>
      <c r="D9" s="734" t="s">
        <v>258</v>
      </c>
      <c r="E9" s="734" t="s">
        <v>259</v>
      </c>
      <c r="F9" s="734" t="s">
        <v>258</v>
      </c>
      <c r="G9" s="69"/>
      <c r="H9" s="33" t="s">
        <v>3</v>
      </c>
    </row>
    <row r="10" spans="1:11" s="506" customFormat="1" x14ac:dyDescent="0.35">
      <c r="A10" s="33" t="s">
        <v>4</v>
      </c>
      <c r="B10" s="735" t="s">
        <v>260</v>
      </c>
      <c r="C10" s="696" t="s">
        <v>5</v>
      </c>
      <c r="D10" s="736" t="s">
        <v>261</v>
      </c>
      <c r="E10" s="736" t="s">
        <v>262</v>
      </c>
      <c r="F10" s="736" t="s">
        <v>263</v>
      </c>
      <c r="G10" s="737" t="s">
        <v>7</v>
      </c>
      <c r="H10" s="33" t="s">
        <v>4</v>
      </c>
    </row>
    <row r="11" spans="1:11" s="506" customFormat="1" x14ac:dyDescent="0.35">
      <c r="A11" s="33"/>
      <c r="B11" s="738"/>
      <c r="C11" s="739" t="s">
        <v>687</v>
      </c>
      <c r="D11" s="740"/>
      <c r="E11" s="740"/>
      <c r="F11" s="740"/>
      <c r="G11" s="741"/>
      <c r="H11" s="33"/>
      <c r="J11" s="34"/>
      <c r="K11" s="34"/>
    </row>
    <row r="12" spans="1:11" s="506" customFormat="1" x14ac:dyDescent="0.35">
      <c r="A12" s="33">
        <v>1</v>
      </c>
      <c r="B12" s="742">
        <v>560</v>
      </c>
      <c r="C12" s="34" t="s">
        <v>688</v>
      </c>
      <c r="D12" s="70">
        <v>9101.5750000000007</v>
      </c>
      <c r="E12" s="70">
        <f>E52</f>
        <v>143.70699999999999</v>
      </c>
      <c r="F12" s="70">
        <f>D12-E12</f>
        <v>8957.8680000000004</v>
      </c>
      <c r="G12" s="743" t="s">
        <v>689</v>
      </c>
      <c r="H12" s="33">
        <f>A12</f>
        <v>1</v>
      </c>
      <c r="J12" s="613"/>
      <c r="K12" s="34"/>
    </row>
    <row r="13" spans="1:11" s="506" customFormat="1" x14ac:dyDescent="0.35">
      <c r="A13" s="33">
        <f>A12+1</f>
        <v>2</v>
      </c>
      <c r="B13" s="742">
        <v>561.1</v>
      </c>
      <c r="C13" s="34" t="s">
        <v>690</v>
      </c>
      <c r="D13" s="71">
        <v>964.71199999999999</v>
      </c>
      <c r="E13" s="71">
        <v>0</v>
      </c>
      <c r="F13" s="71">
        <f>D13-E13</f>
        <v>964.71199999999999</v>
      </c>
      <c r="G13" s="743" t="s">
        <v>691</v>
      </c>
      <c r="H13" s="33">
        <f>H12+1</f>
        <v>2</v>
      </c>
      <c r="J13" s="613"/>
      <c r="K13" s="34"/>
    </row>
    <row r="14" spans="1:11" s="506" customFormat="1" x14ac:dyDescent="0.35">
      <c r="A14" s="33">
        <f t="shared" ref="A14:A75" si="0">A13+1</f>
        <v>3</v>
      </c>
      <c r="B14" s="742">
        <v>561.20000000000005</v>
      </c>
      <c r="C14" s="34" t="s">
        <v>692</v>
      </c>
      <c r="D14" s="71">
        <v>1892.6669999999999</v>
      </c>
      <c r="E14" s="71">
        <v>0</v>
      </c>
      <c r="F14" s="71">
        <f t="shared" ref="F14:F25" si="1">D14-E14</f>
        <v>1892.6669999999999</v>
      </c>
      <c r="G14" s="743" t="s">
        <v>693</v>
      </c>
      <c r="H14" s="33">
        <f t="shared" ref="H14:H75" si="2">H13+1</f>
        <v>3</v>
      </c>
      <c r="J14" s="613"/>
      <c r="K14" s="34"/>
    </row>
    <row r="15" spans="1:11" s="506" customFormat="1" x14ac:dyDescent="0.35">
      <c r="A15" s="33">
        <f t="shared" si="0"/>
        <v>4</v>
      </c>
      <c r="B15" s="742">
        <v>561.29999999999995</v>
      </c>
      <c r="C15" s="34" t="s">
        <v>694</v>
      </c>
      <c r="D15" s="71">
        <v>157.91900000000001</v>
      </c>
      <c r="E15" s="71">
        <v>0</v>
      </c>
      <c r="F15" s="71">
        <f t="shared" si="1"/>
        <v>157.91900000000001</v>
      </c>
      <c r="G15" s="743" t="s">
        <v>695</v>
      </c>
      <c r="H15" s="33">
        <f t="shared" si="2"/>
        <v>4</v>
      </c>
      <c r="J15" s="613"/>
      <c r="K15" s="34"/>
    </row>
    <row r="16" spans="1:11" s="506" customFormat="1" x14ac:dyDescent="0.35">
      <c r="A16" s="33">
        <f t="shared" si="0"/>
        <v>5</v>
      </c>
      <c r="B16" s="742">
        <v>561.4</v>
      </c>
      <c r="C16" s="34" t="s">
        <v>696</v>
      </c>
      <c r="D16" s="71">
        <v>3357.212</v>
      </c>
      <c r="E16" s="71">
        <f>E53</f>
        <v>3357.212</v>
      </c>
      <c r="F16" s="71">
        <f t="shared" si="1"/>
        <v>0</v>
      </c>
      <c r="G16" s="743" t="s">
        <v>697</v>
      </c>
      <c r="H16" s="33">
        <f t="shared" si="2"/>
        <v>5</v>
      </c>
      <c r="J16" s="613"/>
      <c r="K16" s="34"/>
    </row>
    <row r="17" spans="1:11" s="506" customFormat="1" x14ac:dyDescent="0.35">
      <c r="A17" s="33">
        <f t="shared" si="0"/>
        <v>6</v>
      </c>
      <c r="B17" s="742">
        <v>561.5</v>
      </c>
      <c r="C17" s="34" t="s">
        <v>698</v>
      </c>
      <c r="D17" s="71">
        <v>139.928</v>
      </c>
      <c r="E17" s="71">
        <v>0</v>
      </c>
      <c r="F17" s="71">
        <f t="shared" si="1"/>
        <v>139.928</v>
      </c>
      <c r="G17" s="743" t="s">
        <v>699</v>
      </c>
      <c r="H17" s="33">
        <f t="shared" si="2"/>
        <v>6</v>
      </c>
      <c r="J17" s="613"/>
      <c r="K17" s="34"/>
    </row>
    <row r="18" spans="1:11" s="506" customFormat="1" x14ac:dyDescent="0.35">
      <c r="A18" s="33">
        <f t="shared" si="0"/>
        <v>7</v>
      </c>
      <c r="B18" s="742">
        <v>561.6</v>
      </c>
      <c r="C18" s="34" t="s">
        <v>700</v>
      </c>
      <c r="D18" s="71">
        <v>0</v>
      </c>
      <c r="E18" s="71">
        <v>0</v>
      </c>
      <c r="F18" s="71">
        <f t="shared" si="1"/>
        <v>0</v>
      </c>
      <c r="G18" s="743" t="s">
        <v>701</v>
      </c>
      <c r="H18" s="33">
        <f t="shared" si="2"/>
        <v>7</v>
      </c>
      <c r="J18" s="613"/>
      <c r="K18" s="34"/>
    </row>
    <row r="19" spans="1:11" s="506" customFormat="1" x14ac:dyDescent="0.35">
      <c r="A19" s="33">
        <f t="shared" si="0"/>
        <v>8</v>
      </c>
      <c r="B19" s="742">
        <v>561.70000000000005</v>
      </c>
      <c r="C19" s="34" t="s">
        <v>702</v>
      </c>
      <c r="D19" s="71">
        <v>0</v>
      </c>
      <c r="E19" s="71">
        <v>0</v>
      </c>
      <c r="F19" s="71">
        <f t="shared" si="1"/>
        <v>0</v>
      </c>
      <c r="G19" s="744" t="s">
        <v>703</v>
      </c>
      <c r="H19" s="33">
        <f t="shared" si="2"/>
        <v>8</v>
      </c>
      <c r="J19" s="613"/>
      <c r="K19" s="34"/>
    </row>
    <row r="20" spans="1:11" s="506" customFormat="1" x14ac:dyDescent="0.35">
      <c r="A20" s="33">
        <f t="shared" si="0"/>
        <v>9</v>
      </c>
      <c r="B20" s="742">
        <v>561.79999999999995</v>
      </c>
      <c r="C20" s="34" t="s">
        <v>704</v>
      </c>
      <c r="D20" s="71">
        <v>2611.931</v>
      </c>
      <c r="E20" s="71">
        <f>E54</f>
        <v>1629.53</v>
      </c>
      <c r="F20" s="71">
        <f t="shared" si="1"/>
        <v>982.40100000000007</v>
      </c>
      <c r="G20" s="744" t="s">
        <v>705</v>
      </c>
      <c r="H20" s="33">
        <f t="shared" si="2"/>
        <v>9</v>
      </c>
      <c r="J20" s="613"/>
      <c r="K20" s="34"/>
    </row>
    <row r="21" spans="1:11" s="506" customFormat="1" ht="18" x14ac:dyDescent="0.35">
      <c r="A21" s="33">
        <f t="shared" si="0"/>
        <v>10</v>
      </c>
      <c r="B21" s="742">
        <v>562</v>
      </c>
      <c r="C21" s="34" t="s">
        <v>706</v>
      </c>
      <c r="D21" s="71">
        <v>11638.449000000001</v>
      </c>
      <c r="E21" s="71">
        <f>E55</f>
        <v>11638.449000000001</v>
      </c>
      <c r="F21" s="71">
        <f t="shared" si="1"/>
        <v>0</v>
      </c>
      <c r="G21" s="744" t="s">
        <v>707</v>
      </c>
      <c r="H21" s="33">
        <f t="shared" si="2"/>
        <v>10</v>
      </c>
      <c r="I21" s="721"/>
      <c r="J21" s="613"/>
      <c r="K21" s="34"/>
    </row>
    <row r="22" spans="1:11" s="506" customFormat="1" x14ac:dyDescent="0.35">
      <c r="A22" s="33">
        <f t="shared" si="0"/>
        <v>11</v>
      </c>
      <c r="B22" s="742">
        <v>563</v>
      </c>
      <c r="C22" s="34" t="s">
        <v>708</v>
      </c>
      <c r="D22" s="71">
        <v>10659.147999999999</v>
      </c>
      <c r="E22" s="71">
        <v>0</v>
      </c>
      <c r="F22" s="71">
        <f t="shared" si="1"/>
        <v>10659.147999999999</v>
      </c>
      <c r="G22" s="744" t="s">
        <v>709</v>
      </c>
      <c r="H22" s="33">
        <f t="shared" si="2"/>
        <v>11</v>
      </c>
      <c r="I22" s="745"/>
      <c r="J22" s="613"/>
      <c r="K22" s="34"/>
    </row>
    <row r="23" spans="1:11" s="506" customFormat="1" x14ac:dyDescent="0.35">
      <c r="A23" s="33">
        <f t="shared" si="0"/>
        <v>12</v>
      </c>
      <c r="B23" s="742">
        <v>564</v>
      </c>
      <c r="C23" s="34" t="s">
        <v>710</v>
      </c>
      <c r="D23" s="71">
        <v>-0.40300000000000002</v>
      </c>
      <c r="E23" s="71">
        <f>E56</f>
        <v>-0.40300000000000002</v>
      </c>
      <c r="F23" s="71">
        <f t="shared" si="1"/>
        <v>0</v>
      </c>
      <c r="G23" s="744" t="s">
        <v>711</v>
      </c>
      <c r="H23" s="33">
        <f t="shared" si="2"/>
        <v>12</v>
      </c>
      <c r="J23" s="613"/>
      <c r="K23" s="34"/>
    </row>
    <row r="24" spans="1:11" s="506" customFormat="1" x14ac:dyDescent="0.35">
      <c r="A24" s="33">
        <f t="shared" si="0"/>
        <v>13</v>
      </c>
      <c r="B24" s="742">
        <v>565</v>
      </c>
      <c r="C24" s="34" t="s">
        <v>712</v>
      </c>
      <c r="D24" s="71">
        <v>0</v>
      </c>
      <c r="E24" s="71">
        <f>E57</f>
        <v>0</v>
      </c>
      <c r="F24" s="71">
        <f t="shared" si="1"/>
        <v>0</v>
      </c>
      <c r="G24" s="744" t="s">
        <v>713</v>
      </c>
      <c r="H24" s="33">
        <f t="shared" si="2"/>
        <v>13</v>
      </c>
      <c r="J24" s="613"/>
      <c r="K24" s="34"/>
    </row>
    <row r="25" spans="1:11" s="506" customFormat="1" x14ac:dyDescent="0.35">
      <c r="A25" s="33">
        <f t="shared" si="0"/>
        <v>14</v>
      </c>
      <c r="B25" s="742">
        <v>566</v>
      </c>
      <c r="C25" s="34" t="s">
        <v>714</v>
      </c>
      <c r="D25" s="71">
        <v>16813.008000000002</v>
      </c>
      <c r="E25" s="71">
        <f>E63</f>
        <v>2107.7340000000004</v>
      </c>
      <c r="F25" s="71">
        <f t="shared" si="1"/>
        <v>14705.274000000001</v>
      </c>
      <c r="G25" s="744" t="s">
        <v>715</v>
      </c>
      <c r="H25" s="33">
        <f t="shared" si="2"/>
        <v>14</v>
      </c>
      <c r="J25" s="613"/>
      <c r="K25" s="34"/>
    </row>
    <row r="26" spans="1:11" s="506" customFormat="1" x14ac:dyDescent="0.35">
      <c r="A26" s="33">
        <f t="shared" si="0"/>
        <v>15</v>
      </c>
      <c r="B26" s="742">
        <v>567</v>
      </c>
      <c r="C26" s="34" t="s">
        <v>277</v>
      </c>
      <c r="D26" s="401">
        <v>3610.3420000000001</v>
      </c>
      <c r="E26" s="401">
        <v>0</v>
      </c>
      <c r="F26" s="401">
        <f>D26-E26</f>
        <v>3610.3420000000001</v>
      </c>
      <c r="G26" s="744" t="s">
        <v>716</v>
      </c>
      <c r="H26" s="33">
        <f t="shared" si="2"/>
        <v>15</v>
      </c>
      <c r="J26" s="613"/>
      <c r="K26" s="34"/>
    </row>
    <row r="27" spans="1:11" s="506" customFormat="1" x14ac:dyDescent="0.35">
      <c r="A27" s="33">
        <f t="shared" si="0"/>
        <v>16</v>
      </c>
      <c r="B27" s="742"/>
      <c r="C27" s="34"/>
      <c r="D27" s="71"/>
      <c r="E27" s="71"/>
      <c r="F27" s="71"/>
      <c r="G27" s="743"/>
      <c r="H27" s="33">
        <f t="shared" si="2"/>
        <v>16</v>
      </c>
      <c r="J27" s="34"/>
      <c r="K27" s="34"/>
    </row>
    <row r="28" spans="1:11" s="506" customFormat="1" ht="16" thickBot="1" x14ac:dyDescent="0.4">
      <c r="A28" s="33">
        <f t="shared" si="0"/>
        <v>17</v>
      </c>
      <c r="B28" s="746"/>
      <c r="C28" s="747" t="s">
        <v>717</v>
      </c>
      <c r="D28" s="748">
        <f>SUM(D12:D26)</f>
        <v>60946.487999999998</v>
      </c>
      <c r="E28" s="748">
        <f>SUM(E12:E26)</f>
        <v>18876.229000000003</v>
      </c>
      <c r="F28" s="748">
        <f>SUM(F12:F26)</f>
        <v>42070.258999999998</v>
      </c>
      <c r="G28" s="749" t="str">
        <f>"Sum Lines "&amp;A12&amp;" thru "&amp;A26</f>
        <v>Sum Lines 1 thru 15</v>
      </c>
      <c r="H28" s="33">
        <f t="shared" si="2"/>
        <v>17</v>
      </c>
      <c r="J28" s="47"/>
      <c r="K28" s="34"/>
    </row>
    <row r="29" spans="1:11" s="506" customFormat="1" x14ac:dyDescent="0.35">
      <c r="A29" s="33">
        <f t="shared" si="0"/>
        <v>18</v>
      </c>
      <c r="B29" s="750"/>
      <c r="C29" s="34"/>
      <c r="D29" s="751"/>
      <c r="E29" s="751"/>
      <c r="F29" s="751"/>
      <c r="G29" s="744"/>
      <c r="H29" s="33">
        <f t="shared" si="2"/>
        <v>18</v>
      </c>
      <c r="J29" s="34"/>
      <c r="K29" s="34"/>
    </row>
    <row r="30" spans="1:11" s="506" customFormat="1" x14ac:dyDescent="0.35">
      <c r="A30" s="33">
        <f t="shared" si="0"/>
        <v>19</v>
      </c>
      <c r="B30" s="738"/>
      <c r="C30" s="739" t="s">
        <v>718</v>
      </c>
      <c r="D30" s="751"/>
      <c r="E30" s="751"/>
      <c r="F30" s="751"/>
      <c r="G30" s="744"/>
      <c r="H30" s="33">
        <f t="shared" si="2"/>
        <v>19</v>
      </c>
      <c r="J30" s="34"/>
      <c r="K30" s="34"/>
    </row>
    <row r="31" spans="1:11" s="506" customFormat="1" x14ac:dyDescent="0.35">
      <c r="A31" s="33">
        <f t="shared" si="0"/>
        <v>20</v>
      </c>
      <c r="B31" s="742">
        <v>568</v>
      </c>
      <c r="C31" s="34" t="s">
        <v>719</v>
      </c>
      <c r="D31" s="70">
        <v>2150.4340000000002</v>
      </c>
      <c r="E31" s="70">
        <v>0</v>
      </c>
      <c r="F31" s="70">
        <f t="shared" ref="F31:F32" si="3">D31-E31</f>
        <v>2150.4340000000002</v>
      </c>
      <c r="G31" s="744" t="s">
        <v>720</v>
      </c>
      <c r="H31" s="33">
        <f t="shared" si="2"/>
        <v>20</v>
      </c>
      <c r="J31" s="34"/>
      <c r="K31" s="34"/>
    </row>
    <row r="32" spans="1:11" s="506" customFormat="1" x14ac:dyDescent="0.35">
      <c r="A32" s="33">
        <f t="shared" si="0"/>
        <v>21</v>
      </c>
      <c r="B32" s="742">
        <v>569</v>
      </c>
      <c r="C32" s="34" t="s">
        <v>721</v>
      </c>
      <c r="D32" s="71">
        <v>1191.816</v>
      </c>
      <c r="E32" s="71">
        <v>0</v>
      </c>
      <c r="F32" s="71">
        <f t="shared" si="3"/>
        <v>1191.816</v>
      </c>
      <c r="G32" s="744" t="s">
        <v>722</v>
      </c>
      <c r="H32" s="33">
        <f t="shared" si="2"/>
        <v>21</v>
      </c>
      <c r="J32" s="34"/>
      <c r="K32" s="34"/>
    </row>
    <row r="33" spans="1:11" s="506" customFormat="1" x14ac:dyDescent="0.35">
      <c r="A33" s="33">
        <f t="shared" si="0"/>
        <v>22</v>
      </c>
      <c r="B33" s="742">
        <v>569.1</v>
      </c>
      <c r="C33" s="34" t="s">
        <v>723</v>
      </c>
      <c r="D33" s="71">
        <v>1021.635</v>
      </c>
      <c r="E33" s="71">
        <v>0</v>
      </c>
      <c r="F33" s="71">
        <f>D33-E33</f>
        <v>1021.635</v>
      </c>
      <c r="G33" s="744" t="s">
        <v>724</v>
      </c>
      <c r="H33" s="33">
        <f t="shared" si="2"/>
        <v>22</v>
      </c>
      <c r="J33" s="34"/>
      <c r="K33" s="34"/>
    </row>
    <row r="34" spans="1:11" s="506" customFormat="1" x14ac:dyDescent="0.35">
      <c r="A34" s="33">
        <f t="shared" si="0"/>
        <v>23</v>
      </c>
      <c r="B34" s="742">
        <v>569.20000000000005</v>
      </c>
      <c r="C34" s="34" t="s">
        <v>725</v>
      </c>
      <c r="D34" s="71">
        <v>2015.654</v>
      </c>
      <c r="E34" s="71">
        <v>0</v>
      </c>
      <c r="F34" s="71">
        <f t="shared" ref="F34:F36" si="4">D34-E34</f>
        <v>2015.654</v>
      </c>
      <c r="G34" s="744" t="s">
        <v>726</v>
      </c>
      <c r="H34" s="33">
        <f t="shared" si="2"/>
        <v>23</v>
      </c>
      <c r="J34" s="34"/>
      <c r="K34" s="34"/>
    </row>
    <row r="35" spans="1:11" s="506" customFormat="1" x14ac:dyDescent="0.35">
      <c r="A35" s="33">
        <f t="shared" si="0"/>
        <v>24</v>
      </c>
      <c r="B35" s="742">
        <v>569.29999999999995</v>
      </c>
      <c r="C35" s="34" t="s">
        <v>727</v>
      </c>
      <c r="D35" s="71">
        <v>64.367999999999995</v>
      </c>
      <c r="E35" s="71">
        <v>0</v>
      </c>
      <c r="F35" s="71">
        <f t="shared" si="4"/>
        <v>64.367999999999995</v>
      </c>
      <c r="G35" s="744" t="s">
        <v>728</v>
      </c>
      <c r="H35" s="33">
        <f t="shared" si="2"/>
        <v>24</v>
      </c>
      <c r="J35" s="34"/>
      <c r="K35" s="34"/>
    </row>
    <row r="36" spans="1:11" s="506" customFormat="1" x14ac:dyDescent="0.35">
      <c r="A36" s="33">
        <f t="shared" si="0"/>
        <v>25</v>
      </c>
      <c r="B36" s="742">
        <v>569.4</v>
      </c>
      <c r="C36" s="34" t="s">
        <v>729</v>
      </c>
      <c r="D36" s="71">
        <v>102</v>
      </c>
      <c r="E36" s="71">
        <v>0</v>
      </c>
      <c r="F36" s="71">
        <f t="shared" si="4"/>
        <v>102</v>
      </c>
      <c r="G36" s="744" t="s">
        <v>730</v>
      </c>
      <c r="H36" s="33">
        <f t="shared" si="2"/>
        <v>25</v>
      </c>
      <c r="J36" s="34"/>
      <c r="K36" s="34"/>
    </row>
    <row r="37" spans="1:11" s="506" customFormat="1" ht="18" x14ac:dyDescent="0.35">
      <c r="A37" s="33">
        <f t="shared" si="0"/>
        <v>26</v>
      </c>
      <c r="B37" s="742">
        <v>570</v>
      </c>
      <c r="C37" s="34" t="s">
        <v>731</v>
      </c>
      <c r="D37" s="71">
        <v>18834.561000000002</v>
      </c>
      <c r="E37" s="71">
        <f>E64</f>
        <v>18834.561000000002</v>
      </c>
      <c r="F37" s="71">
        <f>D37-E37</f>
        <v>0</v>
      </c>
      <c r="G37" s="744" t="s">
        <v>732</v>
      </c>
      <c r="H37" s="33">
        <f t="shared" si="2"/>
        <v>26</v>
      </c>
      <c r="J37" s="34"/>
      <c r="K37" s="34"/>
    </row>
    <row r="38" spans="1:11" s="506" customFormat="1" ht="18" x14ac:dyDescent="0.35">
      <c r="A38" s="33">
        <f t="shared" si="0"/>
        <v>27</v>
      </c>
      <c r="B38" s="742">
        <v>571</v>
      </c>
      <c r="C38" s="34" t="s">
        <v>733</v>
      </c>
      <c r="D38" s="71">
        <v>25278.445</v>
      </c>
      <c r="E38" s="71">
        <f>E65</f>
        <v>25278.445</v>
      </c>
      <c r="F38" s="71">
        <f t="shared" ref="F38:F39" si="5">D38-E38</f>
        <v>0</v>
      </c>
      <c r="G38" s="744" t="s">
        <v>734</v>
      </c>
      <c r="H38" s="33">
        <f t="shared" si="2"/>
        <v>27</v>
      </c>
      <c r="J38" s="34"/>
      <c r="K38" s="34"/>
    </row>
    <row r="39" spans="1:11" s="506" customFormat="1" ht="18" x14ac:dyDescent="0.35">
      <c r="A39" s="33">
        <f t="shared" si="0"/>
        <v>28</v>
      </c>
      <c r="B39" s="742">
        <v>572</v>
      </c>
      <c r="C39" s="34" t="s">
        <v>735</v>
      </c>
      <c r="D39" s="71">
        <v>578.39599999999996</v>
      </c>
      <c r="E39" s="71">
        <f>E66</f>
        <v>578.39599999999996</v>
      </c>
      <c r="F39" s="71">
        <f t="shared" si="5"/>
        <v>0</v>
      </c>
      <c r="G39" s="743" t="s">
        <v>736</v>
      </c>
      <c r="H39" s="33">
        <f t="shared" si="2"/>
        <v>28</v>
      </c>
      <c r="J39" s="34"/>
      <c r="K39" s="34"/>
    </row>
    <row r="40" spans="1:11" s="506" customFormat="1" x14ac:dyDescent="0.35">
      <c r="A40" s="33">
        <f t="shared" si="0"/>
        <v>29</v>
      </c>
      <c r="B40" s="742">
        <v>573</v>
      </c>
      <c r="C40" s="34" t="s">
        <v>737</v>
      </c>
      <c r="D40" s="401">
        <v>34.209000000000003</v>
      </c>
      <c r="E40" s="401">
        <v>0</v>
      </c>
      <c r="F40" s="401">
        <f>D40-E40</f>
        <v>34.209000000000003</v>
      </c>
      <c r="G40" s="743" t="s">
        <v>738</v>
      </c>
      <c r="H40" s="33">
        <f t="shared" si="2"/>
        <v>29</v>
      </c>
      <c r="J40" s="34"/>
      <c r="K40" s="34"/>
    </row>
    <row r="41" spans="1:11" s="506" customFormat="1" x14ac:dyDescent="0.35">
      <c r="A41" s="33">
        <f t="shared" si="0"/>
        <v>30</v>
      </c>
      <c r="B41" s="742"/>
      <c r="C41" s="34"/>
      <c r="D41" s="752"/>
      <c r="E41" s="71"/>
      <c r="F41" s="752"/>
      <c r="G41" s="743"/>
      <c r="H41" s="33">
        <f t="shared" si="2"/>
        <v>30</v>
      </c>
      <c r="J41" s="34"/>
      <c r="K41" s="34"/>
    </row>
    <row r="42" spans="1:11" s="506" customFormat="1" x14ac:dyDescent="0.35">
      <c r="A42" s="33">
        <f t="shared" si="0"/>
        <v>31</v>
      </c>
      <c r="B42" s="750"/>
      <c r="C42" s="753" t="s">
        <v>739</v>
      </c>
      <c r="D42" s="70">
        <f>SUM(D31:D40)</f>
        <v>51271.518000000004</v>
      </c>
      <c r="E42" s="70">
        <f>SUM(E31:E40)</f>
        <v>44691.402000000002</v>
      </c>
      <c r="F42" s="70">
        <f>SUM(F31:F40)</f>
        <v>6580.1160000000009</v>
      </c>
      <c r="G42" s="743" t="str">
        <f>"Sum Lines "&amp;A31&amp;" thru "&amp;A40</f>
        <v>Sum Lines 20 thru 29</v>
      </c>
      <c r="H42" s="33">
        <f t="shared" si="2"/>
        <v>31</v>
      </c>
      <c r="J42" s="34"/>
      <c r="K42" s="34"/>
    </row>
    <row r="43" spans="1:11" s="506" customFormat="1" x14ac:dyDescent="0.35">
      <c r="A43" s="33">
        <f t="shared" si="0"/>
        <v>32</v>
      </c>
      <c r="B43" s="750"/>
      <c r="C43" s="34"/>
      <c r="D43" s="754"/>
      <c r="E43" s="754"/>
      <c r="F43" s="754"/>
      <c r="G43" s="743"/>
      <c r="H43" s="33">
        <f t="shared" si="2"/>
        <v>32</v>
      </c>
      <c r="J43" s="34"/>
      <c r="K43" s="34"/>
    </row>
    <row r="44" spans="1:11" s="506" customFormat="1" ht="16" thickBot="1" x14ac:dyDescent="0.4">
      <c r="A44" s="33">
        <f t="shared" si="0"/>
        <v>33</v>
      </c>
      <c r="B44" s="733"/>
      <c r="C44" s="506" t="s">
        <v>740</v>
      </c>
      <c r="D44" s="75">
        <f>D28+D42</f>
        <v>112218.00599999999</v>
      </c>
      <c r="E44" s="75">
        <f>+E28+E42</f>
        <v>63567.631000000008</v>
      </c>
      <c r="F44" s="75">
        <f>+F28+F42</f>
        <v>48650.375</v>
      </c>
      <c r="G44" s="743" t="str">
        <f>"Line "&amp;A28&amp;" + Line "&amp;A42</f>
        <v>Line 17 + Line 31</v>
      </c>
      <c r="H44" s="33">
        <f t="shared" si="2"/>
        <v>33</v>
      </c>
      <c r="J44" s="34"/>
      <c r="K44" s="34"/>
    </row>
    <row r="45" spans="1:11" s="506" customFormat="1" ht="16" thickTop="1" x14ac:dyDescent="0.35">
      <c r="A45" s="33">
        <f t="shared" si="0"/>
        <v>34</v>
      </c>
      <c r="B45" s="733"/>
      <c r="D45" s="74"/>
      <c r="E45" s="74"/>
      <c r="F45" s="74"/>
      <c r="G45" s="743"/>
      <c r="H45" s="33">
        <f t="shared" si="2"/>
        <v>34</v>
      </c>
      <c r="J45" s="34"/>
      <c r="K45" s="34"/>
    </row>
    <row r="46" spans="1:11" s="506" customFormat="1" ht="18" x14ac:dyDescent="0.35">
      <c r="A46" s="33">
        <f t="shared" si="0"/>
        <v>35</v>
      </c>
      <c r="B46" s="742">
        <v>413</v>
      </c>
      <c r="C46" s="34" t="s">
        <v>741</v>
      </c>
      <c r="D46" s="401">
        <v>754.49135999999999</v>
      </c>
      <c r="E46" s="401">
        <v>0</v>
      </c>
      <c r="F46" s="401">
        <f>D46-E46</f>
        <v>754.49135999999999</v>
      </c>
      <c r="G46" s="78"/>
      <c r="H46" s="33">
        <f t="shared" si="2"/>
        <v>35</v>
      </c>
      <c r="J46" s="613"/>
      <c r="K46" s="34"/>
    </row>
    <row r="47" spans="1:11" s="506" customFormat="1" x14ac:dyDescent="0.35">
      <c r="A47" s="33">
        <f t="shared" si="0"/>
        <v>36</v>
      </c>
      <c r="B47" s="733"/>
      <c r="D47" s="74"/>
      <c r="E47" s="74"/>
      <c r="F47" s="74"/>
      <c r="G47" s="743"/>
      <c r="H47" s="33">
        <f t="shared" si="2"/>
        <v>36</v>
      </c>
      <c r="J47" s="34"/>
      <c r="K47" s="34"/>
    </row>
    <row r="48" spans="1:11" s="506" customFormat="1" ht="16" thickBot="1" x14ac:dyDescent="0.4">
      <c r="A48" s="33">
        <f t="shared" si="0"/>
        <v>37</v>
      </c>
      <c r="B48" s="733"/>
      <c r="C48" s="506" t="s">
        <v>742</v>
      </c>
      <c r="D48" s="75">
        <f>D44+D46</f>
        <v>112972.49735999999</v>
      </c>
      <c r="E48" s="75">
        <f>E44+E46</f>
        <v>63567.631000000008</v>
      </c>
      <c r="F48" s="75">
        <f>F44+F46</f>
        <v>49404.86636</v>
      </c>
      <c r="G48" s="743" t="str">
        <f>"Line "&amp;A44&amp;" + Line "&amp;A46</f>
        <v>Line 33 + Line 35</v>
      </c>
      <c r="H48" s="33">
        <f t="shared" si="2"/>
        <v>37</v>
      </c>
      <c r="J48" s="34"/>
      <c r="K48" s="34"/>
    </row>
    <row r="49" spans="1:10" ht="16.5" thickTop="1" thickBot="1" x14ac:dyDescent="0.4">
      <c r="A49" s="33">
        <f t="shared" si="0"/>
        <v>38</v>
      </c>
      <c r="B49" s="755"/>
      <c r="C49" s="77"/>
      <c r="D49" s="756"/>
      <c r="E49" s="757"/>
      <c r="F49" s="756"/>
      <c r="G49" s="758"/>
      <c r="H49" s="33">
        <f t="shared" si="2"/>
        <v>38</v>
      </c>
    </row>
    <row r="50" spans="1:10" x14ac:dyDescent="0.35">
      <c r="A50" s="33">
        <f t="shared" si="0"/>
        <v>39</v>
      </c>
      <c r="B50" s="759"/>
      <c r="D50" s="760"/>
      <c r="E50" s="761"/>
      <c r="F50" s="760"/>
      <c r="G50" s="762"/>
      <c r="H50" s="33">
        <f t="shared" si="2"/>
        <v>39</v>
      </c>
    </row>
    <row r="51" spans="1:10" s="17" customFormat="1" x14ac:dyDescent="0.35">
      <c r="A51" s="33">
        <f t="shared" si="0"/>
        <v>40</v>
      </c>
      <c r="B51" s="763" t="s">
        <v>743</v>
      </c>
      <c r="D51" s="593"/>
      <c r="E51" s="764"/>
      <c r="F51" s="593"/>
      <c r="G51" s="765"/>
      <c r="H51" s="33">
        <f t="shared" si="2"/>
        <v>40</v>
      </c>
    </row>
    <row r="52" spans="1:10" s="17" customFormat="1" x14ac:dyDescent="0.35">
      <c r="A52" s="33">
        <f t="shared" si="0"/>
        <v>41</v>
      </c>
      <c r="B52" s="759" t="s">
        <v>744</v>
      </c>
      <c r="C52" s="34" t="s">
        <v>745</v>
      </c>
      <c r="D52" s="760"/>
      <c r="E52" s="47">
        <v>143.70699999999999</v>
      </c>
      <c r="F52" s="593"/>
      <c r="G52" s="765"/>
      <c r="H52" s="33">
        <f t="shared" si="2"/>
        <v>41</v>
      </c>
      <c r="J52" s="625"/>
    </row>
    <row r="53" spans="1:10" s="17" customFormat="1" x14ac:dyDescent="0.35">
      <c r="A53" s="33">
        <f t="shared" si="0"/>
        <v>42</v>
      </c>
      <c r="B53" s="759" t="s">
        <v>746</v>
      </c>
      <c r="C53" s="34" t="s">
        <v>747</v>
      </c>
      <c r="D53" s="760"/>
      <c r="E53" s="46">
        <v>3357.212</v>
      </c>
      <c r="F53" s="593"/>
      <c r="G53" s="765"/>
      <c r="H53" s="33">
        <f t="shared" si="2"/>
        <v>42</v>
      </c>
      <c r="J53" s="382"/>
    </row>
    <row r="54" spans="1:10" s="17" customFormat="1" x14ac:dyDescent="0.35">
      <c r="A54" s="33">
        <f t="shared" si="0"/>
        <v>43</v>
      </c>
      <c r="B54" s="759">
        <v>561.79999999999995</v>
      </c>
      <c r="C54" s="34" t="s">
        <v>748</v>
      </c>
      <c r="D54" s="760"/>
      <c r="E54" s="46">
        <v>1629.53</v>
      </c>
      <c r="F54" s="593"/>
      <c r="G54" s="765"/>
      <c r="H54" s="33">
        <f t="shared" si="2"/>
        <v>43</v>
      </c>
    </row>
    <row r="55" spans="1:10" s="17" customFormat="1" ht="18" x14ac:dyDescent="0.35">
      <c r="A55" s="33">
        <f t="shared" si="0"/>
        <v>44</v>
      </c>
      <c r="B55" s="759">
        <v>562</v>
      </c>
      <c r="C55" s="34" t="s">
        <v>706</v>
      </c>
      <c r="D55" s="760"/>
      <c r="E55" s="46">
        <f>D21</f>
        <v>11638.449000000001</v>
      </c>
      <c r="F55" s="593"/>
      <c r="G55" s="765"/>
      <c r="H55" s="33">
        <f t="shared" si="2"/>
        <v>44</v>
      </c>
      <c r="J55" s="382"/>
    </row>
    <row r="56" spans="1:10" s="17" customFormat="1" x14ac:dyDescent="0.35">
      <c r="A56" s="33">
        <f t="shared" si="0"/>
        <v>45</v>
      </c>
      <c r="B56" s="759">
        <v>564</v>
      </c>
      <c r="C56" s="34" t="s">
        <v>749</v>
      </c>
      <c r="D56" s="760"/>
      <c r="E56" s="46">
        <f>D23</f>
        <v>-0.40300000000000002</v>
      </c>
      <c r="F56" s="593"/>
      <c r="G56" s="765"/>
      <c r="H56" s="33">
        <f t="shared" si="2"/>
        <v>45</v>
      </c>
    </row>
    <row r="57" spans="1:10" s="17" customFormat="1" x14ac:dyDescent="0.35">
      <c r="A57" s="33">
        <f t="shared" si="0"/>
        <v>46</v>
      </c>
      <c r="B57" s="759">
        <v>565</v>
      </c>
      <c r="C57" s="34" t="s">
        <v>750</v>
      </c>
      <c r="D57" s="760"/>
      <c r="E57" s="46">
        <v>0</v>
      </c>
      <c r="F57" s="593"/>
      <c r="G57" s="765"/>
      <c r="H57" s="33">
        <f t="shared" si="2"/>
        <v>46</v>
      </c>
    </row>
    <row r="58" spans="1:10" s="17" customFormat="1" x14ac:dyDescent="0.35">
      <c r="A58" s="33">
        <f t="shared" si="0"/>
        <v>47</v>
      </c>
      <c r="B58" s="759" t="s">
        <v>751</v>
      </c>
      <c r="C58" s="17" t="s">
        <v>752</v>
      </c>
      <c r="E58" s="46"/>
      <c r="F58" s="593"/>
      <c r="G58" s="765"/>
      <c r="H58" s="33">
        <f t="shared" si="2"/>
        <v>47</v>
      </c>
    </row>
    <row r="59" spans="1:10" s="17" customFormat="1" x14ac:dyDescent="0.35">
      <c r="A59" s="33">
        <f t="shared" si="0"/>
        <v>48</v>
      </c>
      <c r="B59" s="759"/>
      <c r="C59" s="34" t="s">
        <v>753</v>
      </c>
      <c r="D59" s="47">
        <v>0</v>
      </c>
      <c r="E59" s="46"/>
      <c r="F59" s="593"/>
      <c r="G59" s="765"/>
      <c r="H59" s="33">
        <f t="shared" si="2"/>
        <v>48</v>
      </c>
    </row>
    <row r="60" spans="1:10" s="17" customFormat="1" x14ac:dyDescent="0.35">
      <c r="A60" s="33">
        <f t="shared" si="0"/>
        <v>49</v>
      </c>
      <c r="B60" s="759"/>
      <c r="C60" s="34" t="s">
        <v>754</v>
      </c>
      <c r="D60" s="46">
        <v>0</v>
      </c>
      <c r="E60" s="46"/>
      <c r="F60" s="593"/>
      <c r="G60" s="765"/>
      <c r="H60" s="33">
        <f t="shared" si="2"/>
        <v>49</v>
      </c>
    </row>
    <row r="61" spans="1:10" s="17" customFormat="1" x14ac:dyDescent="0.35">
      <c r="A61" s="33">
        <f t="shared" si="0"/>
        <v>50</v>
      </c>
      <c r="B61" s="759"/>
      <c r="C61" s="34" t="s">
        <v>755</v>
      </c>
      <c r="D61" s="46">
        <v>993.31799999999998</v>
      </c>
      <c r="E61" s="46"/>
      <c r="F61" s="593"/>
      <c r="G61" s="765"/>
      <c r="H61" s="33">
        <f t="shared" si="2"/>
        <v>50</v>
      </c>
    </row>
    <row r="62" spans="1:10" s="17" customFormat="1" x14ac:dyDescent="0.35">
      <c r="A62" s="33">
        <f t="shared" si="0"/>
        <v>51</v>
      </c>
      <c r="B62" s="759"/>
      <c r="C62" s="34" t="s">
        <v>756</v>
      </c>
      <c r="D62" s="46">
        <v>473.28300000000002</v>
      </c>
      <c r="E62" s="46"/>
      <c r="F62" s="593"/>
      <c r="G62" s="765"/>
      <c r="H62" s="33">
        <f t="shared" si="2"/>
        <v>51</v>
      </c>
    </row>
    <row r="63" spans="1:10" s="17" customFormat="1" x14ac:dyDescent="0.35">
      <c r="A63" s="33">
        <f t="shared" si="0"/>
        <v>52</v>
      </c>
      <c r="B63" s="759"/>
      <c r="C63" s="34" t="s">
        <v>757</v>
      </c>
      <c r="D63" s="766">
        <v>641.13300000000004</v>
      </c>
      <c r="E63" s="767">
        <f>SUM(D59:D63)</f>
        <v>2107.7340000000004</v>
      </c>
      <c r="F63" s="593"/>
      <c r="G63" s="765"/>
      <c r="H63" s="33">
        <f t="shared" si="2"/>
        <v>52</v>
      </c>
    </row>
    <row r="64" spans="1:10" s="17" customFormat="1" ht="18.5" x14ac:dyDescent="0.35">
      <c r="A64" s="33">
        <f t="shared" si="0"/>
        <v>53</v>
      </c>
      <c r="B64" s="768">
        <v>570</v>
      </c>
      <c r="C64" s="769" t="s">
        <v>758</v>
      </c>
      <c r="D64" s="46"/>
      <c r="E64" s="767">
        <f>D37</f>
        <v>18834.561000000002</v>
      </c>
      <c r="F64" s="593"/>
      <c r="G64" s="765"/>
      <c r="H64" s="33">
        <f t="shared" si="2"/>
        <v>53</v>
      </c>
    </row>
    <row r="65" spans="1:10" s="17" customFormat="1" ht="18.5" x14ac:dyDescent="0.35">
      <c r="A65" s="33">
        <f t="shared" si="0"/>
        <v>54</v>
      </c>
      <c r="B65" s="768">
        <v>571</v>
      </c>
      <c r="C65" s="769" t="s">
        <v>733</v>
      </c>
      <c r="D65" s="46"/>
      <c r="E65" s="767">
        <f>D38</f>
        <v>25278.445</v>
      </c>
      <c r="F65" s="593"/>
      <c r="G65" s="765"/>
      <c r="H65" s="33">
        <f t="shared" si="2"/>
        <v>54</v>
      </c>
    </row>
    <row r="66" spans="1:10" s="17" customFormat="1" ht="18.5" x14ac:dyDescent="0.35">
      <c r="A66" s="33">
        <f t="shared" si="0"/>
        <v>55</v>
      </c>
      <c r="B66" s="768">
        <v>572</v>
      </c>
      <c r="C66" s="770" t="s">
        <v>735</v>
      </c>
      <c r="D66" s="46"/>
      <c r="E66" s="767">
        <f>D39</f>
        <v>578.39599999999996</v>
      </c>
      <c r="F66" s="593"/>
      <c r="G66" s="765"/>
      <c r="H66" s="33">
        <f t="shared" si="2"/>
        <v>55</v>
      </c>
    </row>
    <row r="67" spans="1:10" s="17" customFormat="1" x14ac:dyDescent="0.35">
      <c r="A67" s="33">
        <f t="shared" si="0"/>
        <v>56</v>
      </c>
      <c r="B67" s="771"/>
      <c r="D67" s="593"/>
      <c r="E67" s="772"/>
      <c r="F67" s="593"/>
      <c r="G67" s="765"/>
      <c r="H67" s="33">
        <f t="shared" si="2"/>
        <v>56</v>
      </c>
    </row>
    <row r="68" spans="1:10" s="17" customFormat="1" ht="16" thickBot="1" x14ac:dyDescent="0.4">
      <c r="A68" s="33">
        <f t="shared" si="0"/>
        <v>57</v>
      </c>
      <c r="B68" s="773"/>
      <c r="C68" s="774" t="s">
        <v>288</v>
      </c>
      <c r="D68" s="593"/>
      <c r="E68" s="775">
        <f>SUM(E52:E66)</f>
        <v>63567.631000000008</v>
      </c>
      <c r="F68" s="593"/>
      <c r="G68" s="765"/>
      <c r="H68" s="33">
        <f t="shared" si="2"/>
        <v>57</v>
      </c>
    </row>
    <row r="69" spans="1:10" s="17" customFormat="1" ht="16" thickTop="1" x14ac:dyDescent="0.35">
      <c r="A69" s="33">
        <f t="shared" si="0"/>
        <v>58</v>
      </c>
      <c r="B69" s="773"/>
      <c r="C69" s="769"/>
      <c r="D69" s="593"/>
      <c r="E69" s="776"/>
      <c r="F69" s="593"/>
      <c r="G69" s="765"/>
      <c r="H69" s="33">
        <f t="shared" si="2"/>
        <v>58</v>
      </c>
    </row>
    <row r="70" spans="1:10" s="17" customFormat="1" ht="18.5" x14ac:dyDescent="0.35">
      <c r="A70" s="33">
        <f t="shared" si="0"/>
        <v>59</v>
      </c>
      <c r="B70" s="777">
        <v>1</v>
      </c>
      <c r="C70" s="769" t="s">
        <v>759</v>
      </c>
      <c r="D70" s="593"/>
      <c r="E70" s="27"/>
      <c r="F70" s="593"/>
      <c r="G70" s="765"/>
      <c r="H70" s="33">
        <f t="shared" si="2"/>
        <v>59</v>
      </c>
      <c r="J70" s="382"/>
    </row>
    <row r="71" spans="1:10" s="17" customFormat="1" ht="18.5" x14ac:dyDescent="0.35">
      <c r="A71" s="33">
        <f t="shared" si="0"/>
        <v>60</v>
      </c>
      <c r="B71" s="777"/>
      <c r="C71" s="769" t="s">
        <v>760</v>
      </c>
      <c r="D71" s="593"/>
      <c r="E71" s="27"/>
      <c r="F71" s="593"/>
      <c r="G71" s="765"/>
      <c r="H71" s="33">
        <f t="shared" si="2"/>
        <v>60</v>
      </c>
      <c r="J71" s="382"/>
    </row>
    <row r="72" spans="1:10" s="17" customFormat="1" ht="18.5" x14ac:dyDescent="0.35">
      <c r="A72" s="33">
        <f t="shared" si="0"/>
        <v>61</v>
      </c>
      <c r="B72" s="777">
        <v>2</v>
      </c>
      <c r="C72" s="769" t="s">
        <v>761</v>
      </c>
      <c r="E72" s="27"/>
      <c r="G72" s="765"/>
      <c r="H72" s="33">
        <f t="shared" si="2"/>
        <v>61</v>
      </c>
    </row>
    <row r="73" spans="1:10" s="17" customFormat="1" ht="18.5" x14ac:dyDescent="0.35">
      <c r="A73" s="33">
        <f t="shared" si="0"/>
        <v>62</v>
      </c>
      <c r="B73" s="777">
        <v>3</v>
      </c>
      <c r="C73" s="769" t="s">
        <v>802</v>
      </c>
      <c r="E73" s="27"/>
      <c r="G73" s="765"/>
      <c r="H73" s="33">
        <f t="shared" si="2"/>
        <v>62</v>
      </c>
    </row>
    <row r="74" spans="1:10" s="17" customFormat="1" ht="18.5" x14ac:dyDescent="0.35">
      <c r="A74" s="33">
        <f t="shared" si="0"/>
        <v>63</v>
      </c>
      <c r="B74" s="777"/>
      <c r="C74" s="769" t="s">
        <v>762</v>
      </c>
      <c r="E74" s="27"/>
      <c r="G74" s="765"/>
      <c r="H74" s="33">
        <f t="shared" si="2"/>
        <v>63</v>
      </c>
    </row>
    <row r="75" spans="1:10" ht="16" thickBot="1" x14ac:dyDescent="0.4">
      <c r="A75" s="33">
        <f t="shared" si="0"/>
        <v>64</v>
      </c>
      <c r="B75" s="778"/>
      <c r="C75" s="77"/>
      <c r="D75" s="77"/>
      <c r="E75" s="709"/>
      <c r="F75" s="77"/>
      <c r="G75" s="758"/>
      <c r="H75" s="33">
        <f t="shared" si="2"/>
        <v>64</v>
      </c>
    </row>
    <row r="76" spans="1:10" x14ac:dyDescent="0.35">
      <c r="A76" s="33"/>
      <c r="B76" s="779"/>
    </row>
    <row r="77" spans="1:10" ht="18" x14ac:dyDescent="0.35">
      <c r="A77" s="33"/>
      <c r="B77" s="282"/>
      <c r="C77" s="17"/>
      <c r="D77" s="156"/>
      <c r="E77" s="156"/>
      <c r="F77" s="156"/>
    </row>
    <row r="78" spans="1:10" ht="18" x14ac:dyDescent="0.35">
      <c r="A78" s="33"/>
      <c r="B78" s="282"/>
      <c r="C78" s="244"/>
      <c r="D78" s="156"/>
      <c r="E78" s="156"/>
      <c r="F78" s="156"/>
    </row>
    <row r="79" spans="1:10" ht="18" x14ac:dyDescent="0.35">
      <c r="A79" s="33"/>
      <c r="B79" s="282"/>
      <c r="C79" s="244"/>
      <c r="D79" s="156"/>
      <c r="E79" s="156"/>
      <c r="F79" s="156"/>
    </row>
    <row r="80" spans="1:10" x14ac:dyDescent="0.35">
      <c r="A80" s="33"/>
      <c r="B80" s="779"/>
    </row>
    <row r="81" spans="1:5" x14ac:dyDescent="0.35">
      <c r="A81" s="33"/>
      <c r="B81" s="779"/>
    </row>
    <row r="82" spans="1:5" x14ac:dyDescent="0.35">
      <c r="A82" s="33"/>
      <c r="B82" s="779"/>
    </row>
    <row r="83" spans="1:5" x14ac:dyDescent="0.35">
      <c r="A83" s="33"/>
      <c r="B83" s="779"/>
    </row>
    <row r="84" spans="1:5" x14ac:dyDescent="0.35">
      <c r="A84" s="33"/>
      <c r="B84" s="779"/>
    </row>
    <row r="85" spans="1:5" x14ac:dyDescent="0.35">
      <c r="A85" s="33"/>
      <c r="B85" s="779"/>
    </row>
    <row r="86" spans="1:5" x14ac:dyDescent="0.35">
      <c r="A86" s="33"/>
      <c r="B86" s="779"/>
    </row>
    <row r="87" spans="1:5" x14ac:dyDescent="0.35">
      <c r="A87" s="33"/>
      <c r="B87" s="779"/>
    </row>
    <row r="88" spans="1:5" x14ac:dyDescent="0.35">
      <c r="A88" s="33"/>
      <c r="B88" s="779"/>
    </row>
    <row r="89" spans="1:5" x14ac:dyDescent="0.35">
      <c r="A89" s="33"/>
      <c r="B89" s="779"/>
      <c r="E89" s="34"/>
    </row>
    <row r="90" spans="1:5" x14ac:dyDescent="0.35">
      <c r="A90" s="33"/>
      <c r="B90" s="779"/>
      <c r="E90" s="34"/>
    </row>
    <row r="91" spans="1:5" x14ac:dyDescent="0.35">
      <c r="A91" s="33"/>
      <c r="B91" s="779"/>
      <c r="E91" s="34"/>
    </row>
    <row r="92" spans="1:5" x14ac:dyDescent="0.35">
      <c r="A92" s="33"/>
      <c r="B92" s="779"/>
      <c r="E92" s="34"/>
    </row>
    <row r="93" spans="1:5" x14ac:dyDescent="0.35">
      <c r="A93" s="33"/>
      <c r="B93" s="779"/>
      <c r="E93" s="34"/>
    </row>
    <row r="94" spans="1:5" x14ac:dyDescent="0.35">
      <c r="A94" s="33"/>
      <c r="B94" s="779"/>
      <c r="E94" s="34"/>
    </row>
    <row r="95" spans="1:5" x14ac:dyDescent="0.35">
      <c r="A95" s="33"/>
      <c r="B95" s="779"/>
      <c r="E95" s="34"/>
    </row>
    <row r="96" spans="1:5" x14ac:dyDescent="0.35">
      <c r="A96" s="33"/>
      <c r="B96" s="779"/>
      <c r="E96" s="34"/>
    </row>
    <row r="97" spans="1:5" x14ac:dyDescent="0.35">
      <c r="A97" s="33"/>
      <c r="B97" s="779"/>
      <c r="E97" s="34"/>
    </row>
    <row r="98" spans="1:5" x14ac:dyDescent="0.35">
      <c r="A98" s="33"/>
      <c r="B98" s="779"/>
      <c r="E98" s="34"/>
    </row>
    <row r="99" spans="1:5" x14ac:dyDescent="0.35">
      <c r="A99" s="33"/>
      <c r="B99" s="779"/>
      <c r="E99" s="34"/>
    </row>
    <row r="100" spans="1:5" x14ac:dyDescent="0.35">
      <c r="A100" s="33"/>
      <c r="B100" s="779"/>
      <c r="E100" s="34"/>
    </row>
    <row r="101" spans="1:5" x14ac:dyDescent="0.35">
      <c r="A101" s="33"/>
      <c r="B101" s="779"/>
      <c r="E101" s="34"/>
    </row>
    <row r="102" spans="1:5" x14ac:dyDescent="0.35">
      <c r="A102" s="33"/>
      <c r="B102" s="779"/>
      <c r="E102" s="34"/>
    </row>
    <row r="103" spans="1:5" x14ac:dyDescent="0.35">
      <c r="B103" s="779"/>
      <c r="E103" s="34"/>
    </row>
    <row r="104" spans="1:5" x14ac:dyDescent="0.35">
      <c r="B104" s="779"/>
      <c r="E104" s="34"/>
    </row>
    <row r="105" spans="1:5" x14ac:dyDescent="0.35">
      <c r="B105" s="779"/>
      <c r="E105" s="34"/>
    </row>
    <row r="106" spans="1:5" x14ac:dyDescent="0.35">
      <c r="B106" s="779"/>
      <c r="E106" s="34"/>
    </row>
    <row r="107" spans="1:5" x14ac:dyDescent="0.35">
      <c r="B107" s="779"/>
      <c r="E107" s="34"/>
    </row>
    <row r="108" spans="1:5" x14ac:dyDescent="0.35">
      <c r="B108" s="779"/>
      <c r="E108" s="34"/>
    </row>
    <row r="109" spans="1:5" x14ac:dyDescent="0.35">
      <c r="B109" s="779"/>
      <c r="E109" s="34"/>
    </row>
    <row r="110" spans="1:5" x14ac:dyDescent="0.35">
      <c r="B110" s="779"/>
      <c r="E110" s="34"/>
    </row>
    <row r="111" spans="1:5" x14ac:dyDescent="0.35">
      <c r="B111" s="779"/>
      <c r="E111" s="34"/>
    </row>
    <row r="112" spans="1:5" x14ac:dyDescent="0.35">
      <c r="B112" s="779"/>
      <c r="E112" s="34"/>
    </row>
    <row r="113" spans="2:5" x14ac:dyDescent="0.35">
      <c r="B113" s="779"/>
      <c r="E113" s="34"/>
    </row>
    <row r="114" spans="2:5" x14ac:dyDescent="0.35">
      <c r="B114" s="779"/>
      <c r="E114" s="34"/>
    </row>
    <row r="115" spans="2:5" x14ac:dyDescent="0.35">
      <c r="B115" s="779"/>
      <c r="E115" s="34"/>
    </row>
    <row r="116" spans="2:5" x14ac:dyDescent="0.35">
      <c r="B116" s="779"/>
      <c r="E116" s="34"/>
    </row>
    <row r="117" spans="2:5" x14ac:dyDescent="0.35">
      <c r="B117" s="779"/>
      <c r="E117" s="34"/>
    </row>
    <row r="118" spans="2:5" x14ac:dyDescent="0.35">
      <c r="B118" s="779"/>
      <c r="E118" s="34"/>
    </row>
    <row r="119" spans="2:5" x14ac:dyDescent="0.35">
      <c r="B119" s="779"/>
      <c r="E119" s="34"/>
    </row>
    <row r="120" spans="2:5" x14ac:dyDescent="0.35">
      <c r="B120" s="779"/>
      <c r="E120" s="34"/>
    </row>
    <row r="121" spans="2:5" x14ac:dyDescent="0.35">
      <c r="B121" s="779"/>
      <c r="E121" s="34"/>
    </row>
    <row r="122" spans="2:5" x14ac:dyDescent="0.35">
      <c r="B122" s="779"/>
      <c r="E122" s="34"/>
    </row>
    <row r="123" spans="2:5" x14ac:dyDescent="0.35">
      <c r="B123" s="779"/>
      <c r="E123" s="34"/>
    </row>
    <row r="124" spans="2:5" x14ac:dyDescent="0.35">
      <c r="B124" s="779"/>
      <c r="E124" s="34"/>
    </row>
    <row r="125" spans="2:5" x14ac:dyDescent="0.35">
      <c r="B125" s="779"/>
      <c r="E125" s="34"/>
    </row>
    <row r="126" spans="2:5" x14ac:dyDescent="0.35">
      <c r="B126" s="779"/>
      <c r="E126" s="34"/>
    </row>
    <row r="127" spans="2:5" x14ac:dyDescent="0.35">
      <c r="B127" s="779"/>
      <c r="E127" s="34"/>
    </row>
    <row r="128" spans="2:5" x14ac:dyDescent="0.35">
      <c r="B128" s="779"/>
      <c r="E128" s="34"/>
    </row>
    <row r="129" spans="2:5" x14ac:dyDescent="0.35">
      <c r="B129" s="779"/>
      <c r="E129" s="34"/>
    </row>
    <row r="130" spans="2:5" x14ac:dyDescent="0.35">
      <c r="B130" s="779"/>
      <c r="E130" s="34"/>
    </row>
    <row r="131" spans="2:5" x14ac:dyDescent="0.35">
      <c r="B131" s="779"/>
      <c r="E131" s="34"/>
    </row>
    <row r="132" spans="2:5" x14ac:dyDescent="0.35">
      <c r="B132" s="779"/>
      <c r="E132" s="34"/>
    </row>
    <row r="133" spans="2:5" x14ac:dyDescent="0.35">
      <c r="B133" s="779"/>
      <c r="E133" s="34"/>
    </row>
    <row r="134" spans="2:5" x14ac:dyDescent="0.35">
      <c r="B134" s="779"/>
      <c r="E134" s="34"/>
    </row>
    <row r="135" spans="2:5" x14ac:dyDescent="0.35">
      <c r="B135" s="779"/>
      <c r="E135" s="34"/>
    </row>
    <row r="136" spans="2:5" x14ac:dyDescent="0.35">
      <c r="B136" s="779"/>
      <c r="E136" s="34"/>
    </row>
    <row r="137" spans="2:5" x14ac:dyDescent="0.35">
      <c r="B137" s="779"/>
      <c r="E137" s="34"/>
    </row>
    <row r="138" spans="2:5" x14ac:dyDescent="0.35">
      <c r="B138" s="779"/>
      <c r="E138" s="34"/>
    </row>
    <row r="139" spans="2:5" x14ac:dyDescent="0.35">
      <c r="B139" s="779"/>
      <c r="E139" s="34"/>
    </row>
    <row r="140" spans="2:5" x14ac:dyDescent="0.35">
      <c r="B140" s="779"/>
      <c r="E140" s="34"/>
    </row>
    <row r="141" spans="2:5" x14ac:dyDescent="0.35">
      <c r="B141" s="779"/>
      <c r="E141" s="34"/>
    </row>
    <row r="142" spans="2:5" x14ac:dyDescent="0.35">
      <c r="B142" s="779"/>
      <c r="E142" s="34"/>
    </row>
    <row r="143" spans="2:5" x14ac:dyDescent="0.35">
      <c r="B143" s="779"/>
      <c r="E143" s="34"/>
    </row>
    <row r="144" spans="2:5" x14ac:dyDescent="0.35">
      <c r="B144" s="779"/>
      <c r="E144" s="34"/>
    </row>
    <row r="145" spans="2:5" x14ac:dyDescent="0.35">
      <c r="B145" s="779"/>
      <c r="E145" s="34"/>
    </row>
    <row r="146" spans="2:5" x14ac:dyDescent="0.35">
      <c r="B146" s="779"/>
      <c r="E146" s="34"/>
    </row>
    <row r="147" spans="2:5" x14ac:dyDescent="0.35">
      <c r="B147" s="779"/>
      <c r="E147" s="34"/>
    </row>
    <row r="148" spans="2:5" x14ac:dyDescent="0.35">
      <c r="B148" s="779"/>
      <c r="E148" s="34"/>
    </row>
    <row r="149" spans="2:5" x14ac:dyDescent="0.35">
      <c r="B149" s="779"/>
      <c r="E149" s="34"/>
    </row>
    <row r="150" spans="2:5" x14ac:dyDescent="0.35">
      <c r="B150" s="779"/>
      <c r="E150" s="34"/>
    </row>
    <row r="151" spans="2:5" x14ac:dyDescent="0.35">
      <c r="B151" s="779"/>
      <c r="E151" s="34"/>
    </row>
    <row r="152" spans="2:5" x14ac:dyDescent="0.35">
      <c r="B152" s="779"/>
      <c r="E152" s="34"/>
    </row>
    <row r="153" spans="2:5" x14ac:dyDescent="0.35">
      <c r="B153" s="779"/>
      <c r="E153" s="34"/>
    </row>
    <row r="154" spans="2:5" x14ac:dyDescent="0.35">
      <c r="B154" s="779"/>
      <c r="E154" s="34"/>
    </row>
    <row r="155" spans="2:5" x14ac:dyDescent="0.35">
      <c r="B155" s="779"/>
      <c r="E155" s="34"/>
    </row>
    <row r="156" spans="2:5" x14ac:dyDescent="0.35">
      <c r="B156" s="779"/>
      <c r="E156" s="34"/>
    </row>
    <row r="157" spans="2:5" x14ac:dyDescent="0.35">
      <c r="B157" s="779"/>
      <c r="E157" s="34"/>
    </row>
    <row r="158" spans="2:5" x14ac:dyDescent="0.35">
      <c r="B158" s="779"/>
      <c r="E158" s="34"/>
    </row>
    <row r="159" spans="2:5" x14ac:dyDescent="0.35">
      <c r="B159" s="779"/>
      <c r="E159" s="34"/>
    </row>
    <row r="160" spans="2:5" x14ac:dyDescent="0.35">
      <c r="B160" s="779"/>
      <c r="E160" s="34"/>
    </row>
    <row r="161" spans="2:5" x14ac:dyDescent="0.35">
      <c r="B161" s="779"/>
      <c r="E161" s="34"/>
    </row>
    <row r="162" spans="2:5" x14ac:dyDescent="0.35">
      <c r="B162" s="779"/>
      <c r="E162" s="34"/>
    </row>
    <row r="163" spans="2:5" x14ac:dyDescent="0.35">
      <c r="B163" s="779"/>
      <c r="E163" s="34"/>
    </row>
    <row r="164" spans="2:5" x14ac:dyDescent="0.35">
      <c r="B164" s="779"/>
      <c r="E164" s="34"/>
    </row>
    <row r="165" spans="2:5" x14ac:dyDescent="0.35">
      <c r="B165" s="779"/>
      <c r="E165" s="34"/>
    </row>
    <row r="166" spans="2:5" x14ac:dyDescent="0.35">
      <c r="B166" s="779"/>
      <c r="E166" s="34"/>
    </row>
    <row r="167" spans="2:5" x14ac:dyDescent="0.35">
      <c r="B167" s="779"/>
      <c r="E167" s="34"/>
    </row>
    <row r="168" spans="2:5" x14ac:dyDescent="0.35">
      <c r="B168" s="779"/>
      <c r="E168" s="34"/>
    </row>
    <row r="169" spans="2:5" x14ac:dyDescent="0.35">
      <c r="B169" s="779"/>
      <c r="E169" s="34"/>
    </row>
    <row r="170" spans="2:5" x14ac:dyDescent="0.35">
      <c r="B170" s="779"/>
      <c r="E170" s="34"/>
    </row>
    <row r="171" spans="2:5" x14ac:dyDescent="0.35">
      <c r="B171" s="779"/>
      <c r="E171" s="34"/>
    </row>
    <row r="172" spans="2:5" x14ac:dyDescent="0.35">
      <c r="B172" s="779"/>
      <c r="E172" s="34"/>
    </row>
    <row r="173" spans="2:5" x14ac:dyDescent="0.35">
      <c r="B173" s="779"/>
      <c r="E173" s="34"/>
    </row>
    <row r="174" spans="2:5" x14ac:dyDescent="0.35">
      <c r="B174" s="779"/>
      <c r="E174" s="34"/>
    </row>
    <row r="175" spans="2:5" x14ac:dyDescent="0.35">
      <c r="B175" s="779"/>
      <c r="E175" s="34"/>
    </row>
    <row r="176" spans="2:5" x14ac:dyDescent="0.35">
      <c r="B176" s="779"/>
      <c r="E176" s="34"/>
    </row>
    <row r="177" spans="2:5" x14ac:dyDescent="0.35">
      <c r="B177" s="779"/>
      <c r="E177" s="34"/>
    </row>
    <row r="178" spans="2:5" x14ac:dyDescent="0.35">
      <c r="B178" s="779"/>
      <c r="E178" s="34"/>
    </row>
    <row r="179" spans="2:5" x14ac:dyDescent="0.35">
      <c r="B179" s="779"/>
      <c r="E179" s="34"/>
    </row>
    <row r="180" spans="2:5" x14ac:dyDescent="0.35">
      <c r="B180" s="779"/>
      <c r="E180" s="34"/>
    </row>
    <row r="181" spans="2:5" x14ac:dyDescent="0.35">
      <c r="B181" s="779"/>
      <c r="E181" s="34"/>
    </row>
    <row r="182" spans="2:5" x14ac:dyDescent="0.35">
      <c r="B182" s="779"/>
      <c r="E182" s="34"/>
    </row>
    <row r="183" spans="2:5" x14ac:dyDescent="0.35">
      <c r="B183" s="779"/>
      <c r="E183" s="34"/>
    </row>
    <row r="184" spans="2:5" x14ac:dyDescent="0.35">
      <c r="B184" s="779"/>
      <c r="E184" s="34"/>
    </row>
    <row r="185" spans="2:5" x14ac:dyDescent="0.35">
      <c r="B185" s="779"/>
      <c r="E185" s="34"/>
    </row>
    <row r="186" spans="2:5" x14ac:dyDescent="0.35">
      <c r="B186" s="779"/>
      <c r="E186" s="34"/>
    </row>
    <row r="187" spans="2:5" x14ac:dyDescent="0.35">
      <c r="B187" s="779"/>
      <c r="E187" s="34"/>
    </row>
    <row r="188" spans="2:5" x14ac:dyDescent="0.35">
      <c r="B188" s="779"/>
      <c r="E188" s="34"/>
    </row>
    <row r="189" spans="2:5" x14ac:dyDescent="0.35">
      <c r="B189" s="779"/>
      <c r="E189" s="34"/>
    </row>
    <row r="190" spans="2:5" x14ac:dyDescent="0.35">
      <c r="B190" s="779"/>
      <c r="E190" s="34"/>
    </row>
    <row r="191" spans="2:5" x14ac:dyDescent="0.35">
      <c r="B191" s="779"/>
      <c r="E191" s="34"/>
    </row>
    <row r="192" spans="2:5" x14ac:dyDescent="0.35">
      <c r="B192" s="779"/>
      <c r="E192" s="34"/>
    </row>
    <row r="193" spans="2:5" x14ac:dyDescent="0.35">
      <c r="B193" s="779"/>
      <c r="E193" s="34"/>
    </row>
    <row r="194" spans="2:5" x14ac:dyDescent="0.35">
      <c r="B194" s="779"/>
      <c r="E194" s="34"/>
    </row>
    <row r="195" spans="2:5" x14ac:dyDescent="0.35">
      <c r="B195" s="779"/>
      <c r="E195" s="34"/>
    </row>
    <row r="196" spans="2:5" x14ac:dyDescent="0.35">
      <c r="B196" s="779"/>
      <c r="E196" s="34"/>
    </row>
    <row r="197" spans="2:5" x14ac:dyDescent="0.35">
      <c r="B197" s="779"/>
      <c r="E197" s="34"/>
    </row>
    <row r="198" spans="2:5" x14ac:dyDescent="0.35">
      <c r="B198" s="779"/>
      <c r="E198" s="34"/>
    </row>
    <row r="199" spans="2:5" x14ac:dyDescent="0.35">
      <c r="B199" s="779"/>
      <c r="E199" s="34"/>
    </row>
    <row r="200" spans="2:5" x14ac:dyDescent="0.35">
      <c r="B200" s="779"/>
      <c r="E200" s="34"/>
    </row>
    <row r="201" spans="2:5" x14ac:dyDescent="0.35">
      <c r="B201" s="779"/>
      <c r="E201" s="34"/>
    </row>
    <row r="202" spans="2:5" x14ac:dyDescent="0.35">
      <c r="B202" s="779"/>
      <c r="E202" s="34"/>
    </row>
    <row r="203" spans="2:5" x14ac:dyDescent="0.35">
      <c r="B203" s="779"/>
      <c r="E203" s="34"/>
    </row>
    <row r="204" spans="2:5" x14ac:dyDescent="0.35">
      <c r="B204" s="779"/>
      <c r="E204" s="34"/>
    </row>
    <row r="205" spans="2:5" x14ac:dyDescent="0.35">
      <c r="B205" s="779"/>
      <c r="E205" s="34"/>
    </row>
    <row r="206" spans="2:5" x14ac:dyDescent="0.35">
      <c r="B206" s="779"/>
      <c r="E206" s="34"/>
    </row>
    <row r="207" spans="2:5" x14ac:dyDescent="0.35">
      <c r="B207" s="779"/>
      <c r="E207" s="34"/>
    </row>
    <row r="208" spans="2:5" x14ac:dyDescent="0.35">
      <c r="B208" s="779"/>
      <c r="E208" s="34"/>
    </row>
    <row r="209" spans="2:5" x14ac:dyDescent="0.35">
      <c r="B209" s="779"/>
      <c r="E209" s="34"/>
    </row>
    <row r="210" spans="2:5" x14ac:dyDescent="0.35">
      <c r="B210" s="779"/>
      <c r="E210" s="34"/>
    </row>
    <row r="211" spans="2:5" x14ac:dyDescent="0.35">
      <c r="B211" s="779"/>
      <c r="E211" s="34"/>
    </row>
    <row r="212" spans="2:5" x14ac:dyDescent="0.35">
      <c r="B212" s="779"/>
      <c r="E212" s="34"/>
    </row>
    <row r="213" spans="2:5" x14ac:dyDescent="0.35">
      <c r="B213" s="779"/>
      <c r="E213" s="34"/>
    </row>
    <row r="214" spans="2:5" x14ac:dyDescent="0.35">
      <c r="B214" s="779"/>
      <c r="E214" s="34"/>
    </row>
    <row r="215" spans="2:5" x14ac:dyDescent="0.35">
      <c r="B215" s="779"/>
      <c r="E215" s="34"/>
    </row>
    <row r="216" spans="2:5" x14ac:dyDescent="0.35">
      <c r="B216" s="779"/>
      <c r="E216" s="34"/>
    </row>
    <row r="217" spans="2:5" x14ac:dyDescent="0.35">
      <c r="B217" s="779"/>
      <c r="E217" s="34"/>
    </row>
    <row r="218" spans="2:5" x14ac:dyDescent="0.35">
      <c r="B218" s="779"/>
      <c r="E218" s="34"/>
    </row>
    <row r="219" spans="2:5" x14ac:dyDescent="0.35">
      <c r="B219" s="779"/>
      <c r="E219" s="34"/>
    </row>
    <row r="220" spans="2:5" x14ac:dyDescent="0.35">
      <c r="B220" s="779"/>
      <c r="E220" s="34"/>
    </row>
    <row r="221" spans="2:5" x14ac:dyDescent="0.35">
      <c r="B221" s="779"/>
      <c r="E221" s="34"/>
    </row>
    <row r="222" spans="2:5" x14ac:dyDescent="0.35">
      <c r="B222" s="779"/>
      <c r="E222" s="34"/>
    </row>
    <row r="223" spans="2:5" x14ac:dyDescent="0.35">
      <c r="B223" s="779"/>
      <c r="E223" s="34"/>
    </row>
    <row r="224" spans="2:5" x14ac:dyDescent="0.35">
      <c r="B224" s="779"/>
      <c r="E224" s="34"/>
    </row>
    <row r="225" spans="2:5" x14ac:dyDescent="0.35">
      <c r="B225" s="779"/>
      <c r="E225" s="34"/>
    </row>
    <row r="226" spans="2:5" x14ac:dyDescent="0.35">
      <c r="B226" s="779"/>
      <c r="E226" s="34"/>
    </row>
    <row r="227" spans="2:5" x14ac:dyDescent="0.35">
      <c r="B227" s="779"/>
      <c r="E227" s="34"/>
    </row>
    <row r="228" spans="2:5" x14ac:dyDescent="0.35">
      <c r="B228" s="779"/>
      <c r="E228" s="34"/>
    </row>
    <row r="229" spans="2:5" x14ac:dyDescent="0.35">
      <c r="B229" s="779"/>
      <c r="E229" s="34"/>
    </row>
    <row r="230" spans="2:5" x14ac:dyDescent="0.35">
      <c r="B230" s="779"/>
      <c r="E230" s="34"/>
    </row>
    <row r="231" spans="2:5" x14ac:dyDescent="0.35">
      <c r="B231" s="779"/>
      <c r="E231" s="34"/>
    </row>
    <row r="232" spans="2:5" x14ac:dyDescent="0.35">
      <c r="B232" s="779"/>
      <c r="E232" s="34"/>
    </row>
    <row r="233" spans="2:5" x14ac:dyDescent="0.35">
      <c r="B233" s="779"/>
      <c r="E233" s="34"/>
    </row>
    <row r="234" spans="2:5" x14ac:dyDescent="0.35">
      <c r="B234" s="779"/>
      <c r="E234" s="34"/>
    </row>
    <row r="235" spans="2:5" x14ac:dyDescent="0.35">
      <c r="B235" s="779"/>
      <c r="E235" s="34"/>
    </row>
    <row r="236" spans="2:5" x14ac:dyDescent="0.35">
      <c r="B236" s="779"/>
      <c r="E236" s="34"/>
    </row>
    <row r="237" spans="2:5" x14ac:dyDescent="0.35">
      <c r="B237" s="779"/>
      <c r="E237" s="34"/>
    </row>
    <row r="238" spans="2:5" x14ac:dyDescent="0.35">
      <c r="B238" s="779"/>
      <c r="E238" s="34"/>
    </row>
    <row r="239" spans="2:5" x14ac:dyDescent="0.35">
      <c r="B239" s="779"/>
      <c r="E239" s="34"/>
    </row>
    <row r="240" spans="2:5" x14ac:dyDescent="0.35">
      <c r="B240" s="779"/>
      <c r="E240" s="34"/>
    </row>
    <row r="241" spans="2:5" x14ac:dyDescent="0.35">
      <c r="B241" s="779"/>
      <c r="E241" s="34"/>
    </row>
    <row r="242" spans="2:5" x14ac:dyDescent="0.35">
      <c r="B242" s="779"/>
      <c r="E242" s="34"/>
    </row>
    <row r="243" spans="2:5" x14ac:dyDescent="0.35">
      <c r="B243" s="779"/>
      <c r="E243" s="34"/>
    </row>
    <row r="244" spans="2:5" x14ac:dyDescent="0.35">
      <c r="B244" s="779"/>
      <c r="E244" s="34"/>
    </row>
    <row r="245" spans="2:5" x14ac:dyDescent="0.35">
      <c r="B245" s="779"/>
      <c r="E245" s="34"/>
    </row>
    <row r="246" spans="2:5" x14ac:dyDescent="0.35">
      <c r="B246" s="779"/>
      <c r="E246" s="34"/>
    </row>
    <row r="247" spans="2:5" x14ac:dyDescent="0.35">
      <c r="B247" s="779"/>
      <c r="E247" s="34"/>
    </row>
    <row r="248" spans="2:5" x14ac:dyDescent="0.35">
      <c r="B248" s="779"/>
      <c r="E248" s="34"/>
    </row>
    <row r="249" spans="2:5" x14ac:dyDescent="0.35">
      <c r="B249" s="779"/>
      <c r="E249" s="34"/>
    </row>
    <row r="250" spans="2:5" x14ac:dyDescent="0.35">
      <c r="B250" s="779"/>
      <c r="E250" s="34"/>
    </row>
    <row r="251" spans="2:5" x14ac:dyDescent="0.35">
      <c r="B251" s="779"/>
      <c r="E251" s="34"/>
    </row>
    <row r="252" spans="2:5" x14ac:dyDescent="0.35">
      <c r="B252" s="779"/>
      <c r="E252" s="34"/>
    </row>
    <row r="253" spans="2:5" x14ac:dyDescent="0.35">
      <c r="B253" s="779"/>
      <c r="E253" s="34"/>
    </row>
    <row r="254" spans="2:5" x14ac:dyDescent="0.35">
      <c r="B254" s="779"/>
      <c r="E254" s="34"/>
    </row>
    <row r="255" spans="2:5" x14ac:dyDescent="0.35">
      <c r="B255" s="779"/>
      <c r="E255" s="34"/>
    </row>
    <row r="256" spans="2:5" x14ac:dyDescent="0.35">
      <c r="B256" s="779"/>
      <c r="E256" s="34"/>
    </row>
    <row r="257" spans="2:5" x14ac:dyDescent="0.35">
      <c r="B257" s="779"/>
      <c r="E257" s="34"/>
    </row>
    <row r="258" spans="2:5" x14ac:dyDescent="0.35">
      <c r="B258" s="779"/>
      <c r="E258" s="34"/>
    </row>
    <row r="259" spans="2:5" x14ac:dyDescent="0.35">
      <c r="B259" s="779"/>
      <c r="E259" s="34"/>
    </row>
    <row r="260" spans="2:5" x14ac:dyDescent="0.35">
      <c r="B260" s="779"/>
      <c r="E260" s="34"/>
    </row>
    <row r="261" spans="2:5" x14ac:dyDescent="0.35">
      <c r="B261" s="779"/>
      <c r="E261" s="34"/>
    </row>
    <row r="262" spans="2:5" x14ac:dyDescent="0.35">
      <c r="B262" s="779"/>
      <c r="E262" s="34"/>
    </row>
    <row r="263" spans="2:5" x14ac:dyDescent="0.35">
      <c r="B263" s="779"/>
      <c r="E263" s="34"/>
    </row>
    <row r="264" spans="2:5" x14ac:dyDescent="0.35">
      <c r="B264" s="779"/>
      <c r="E264" s="34"/>
    </row>
    <row r="265" spans="2:5" x14ac:dyDescent="0.35">
      <c r="B265" s="779"/>
      <c r="E265" s="34"/>
    </row>
    <row r="266" spans="2:5" x14ac:dyDescent="0.35">
      <c r="B266" s="779"/>
      <c r="E266" s="34"/>
    </row>
    <row r="267" spans="2:5" x14ac:dyDescent="0.35">
      <c r="B267" s="779"/>
      <c r="E267" s="34"/>
    </row>
    <row r="268" spans="2:5" x14ac:dyDescent="0.35">
      <c r="B268" s="779"/>
      <c r="E268" s="34"/>
    </row>
    <row r="269" spans="2:5" x14ac:dyDescent="0.35">
      <c r="B269" s="779"/>
      <c r="E269" s="34"/>
    </row>
    <row r="270" spans="2:5" x14ac:dyDescent="0.35">
      <c r="B270" s="779"/>
      <c r="E270" s="34"/>
    </row>
    <row r="271" spans="2:5" x14ac:dyDescent="0.35">
      <c r="B271" s="779"/>
      <c r="E271" s="34"/>
    </row>
    <row r="272" spans="2:5" x14ac:dyDescent="0.35">
      <c r="B272" s="779"/>
      <c r="E272" s="34"/>
    </row>
    <row r="273" spans="2:5" x14ac:dyDescent="0.35">
      <c r="B273" s="779"/>
      <c r="E273" s="34"/>
    </row>
    <row r="274" spans="2:5" x14ac:dyDescent="0.35">
      <c r="B274" s="779"/>
      <c r="E274" s="34"/>
    </row>
    <row r="275" spans="2:5" x14ac:dyDescent="0.35">
      <c r="B275" s="779"/>
      <c r="E275" s="34"/>
    </row>
    <row r="276" spans="2:5" x14ac:dyDescent="0.35">
      <c r="B276" s="779"/>
      <c r="E276" s="34"/>
    </row>
    <row r="277" spans="2:5" x14ac:dyDescent="0.35">
      <c r="B277" s="779"/>
      <c r="E277" s="34"/>
    </row>
    <row r="278" spans="2:5" x14ac:dyDescent="0.35">
      <c r="B278" s="779"/>
      <c r="E278" s="34"/>
    </row>
    <row r="279" spans="2:5" x14ac:dyDescent="0.35">
      <c r="B279" s="779"/>
      <c r="E279" s="34"/>
    </row>
    <row r="280" spans="2:5" x14ac:dyDescent="0.35">
      <c r="B280" s="779"/>
      <c r="E280" s="34"/>
    </row>
    <row r="281" spans="2:5" x14ac:dyDescent="0.35">
      <c r="B281" s="779"/>
      <c r="E281" s="34"/>
    </row>
    <row r="282" spans="2:5" x14ac:dyDescent="0.35">
      <c r="B282" s="779"/>
      <c r="E282" s="34"/>
    </row>
    <row r="283" spans="2:5" x14ac:dyDescent="0.35">
      <c r="B283" s="779"/>
      <c r="E283" s="34"/>
    </row>
    <row r="284" spans="2:5" x14ac:dyDescent="0.35">
      <c r="B284" s="779"/>
      <c r="E284" s="34"/>
    </row>
    <row r="285" spans="2:5" x14ac:dyDescent="0.35">
      <c r="B285" s="779"/>
      <c r="E285" s="34"/>
    </row>
    <row r="286" spans="2:5" x14ac:dyDescent="0.35">
      <c r="B286" s="779"/>
      <c r="E286" s="34"/>
    </row>
    <row r="287" spans="2:5" x14ac:dyDescent="0.35">
      <c r="B287" s="779"/>
      <c r="E287" s="34"/>
    </row>
    <row r="288" spans="2:5" x14ac:dyDescent="0.35">
      <c r="B288" s="779"/>
      <c r="E288" s="34"/>
    </row>
    <row r="289" spans="2:5" x14ac:dyDescent="0.35">
      <c r="B289" s="779"/>
      <c r="E289" s="34"/>
    </row>
    <row r="290" spans="2:5" x14ac:dyDescent="0.35">
      <c r="B290" s="779"/>
      <c r="E290" s="34"/>
    </row>
    <row r="291" spans="2:5" x14ac:dyDescent="0.35">
      <c r="B291" s="779"/>
      <c r="E291" s="34"/>
    </row>
    <row r="292" spans="2:5" x14ac:dyDescent="0.35">
      <c r="B292" s="779"/>
      <c r="E292" s="34"/>
    </row>
    <row r="293" spans="2:5" x14ac:dyDescent="0.35">
      <c r="B293" s="779"/>
      <c r="E293" s="34"/>
    </row>
    <row r="294" spans="2:5" x14ac:dyDescent="0.35">
      <c r="B294" s="779"/>
      <c r="E294" s="34"/>
    </row>
    <row r="295" spans="2:5" x14ac:dyDescent="0.35">
      <c r="B295" s="779"/>
      <c r="E295" s="34"/>
    </row>
    <row r="296" spans="2:5" x14ac:dyDescent="0.35">
      <c r="B296" s="779"/>
      <c r="E296" s="34"/>
    </row>
    <row r="297" spans="2:5" x14ac:dyDescent="0.35">
      <c r="B297" s="779"/>
      <c r="E297" s="34"/>
    </row>
    <row r="298" spans="2:5" x14ac:dyDescent="0.35">
      <c r="B298" s="779"/>
      <c r="E298" s="34"/>
    </row>
    <row r="299" spans="2:5" x14ac:dyDescent="0.35">
      <c r="B299" s="779"/>
      <c r="E299" s="34"/>
    </row>
    <row r="300" spans="2:5" x14ac:dyDescent="0.35">
      <c r="B300" s="779"/>
      <c r="E300" s="34"/>
    </row>
    <row r="301" spans="2:5" x14ac:dyDescent="0.35">
      <c r="B301" s="779"/>
      <c r="E301" s="34"/>
    </row>
    <row r="302" spans="2:5" x14ac:dyDescent="0.35">
      <c r="B302" s="779"/>
      <c r="E302" s="34"/>
    </row>
    <row r="303" spans="2:5" x14ac:dyDescent="0.35">
      <c r="B303" s="779"/>
      <c r="E303" s="34"/>
    </row>
    <row r="304" spans="2:5" x14ac:dyDescent="0.35">
      <c r="B304" s="779"/>
      <c r="E304" s="34"/>
    </row>
    <row r="305" spans="2:5" x14ac:dyDescent="0.35">
      <c r="B305" s="779"/>
      <c r="E305" s="34"/>
    </row>
    <row r="306" spans="2:5" x14ac:dyDescent="0.35">
      <c r="B306" s="779"/>
      <c r="E306" s="34"/>
    </row>
    <row r="307" spans="2:5" x14ac:dyDescent="0.35">
      <c r="B307" s="779"/>
      <c r="E307" s="34"/>
    </row>
    <row r="308" spans="2:5" x14ac:dyDescent="0.35">
      <c r="B308" s="779"/>
      <c r="E308" s="34"/>
    </row>
    <row r="309" spans="2:5" x14ac:dyDescent="0.35">
      <c r="B309" s="779"/>
      <c r="E309" s="34"/>
    </row>
    <row r="310" spans="2:5" x14ac:dyDescent="0.35">
      <c r="B310" s="779"/>
      <c r="E310" s="34"/>
    </row>
    <row r="311" spans="2:5" x14ac:dyDescent="0.35">
      <c r="B311" s="779"/>
      <c r="E311" s="34"/>
    </row>
    <row r="312" spans="2:5" x14ac:dyDescent="0.35">
      <c r="B312" s="779"/>
      <c r="E312" s="34"/>
    </row>
    <row r="313" spans="2:5" x14ac:dyDescent="0.35">
      <c r="B313" s="779"/>
      <c r="E313" s="34"/>
    </row>
    <row r="314" spans="2:5" x14ac:dyDescent="0.35">
      <c r="B314" s="779"/>
      <c r="E314" s="34"/>
    </row>
    <row r="315" spans="2:5" x14ac:dyDescent="0.35">
      <c r="B315" s="779"/>
      <c r="E315" s="34"/>
    </row>
    <row r="316" spans="2:5" x14ac:dyDescent="0.35">
      <c r="B316" s="779"/>
      <c r="E316" s="34"/>
    </row>
    <row r="317" spans="2:5" x14ac:dyDescent="0.35">
      <c r="B317" s="779"/>
      <c r="E317" s="34"/>
    </row>
    <row r="318" spans="2:5" x14ac:dyDescent="0.35">
      <c r="B318" s="779"/>
      <c r="E318" s="34"/>
    </row>
    <row r="319" spans="2:5" x14ac:dyDescent="0.35">
      <c r="B319" s="779"/>
      <c r="E319" s="34"/>
    </row>
    <row r="320" spans="2:5" x14ac:dyDescent="0.35">
      <c r="B320" s="779"/>
      <c r="E320" s="34"/>
    </row>
    <row r="321" spans="2:5" x14ac:dyDescent="0.35">
      <c r="B321" s="779"/>
      <c r="E321" s="34"/>
    </row>
    <row r="322" spans="2:5" x14ac:dyDescent="0.35">
      <c r="B322" s="779"/>
      <c r="E322" s="34"/>
    </row>
    <row r="323" spans="2:5" x14ac:dyDescent="0.35">
      <c r="B323" s="779"/>
      <c r="E323" s="34"/>
    </row>
    <row r="324" spans="2:5" x14ac:dyDescent="0.35">
      <c r="B324" s="779"/>
      <c r="E324" s="34"/>
    </row>
    <row r="325" spans="2:5" x14ac:dyDescent="0.35">
      <c r="B325" s="779"/>
      <c r="E325" s="34"/>
    </row>
    <row r="326" spans="2:5" x14ac:dyDescent="0.35">
      <c r="B326" s="779"/>
      <c r="E326" s="34"/>
    </row>
    <row r="327" spans="2:5" x14ac:dyDescent="0.35">
      <c r="B327" s="779"/>
      <c r="E327" s="34"/>
    </row>
    <row r="328" spans="2:5" x14ac:dyDescent="0.35">
      <c r="B328" s="779"/>
      <c r="E328" s="34"/>
    </row>
    <row r="329" spans="2:5" x14ac:dyDescent="0.35">
      <c r="B329" s="779"/>
      <c r="E329" s="34"/>
    </row>
    <row r="330" spans="2:5" x14ac:dyDescent="0.35">
      <c r="B330" s="779"/>
      <c r="E330" s="34"/>
    </row>
    <row r="331" spans="2:5" x14ac:dyDescent="0.35">
      <c r="B331" s="779"/>
      <c r="E331" s="34"/>
    </row>
    <row r="332" spans="2:5" x14ac:dyDescent="0.35">
      <c r="B332" s="779"/>
      <c r="E332" s="34"/>
    </row>
    <row r="333" spans="2:5" x14ac:dyDescent="0.35">
      <c r="B333" s="779"/>
      <c r="E333" s="34"/>
    </row>
    <row r="334" spans="2:5" x14ac:dyDescent="0.35">
      <c r="B334" s="779"/>
      <c r="E334" s="34"/>
    </row>
    <row r="335" spans="2:5" x14ac:dyDescent="0.35">
      <c r="B335" s="779"/>
      <c r="E335" s="34"/>
    </row>
    <row r="336" spans="2:5" x14ac:dyDescent="0.35">
      <c r="B336" s="779"/>
      <c r="E336" s="34"/>
    </row>
    <row r="337" spans="2:5" x14ac:dyDescent="0.35">
      <c r="B337" s="779"/>
      <c r="E337" s="34"/>
    </row>
    <row r="338" spans="2:5" x14ac:dyDescent="0.35">
      <c r="B338" s="779"/>
      <c r="E338" s="34"/>
    </row>
    <row r="339" spans="2:5" x14ac:dyDescent="0.35">
      <c r="B339" s="779"/>
      <c r="E339" s="34"/>
    </row>
    <row r="340" spans="2:5" x14ac:dyDescent="0.35">
      <c r="B340" s="779"/>
      <c r="E340" s="34"/>
    </row>
    <row r="341" spans="2:5" x14ac:dyDescent="0.35">
      <c r="B341" s="779"/>
      <c r="E341" s="34"/>
    </row>
    <row r="342" spans="2:5" x14ac:dyDescent="0.35">
      <c r="B342" s="779"/>
      <c r="E342" s="34"/>
    </row>
    <row r="343" spans="2:5" x14ac:dyDescent="0.35">
      <c r="B343" s="779"/>
      <c r="E343" s="34"/>
    </row>
    <row r="344" spans="2:5" x14ac:dyDescent="0.35">
      <c r="B344" s="779"/>
      <c r="E344" s="34"/>
    </row>
    <row r="345" spans="2:5" x14ac:dyDescent="0.35">
      <c r="B345" s="779"/>
      <c r="E345" s="34"/>
    </row>
    <row r="346" spans="2:5" x14ac:dyDescent="0.35">
      <c r="B346" s="779"/>
      <c r="E346" s="34"/>
    </row>
    <row r="347" spans="2:5" x14ac:dyDescent="0.35">
      <c r="B347" s="779"/>
      <c r="E347" s="34"/>
    </row>
    <row r="348" spans="2:5" x14ac:dyDescent="0.35">
      <c r="B348" s="779"/>
      <c r="E348" s="34"/>
    </row>
    <row r="349" spans="2:5" x14ac:dyDescent="0.35">
      <c r="B349" s="779"/>
      <c r="E349" s="34"/>
    </row>
    <row r="350" spans="2:5" x14ac:dyDescent="0.35">
      <c r="B350" s="779"/>
      <c r="E350" s="34"/>
    </row>
    <row r="351" spans="2:5" x14ac:dyDescent="0.35">
      <c r="B351" s="779"/>
      <c r="E351" s="34"/>
    </row>
    <row r="352" spans="2:5" x14ac:dyDescent="0.35">
      <c r="B352" s="779"/>
      <c r="E352" s="34"/>
    </row>
    <row r="353" spans="2:5" x14ac:dyDescent="0.35">
      <c r="B353" s="779"/>
      <c r="E353" s="34"/>
    </row>
    <row r="354" spans="2:5" x14ac:dyDescent="0.35">
      <c r="B354" s="779"/>
      <c r="E354" s="34"/>
    </row>
    <row r="355" spans="2:5" x14ac:dyDescent="0.35">
      <c r="B355" s="779"/>
      <c r="E355" s="34"/>
    </row>
    <row r="356" spans="2:5" x14ac:dyDescent="0.35">
      <c r="B356" s="779"/>
      <c r="E356" s="34"/>
    </row>
    <row r="357" spans="2:5" x14ac:dyDescent="0.35">
      <c r="B357" s="779"/>
      <c r="E357" s="34"/>
    </row>
    <row r="358" spans="2:5" x14ac:dyDescent="0.35">
      <c r="B358" s="779"/>
      <c r="E358" s="34"/>
    </row>
    <row r="359" spans="2:5" x14ac:dyDescent="0.35">
      <c r="B359" s="779"/>
      <c r="E359" s="34"/>
    </row>
    <row r="360" spans="2:5" x14ac:dyDescent="0.35">
      <c r="B360" s="779"/>
      <c r="E360" s="34"/>
    </row>
    <row r="361" spans="2:5" x14ac:dyDescent="0.35">
      <c r="B361" s="779"/>
      <c r="E361" s="34"/>
    </row>
    <row r="362" spans="2:5" x14ac:dyDescent="0.35">
      <c r="B362" s="779"/>
      <c r="E362" s="34"/>
    </row>
    <row r="363" spans="2:5" x14ac:dyDescent="0.35">
      <c r="B363" s="779"/>
      <c r="E363" s="34"/>
    </row>
    <row r="364" spans="2:5" x14ac:dyDescent="0.35">
      <c r="B364" s="779"/>
      <c r="E364" s="34"/>
    </row>
    <row r="365" spans="2:5" x14ac:dyDescent="0.35">
      <c r="B365" s="779"/>
      <c r="E365" s="34"/>
    </row>
    <row r="366" spans="2:5" x14ac:dyDescent="0.35">
      <c r="B366" s="779"/>
      <c r="E366" s="34"/>
    </row>
    <row r="367" spans="2:5" x14ac:dyDescent="0.35">
      <c r="B367" s="779"/>
      <c r="E367" s="34"/>
    </row>
    <row r="368" spans="2:5" x14ac:dyDescent="0.35">
      <c r="B368" s="779"/>
      <c r="E368" s="34"/>
    </row>
    <row r="369" spans="2:5" x14ac:dyDescent="0.35">
      <c r="B369" s="779"/>
      <c r="E369" s="34"/>
    </row>
    <row r="370" spans="2:5" x14ac:dyDescent="0.35">
      <c r="B370" s="779"/>
      <c r="E370" s="34"/>
    </row>
    <row r="371" spans="2:5" x14ac:dyDescent="0.35">
      <c r="B371" s="779"/>
      <c r="E371" s="34"/>
    </row>
    <row r="372" spans="2:5" x14ac:dyDescent="0.35">
      <c r="B372" s="779"/>
      <c r="E372" s="34"/>
    </row>
    <row r="373" spans="2:5" x14ac:dyDescent="0.35">
      <c r="B373" s="779"/>
      <c r="E373" s="34"/>
    </row>
    <row r="374" spans="2:5" x14ac:dyDescent="0.35">
      <c r="B374" s="779"/>
      <c r="E374" s="34"/>
    </row>
    <row r="375" spans="2:5" x14ac:dyDescent="0.35">
      <c r="B375" s="779"/>
      <c r="E375" s="34"/>
    </row>
    <row r="376" spans="2:5" x14ac:dyDescent="0.35">
      <c r="B376" s="779"/>
      <c r="E376" s="34"/>
    </row>
    <row r="377" spans="2:5" x14ac:dyDescent="0.35">
      <c r="B377" s="779"/>
      <c r="E377" s="34"/>
    </row>
    <row r="378" spans="2:5" x14ac:dyDescent="0.35">
      <c r="B378" s="779"/>
      <c r="E378" s="34"/>
    </row>
    <row r="379" spans="2:5" x14ac:dyDescent="0.35">
      <c r="B379" s="779"/>
      <c r="E379" s="34"/>
    </row>
    <row r="380" spans="2:5" x14ac:dyDescent="0.35">
      <c r="B380" s="779"/>
      <c r="E380" s="34"/>
    </row>
    <row r="381" spans="2:5" x14ac:dyDescent="0.35">
      <c r="B381" s="779"/>
      <c r="E381" s="34"/>
    </row>
    <row r="382" spans="2:5" x14ac:dyDescent="0.35">
      <c r="B382" s="779"/>
      <c r="E382" s="34"/>
    </row>
    <row r="383" spans="2:5" x14ac:dyDescent="0.35">
      <c r="B383" s="779"/>
      <c r="E383" s="34"/>
    </row>
    <row r="384" spans="2:5" x14ac:dyDescent="0.35">
      <c r="B384" s="779"/>
      <c r="E384" s="34"/>
    </row>
    <row r="385" spans="2:5" x14ac:dyDescent="0.35">
      <c r="B385" s="779"/>
      <c r="E385" s="34"/>
    </row>
    <row r="386" spans="2:5" x14ac:dyDescent="0.35">
      <c r="B386" s="779"/>
      <c r="E386" s="34"/>
    </row>
    <row r="387" spans="2:5" x14ac:dyDescent="0.35">
      <c r="B387" s="779"/>
      <c r="E387" s="34"/>
    </row>
    <row r="388" spans="2:5" x14ac:dyDescent="0.35">
      <c r="B388" s="779"/>
      <c r="E388" s="34"/>
    </row>
    <row r="389" spans="2:5" x14ac:dyDescent="0.35">
      <c r="B389" s="779"/>
      <c r="E389" s="34"/>
    </row>
    <row r="390" spans="2:5" x14ac:dyDescent="0.35">
      <c r="B390" s="779"/>
      <c r="E390" s="34"/>
    </row>
    <row r="391" spans="2:5" x14ac:dyDescent="0.35">
      <c r="B391" s="779"/>
      <c r="E391" s="34"/>
    </row>
    <row r="392" spans="2:5" x14ac:dyDescent="0.35">
      <c r="B392" s="779"/>
      <c r="E392" s="34"/>
    </row>
    <row r="393" spans="2:5" x14ac:dyDescent="0.35">
      <c r="B393" s="779"/>
      <c r="E393" s="34"/>
    </row>
    <row r="394" spans="2:5" x14ac:dyDescent="0.35">
      <c r="B394" s="779"/>
      <c r="E394" s="34"/>
    </row>
    <row r="395" spans="2:5" x14ac:dyDescent="0.35">
      <c r="B395" s="779"/>
      <c r="E395" s="34"/>
    </row>
    <row r="396" spans="2:5" x14ac:dyDescent="0.35">
      <c r="B396" s="779"/>
      <c r="E396" s="34"/>
    </row>
    <row r="397" spans="2:5" x14ac:dyDescent="0.35">
      <c r="B397" s="779"/>
      <c r="E397" s="34"/>
    </row>
    <row r="398" spans="2:5" x14ac:dyDescent="0.35">
      <c r="B398" s="779"/>
      <c r="E398" s="34"/>
    </row>
    <row r="399" spans="2:5" x14ac:dyDescent="0.35">
      <c r="B399" s="779"/>
      <c r="E399" s="34"/>
    </row>
    <row r="400" spans="2:5" x14ac:dyDescent="0.35">
      <c r="B400" s="779"/>
      <c r="E400" s="34"/>
    </row>
    <row r="401" spans="2:5" x14ac:dyDescent="0.35">
      <c r="B401" s="779"/>
      <c r="E401" s="34"/>
    </row>
    <row r="402" spans="2:5" x14ac:dyDescent="0.35">
      <c r="B402" s="779"/>
      <c r="E402" s="34"/>
    </row>
    <row r="403" spans="2:5" x14ac:dyDescent="0.35">
      <c r="B403" s="779"/>
      <c r="E403" s="34"/>
    </row>
    <row r="404" spans="2:5" x14ac:dyDescent="0.35">
      <c r="B404" s="779"/>
      <c r="E404" s="34"/>
    </row>
    <row r="405" spans="2:5" x14ac:dyDescent="0.35">
      <c r="B405" s="779"/>
      <c r="E405" s="34"/>
    </row>
    <row r="406" spans="2:5" x14ac:dyDescent="0.35">
      <c r="B406" s="779"/>
      <c r="E406" s="34"/>
    </row>
    <row r="407" spans="2:5" x14ac:dyDescent="0.35">
      <c r="B407" s="779"/>
      <c r="E407" s="34"/>
    </row>
    <row r="408" spans="2:5" x14ac:dyDescent="0.35">
      <c r="B408" s="779"/>
      <c r="E408" s="34"/>
    </row>
    <row r="409" spans="2:5" x14ac:dyDescent="0.35">
      <c r="B409" s="779"/>
      <c r="E409" s="34"/>
    </row>
    <row r="410" spans="2:5" x14ac:dyDescent="0.35">
      <c r="B410" s="779"/>
      <c r="E410" s="34"/>
    </row>
    <row r="411" spans="2:5" x14ac:dyDescent="0.35">
      <c r="B411" s="779"/>
      <c r="E411" s="34"/>
    </row>
    <row r="412" spans="2:5" x14ac:dyDescent="0.35">
      <c r="B412" s="779"/>
      <c r="E412" s="34"/>
    </row>
    <row r="413" spans="2:5" x14ac:dyDescent="0.35">
      <c r="B413" s="779"/>
      <c r="E413" s="34"/>
    </row>
    <row r="414" spans="2:5" x14ac:dyDescent="0.35">
      <c r="B414" s="779"/>
      <c r="E414" s="34"/>
    </row>
    <row r="415" spans="2:5" x14ac:dyDescent="0.35">
      <c r="B415" s="779"/>
      <c r="E415" s="34"/>
    </row>
    <row r="416" spans="2:5" x14ac:dyDescent="0.35">
      <c r="B416" s="779"/>
      <c r="E416" s="34"/>
    </row>
    <row r="417" spans="2:5" x14ac:dyDescent="0.35">
      <c r="B417" s="779"/>
      <c r="E417" s="34"/>
    </row>
    <row r="418" spans="2:5" x14ac:dyDescent="0.35">
      <c r="B418" s="779"/>
      <c r="E418" s="34"/>
    </row>
    <row r="419" spans="2:5" x14ac:dyDescent="0.35">
      <c r="B419" s="779"/>
      <c r="E419" s="34"/>
    </row>
    <row r="420" spans="2:5" x14ac:dyDescent="0.35">
      <c r="B420" s="779"/>
      <c r="E420" s="34"/>
    </row>
    <row r="421" spans="2:5" x14ac:dyDescent="0.35">
      <c r="B421" s="779"/>
      <c r="E421" s="34"/>
    </row>
    <row r="422" spans="2:5" x14ac:dyDescent="0.35">
      <c r="B422" s="779"/>
      <c r="E422" s="34"/>
    </row>
    <row r="423" spans="2:5" x14ac:dyDescent="0.35">
      <c r="B423" s="779"/>
      <c r="E423" s="34"/>
    </row>
    <row r="424" spans="2:5" x14ac:dyDescent="0.35">
      <c r="B424" s="779"/>
      <c r="E424" s="34"/>
    </row>
    <row r="425" spans="2:5" x14ac:dyDescent="0.35">
      <c r="B425" s="779"/>
      <c r="E425" s="34"/>
    </row>
    <row r="426" spans="2:5" x14ac:dyDescent="0.35">
      <c r="B426" s="779"/>
      <c r="E426" s="34"/>
    </row>
    <row r="427" spans="2:5" x14ac:dyDescent="0.35">
      <c r="B427" s="779"/>
      <c r="E427" s="34"/>
    </row>
    <row r="428" spans="2:5" x14ac:dyDescent="0.35">
      <c r="B428" s="779"/>
      <c r="E428" s="34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</oddHeader>
    <oddFooter>&amp;L&amp;F&amp;CPage 9.3&amp;R&amp;A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O98"/>
  <sheetViews>
    <sheetView zoomScale="80" zoomScaleNormal="80" workbookViewId="0"/>
  </sheetViews>
  <sheetFormatPr defaultColWidth="9.08984375" defaultRowHeight="15.5" x14ac:dyDescent="0.35"/>
  <cols>
    <col min="1" max="1" width="5.08984375" style="450" customWidth="1"/>
    <col min="2" max="2" width="8.54296875" style="451" customWidth="1"/>
    <col min="3" max="3" width="68.6328125" style="451" customWidth="1"/>
    <col min="4" max="6" width="16.90625" style="451" customWidth="1"/>
    <col min="7" max="7" width="2" style="451" customWidth="1"/>
    <col min="8" max="8" width="13.6328125" style="451" customWidth="1"/>
    <col min="9" max="9" width="2.54296875" style="451" bestFit="1" customWidth="1"/>
    <col min="10" max="10" width="15.1796875" style="451" customWidth="1"/>
    <col min="11" max="11" width="34.54296875" style="451" customWidth="1"/>
    <col min="12" max="12" width="5.08984375" style="450" customWidth="1"/>
    <col min="13" max="13" width="4" style="451" customWidth="1"/>
    <col min="14" max="14" width="13.36328125" style="451" bestFit="1" customWidth="1"/>
    <col min="15" max="15" width="9.08984375" style="451"/>
    <col min="16" max="16" width="9.6328125" style="451" customWidth="1"/>
    <col min="17" max="17" width="10" style="451" customWidth="1"/>
    <col min="18" max="16384" width="9.08984375" style="451"/>
  </cols>
  <sheetData>
    <row r="2" spans="1:15" x14ac:dyDescent="0.35">
      <c r="B2" s="910" t="s">
        <v>16</v>
      </c>
      <c r="C2" s="910"/>
      <c r="D2" s="910"/>
      <c r="E2" s="910"/>
      <c r="F2" s="910"/>
      <c r="G2" s="910"/>
      <c r="H2" s="910"/>
      <c r="I2" s="910"/>
      <c r="J2" s="910"/>
      <c r="K2" s="910"/>
      <c r="L2" s="523"/>
    </row>
    <row r="3" spans="1:15" x14ac:dyDescent="0.35">
      <c r="B3" s="910" t="s">
        <v>253</v>
      </c>
      <c r="C3" s="910"/>
      <c r="D3" s="910"/>
      <c r="E3" s="910"/>
      <c r="F3" s="910"/>
      <c r="G3" s="910"/>
      <c r="H3" s="910"/>
      <c r="I3" s="910"/>
      <c r="J3" s="910"/>
      <c r="K3" s="910"/>
      <c r="L3" s="523"/>
    </row>
    <row r="4" spans="1:15" x14ac:dyDescent="0.35">
      <c r="B4" s="910" t="s">
        <v>609</v>
      </c>
      <c r="C4" s="910"/>
      <c r="D4" s="910"/>
      <c r="E4" s="910"/>
      <c r="F4" s="910"/>
      <c r="G4" s="910"/>
      <c r="H4" s="910"/>
      <c r="I4" s="910"/>
      <c r="J4" s="910"/>
      <c r="K4" s="910"/>
      <c r="L4" s="523"/>
      <c r="N4" s="622"/>
    </row>
    <row r="5" spans="1:15" x14ac:dyDescent="0.35">
      <c r="B5" s="909" t="s">
        <v>2</v>
      </c>
      <c r="C5" s="909"/>
      <c r="D5" s="909"/>
      <c r="E5" s="909"/>
      <c r="F5" s="909"/>
      <c r="G5" s="909"/>
      <c r="H5" s="909"/>
      <c r="I5" s="909"/>
      <c r="J5" s="909"/>
      <c r="K5" s="909"/>
      <c r="L5" s="523"/>
    </row>
    <row r="6" spans="1:15" ht="16" thickBot="1" x14ac:dyDescent="0.4">
      <c r="D6" s="452"/>
      <c r="E6" s="452"/>
      <c r="F6" s="452"/>
      <c r="G6" s="452"/>
      <c r="H6" s="452"/>
      <c r="I6" s="452"/>
      <c r="J6" s="452"/>
      <c r="K6" s="452"/>
      <c r="N6" s="34"/>
    </row>
    <row r="7" spans="1:15" x14ac:dyDescent="0.3">
      <c r="A7" s="523"/>
      <c r="B7" s="453"/>
      <c r="C7" s="454"/>
      <c r="D7" s="455" t="s">
        <v>254</v>
      </c>
      <c r="E7" s="456" t="s">
        <v>255</v>
      </c>
      <c r="F7" s="66" t="s">
        <v>256</v>
      </c>
      <c r="G7" s="667"/>
      <c r="H7" s="522" t="s">
        <v>586</v>
      </c>
      <c r="I7" s="67"/>
      <c r="J7" s="67" t="s">
        <v>624</v>
      </c>
      <c r="K7" s="457"/>
      <c r="L7" s="523"/>
    </row>
    <row r="8" spans="1:15" x14ac:dyDescent="0.3">
      <c r="A8" s="450" t="s">
        <v>3</v>
      </c>
      <c r="B8" s="458" t="s">
        <v>257</v>
      </c>
      <c r="C8" s="459"/>
      <c r="D8" s="460" t="s">
        <v>258</v>
      </c>
      <c r="E8" s="523" t="s">
        <v>259</v>
      </c>
      <c r="F8" s="460" t="s">
        <v>258</v>
      </c>
      <c r="G8" s="718"/>
      <c r="H8" s="150" t="s">
        <v>481</v>
      </c>
      <c r="I8" s="68"/>
      <c r="J8" s="68" t="s">
        <v>765</v>
      </c>
      <c r="K8" s="461"/>
      <c r="L8" s="450" t="s">
        <v>3</v>
      </c>
    </row>
    <row r="9" spans="1:15" ht="16" thickBot="1" x14ac:dyDescent="0.35">
      <c r="A9" s="450" t="s">
        <v>4</v>
      </c>
      <c r="B9" s="462" t="s">
        <v>260</v>
      </c>
      <c r="C9" s="463" t="s">
        <v>5</v>
      </c>
      <c r="D9" s="464" t="s">
        <v>261</v>
      </c>
      <c r="E9" s="463" t="s">
        <v>262</v>
      </c>
      <c r="F9" s="464" t="s">
        <v>263</v>
      </c>
      <c r="G9" s="719"/>
      <c r="H9" s="465" t="s">
        <v>587</v>
      </c>
      <c r="I9" s="466"/>
      <c r="J9" s="466" t="s">
        <v>588</v>
      </c>
      <c r="K9" s="467" t="s">
        <v>7</v>
      </c>
      <c r="L9" s="450" t="s">
        <v>4</v>
      </c>
      <c r="M9" s="450"/>
    </row>
    <row r="10" spans="1:15" x14ac:dyDescent="0.35">
      <c r="B10" s="468"/>
      <c r="C10" s="469" t="s">
        <v>264</v>
      </c>
      <c r="D10" s="470"/>
      <c r="E10" s="535"/>
      <c r="F10" s="471"/>
      <c r="G10" s="638"/>
      <c r="H10" s="638"/>
      <c r="I10" s="638"/>
      <c r="J10" s="536"/>
      <c r="K10" s="472"/>
    </row>
    <row r="11" spans="1:15" ht="18" x14ac:dyDescent="0.35">
      <c r="A11" s="450">
        <v>1</v>
      </c>
      <c r="B11" s="468">
        <v>920</v>
      </c>
      <c r="C11" s="473" t="s">
        <v>265</v>
      </c>
      <c r="D11" s="70">
        <v>36490.397559999998</v>
      </c>
      <c r="E11" s="70"/>
      <c r="F11" s="70">
        <f>D11-E11</f>
        <v>36490.397559999998</v>
      </c>
      <c r="G11" s="31"/>
      <c r="H11" s="73"/>
      <c r="I11" s="639"/>
      <c r="J11" s="70">
        <f t="shared" ref="J11:J25" si="0">F11-H11</f>
        <v>36490.397559999998</v>
      </c>
      <c r="K11" s="69" t="s">
        <v>488</v>
      </c>
      <c r="L11" s="450">
        <f>A11</f>
        <v>1</v>
      </c>
      <c r="M11" s="451" t="s">
        <v>207</v>
      </c>
      <c r="N11" s="475"/>
    </row>
    <row r="12" spans="1:15" ht="17.5" x14ac:dyDescent="0.35">
      <c r="A12" s="450">
        <f t="shared" ref="A12:A77" si="1">A11+1</f>
        <v>2</v>
      </c>
      <c r="B12" s="458">
        <v>921</v>
      </c>
      <c r="C12" s="473" t="s">
        <v>266</v>
      </c>
      <c r="D12" s="71">
        <v>31909.733110000005</v>
      </c>
      <c r="E12" s="71">
        <f>E36</f>
        <v>845.20270999999991</v>
      </c>
      <c r="F12" s="71">
        <f>D12-E12</f>
        <v>31064.530400000003</v>
      </c>
      <c r="G12" s="23" t="s">
        <v>27</v>
      </c>
      <c r="H12" s="550">
        <f>H35</f>
        <v>-1681.4359999999999</v>
      </c>
      <c r="I12" s="722">
        <v>7</v>
      </c>
      <c r="J12" s="541">
        <f t="shared" si="0"/>
        <v>32745.966400000005</v>
      </c>
      <c r="K12" s="69" t="s">
        <v>489</v>
      </c>
      <c r="L12" s="450">
        <f t="shared" ref="L12:L77" si="2">L11+1</f>
        <v>2</v>
      </c>
      <c r="N12" s="475"/>
      <c r="O12" s="476"/>
    </row>
    <row r="13" spans="1:15" ht="18" x14ac:dyDescent="0.35">
      <c r="A13" s="450">
        <f t="shared" si="1"/>
        <v>3</v>
      </c>
      <c r="B13" s="468">
        <v>922</v>
      </c>
      <c r="C13" s="473" t="s">
        <v>267</v>
      </c>
      <c r="D13" s="71">
        <v>-117.06113000000106</v>
      </c>
      <c r="E13" s="71">
        <f>E37</f>
        <v>14790</v>
      </c>
      <c r="F13" s="71">
        <f t="shared" ref="F13:F24" si="3">D13-E13</f>
        <v>-14907.061130000002</v>
      </c>
      <c r="G13" s="639"/>
      <c r="H13" s="550"/>
      <c r="I13" s="639"/>
      <c r="J13" s="71">
        <f t="shared" si="0"/>
        <v>-14907.061130000002</v>
      </c>
      <c r="K13" s="69" t="s">
        <v>490</v>
      </c>
      <c r="L13" s="450">
        <f t="shared" si="2"/>
        <v>3</v>
      </c>
      <c r="N13" s="475"/>
    </row>
    <row r="14" spans="1:15" ht="17.5" x14ac:dyDescent="0.35">
      <c r="A14" s="450">
        <f t="shared" si="1"/>
        <v>4</v>
      </c>
      <c r="B14" s="458">
        <v>923</v>
      </c>
      <c r="C14" s="473" t="s">
        <v>268</v>
      </c>
      <c r="D14" s="71">
        <v>93392.102069999994</v>
      </c>
      <c r="E14" s="71">
        <f>E40</f>
        <v>-15527.43785</v>
      </c>
      <c r="F14" s="71">
        <f t="shared" si="3"/>
        <v>108919.53992</v>
      </c>
      <c r="G14" s="23" t="s">
        <v>27</v>
      </c>
      <c r="H14" s="550">
        <f>H39</f>
        <v>1496.9670000000001</v>
      </c>
      <c r="I14" s="722">
        <v>7</v>
      </c>
      <c r="J14" s="541">
        <f>F14-H14-H15</f>
        <v>109145.93186999999</v>
      </c>
      <c r="K14" s="69" t="s">
        <v>491</v>
      </c>
      <c r="L14" s="450">
        <f t="shared" si="2"/>
        <v>4</v>
      </c>
      <c r="N14" s="475"/>
    </row>
    <row r="15" spans="1:15" ht="17.5" x14ac:dyDescent="0.35">
      <c r="A15" s="450">
        <f t="shared" si="1"/>
        <v>5</v>
      </c>
      <c r="B15" s="458">
        <v>923</v>
      </c>
      <c r="C15" s="473" t="s">
        <v>268</v>
      </c>
      <c r="D15" s="71"/>
      <c r="E15" s="71"/>
      <c r="F15" s="71"/>
      <c r="G15" s="23" t="s">
        <v>27</v>
      </c>
      <c r="H15" s="721">
        <f>H41</f>
        <v>-1723.35895</v>
      </c>
      <c r="I15" s="722">
        <v>8</v>
      </c>
      <c r="J15" s="541"/>
      <c r="K15" s="69"/>
      <c r="L15" s="450">
        <f t="shared" si="2"/>
        <v>5</v>
      </c>
      <c r="N15" s="475"/>
    </row>
    <row r="16" spans="1:15" ht="18" x14ac:dyDescent="0.35">
      <c r="A16" s="450">
        <f t="shared" si="1"/>
        <v>6</v>
      </c>
      <c r="B16" s="468">
        <v>924</v>
      </c>
      <c r="C16" s="473" t="s">
        <v>269</v>
      </c>
      <c r="D16" s="71">
        <v>8930.0596700000024</v>
      </c>
      <c r="E16" s="71"/>
      <c r="F16" s="71">
        <f t="shared" si="3"/>
        <v>8930.0596700000024</v>
      </c>
      <c r="G16" s="72"/>
      <c r="H16" s="550"/>
      <c r="I16" s="639"/>
      <c r="J16" s="71">
        <f t="shared" si="0"/>
        <v>8930.0596700000024</v>
      </c>
      <c r="K16" s="69" t="s">
        <v>492</v>
      </c>
      <c r="L16" s="450">
        <f t="shared" si="2"/>
        <v>6</v>
      </c>
      <c r="N16" s="475"/>
    </row>
    <row r="17" spans="1:14" ht="18" x14ac:dyDescent="0.35">
      <c r="A17" s="450">
        <f t="shared" si="1"/>
        <v>7</v>
      </c>
      <c r="B17" s="468">
        <v>925</v>
      </c>
      <c r="C17" s="473" t="s">
        <v>270</v>
      </c>
      <c r="D17" s="71">
        <v>232737.36132</v>
      </c>
      <c r="E17" s="71">
        <f>E43</f>
        <v>316.085377876</v>
      </c>
      <c r="F17" s="71">
        <f t="shared" si="3"/>
        <v>232421.27594212399</v>
      </c>
      <c r="G17" s="72"/>
      <c r="H17" s="550"/>
      <c r="I17" s="639"/>
      <c r="J17" s="71">
        <f t="shared" si="0"/>
        <v>232421.27594212399</v>
      </c>
      <c r="K17" s="69" t="s">
        <v>493</v>
      </c>
      <c r="L17" s="450">
        <f t="shared" si="2"/>
        <v>7</v>
      </c>
      <c r="N17" s="475"/>
    </row>
    <row r="18" spans="1:14" ht="18" x14ac:dyDescent="0.35">
      <c r="A18" s="450">
        <f t="shared" si="1"/>
        <v>8</v>
      </c>
      <c r="B18" s="468">
        <v>926</v>
      </c>
      <c r="C18" s="473" t="s">
        <v>271</v>
      </c>
      <c r="D18" s="71">
        <v>55888.241969999988</v>
      </c>
      <c r="E18" s="71">
        <f>E44</f>
        <v>-213.36890760999992</v>
      </c>
      <c r="F18" s="71">
        <f t="shared" si="3"/>
        <v>56101.610877609986</v>
      </c>
      <c r="G18" s="72"/>
      <c r="H18" s="550"/>
      <c r="I18" s="639"/>
      <c r="J18" s="71">
        <f t="shared" si="0"/>
        <v>56101.610877609986</v>
      </c>
      <c r="K18" s="69" t="s">
        <v>494</v>
      </c>
      <c r="L18" s="450">
        <f t="shared" si="2"/>
        <v>8</v>
      </c>
      <c r="N18" s="623"/>
    </row>
    <row r="19" spans="1:14" x14ac:dyDescent="0.35">
      <c r="A19" s="450">
        <f t="shared" si="1"/>
        <v>9</v>
      </c>
      <c r="B19" s="468">
        <v>927</v>
      </c>
      <c r="C19" s="473" t="s">
        <v>272</v>
      </c>
      <c r="D19" s="71">
        <v>136000.65109999999</v>
      </c>
      <c r="E19" s="71">
        <f>E45</f>
        <v>136000.65109999999</v>
      </c>
      <c r="F19" s="71">
        <f t="shared" si="3"/>
        <v>0</v>
      </c>
      <c r="G19" s="72"/>
      <c r="H19" s="550"/>
      <c r="I19" s="550"/>
      <c r="J19" s="71">
        <f t="shared" si="0"/>
        <v>0</v>
      </c>
      <c r="K19" s="69" t="s">
        <v>495</v>
      </c>
      <c r="L19" s="450">
        <f t="shared" si="2"/>
        <v>9</v>
      </c>
      <c r="N19" s="477"/>
    </row>
    <row r="20" spans="1:14" x14ac:dyDescent="0.35">
      <c r="A20" s="450">
        <f t="shared" si="1"/>
        <v>10</v>
      </c>
      <c r="B20" s="468">
        <v>928</v>
      </c>
      <c r="C20" s="473" t="s">
        <v>273</v>
      </c>
      <c r="D20" s="71">
        <v>36826.288789999999</v>
      </c>
      <c r="E20" s="71">
        <f>E50</f>
        <v>25397.196220000002</v>
      </c>
      <c r="F20" s="71">
        <f t="shared" si="3"/>
        <v>11429.092569999997</v>
      </c>
      <c r="G20" s="72"/>
      <c r="H20" s="550"/>
      <c r="I20" s="550"/>
      <c r="J20" s="71">
        <f t="shared" si="0"/>
        <v>11429.092569999997</v>
      </c>
      <c r="K20" s="69" t="s">
        <v>496</v>
      </c>
      <c r="L20" s="450">
        <f t="shared" si="2"/>
        <v>10</v>
      </c>
      <c r="N20" s="477"/>
    </row>
    <row r="21" spans="1:14" ht="18" x14ac:dyDescent="0.35">
      <c r="A21" s="450">
        <f t="shared" si="1"/>
        <v>11</v>
      </c>
      <c r="B21" s="458">
        <v>929</v>
      </c>
      <c r="C21" s="473" t="s">
        <v>274</v>
      </c>
      <c r="D21" s="71">
        <v>-22074.292129999998</v>
      </c>
      <c r="E21" s="71"/>
      <c r="F21" s="71">
        <f t="shared" si="3"/>
        <v>-22074.292129999998</v>
      </c>
      <c r="G21" s="23" t="s">
        <v>27</v>
      </c>
      <c r="H21" s="550">
        <f>H51</f>
        <v>-5437.5877399999999</v>
      </c>
      <c r="I21" s="502">
        <v>9</v>
      </c>
      <c r="J21" s="541">
        <f t="shared" si="0"/>
        <v>-16636.704389999999</v>
      </c>
      <c r="K21" s="69" t="s">
        <v>497</v>
      </c>
      <c r="L21" s="450">
        <f t="shared" si="2"/>
        <v>11</v>
      </c>
      <c r="N21" s="475"/>
    </row>
    <row r="22" spans="1:14" x14ac:dyDescent="0.35">
      <c r="A22" s="450">
        <f t="shared" si="1"/>
        <v>12</v>
      </c>
      <c r="B22" s="478">
        <v>930.1</v>
      </c>
      <c r="C22" s="473" t="s">
        <v>275</v>
      </c>
      <c r="D22" s="71">
        <v>7.6341200000000002</v>
      </c>
      <c r="E22" s="71">
        <f>E52</f>
        <v>7.6341200000000002</v>
      </c>
      <c r="F22" s="71">
        <f t="shared" si="3"/>
        <v>0</v>
      </c>
      <c r="G22" s="72"/>
      <c r="H22" s="550"/>
      <c r="I22" s="550"/>
      <c r="J22" s="71">
        <f t="shared" si="0"/>
        <v>0</v>
      </c>
      <c r="K22" s="69" t="s">
        <v>498</v>
      </c>
      <c r="L22" s="450">
        <f t="shared" si="2"/>
        <v>12</v>
      </c>
      <c r="N22" s="475"/>
    </row>
    <row r="23" spans="1:14" ht="18" x14ac:dyDescent="0.35">
      <c r="A23" s="450">
        <f t="shared" si="1"/>
        <v>13</v>
      </c>
      <c r="B23" s="478">
        <v>930.2</v>
      </c>
      <c r="C23" s="473" t="s">
        <v>276</v>
      </c>
      <c r="D23" s="71">
        <v>6624.7593599999982</v>
      </c>
      <c r="E23" s="71">
        <f>E54</f>
        <v>507.31919000000005</v>
      </c>
      <c r="F23" s="71">
        <f t="shared" si="3"/>
        <v>6117.440169999998</v>
      </c>
      <c r="G23" s="72"/>
      <c r="H23" s="550"/>
      <c r="I23" s="639"/>
      <c r="J23" s="71">
        <f t="shared" si="0"/>
        <v>6117.440169999998</v>
      </c>
      <c r="K23" s="69" t="s">
        <v>499</v>
      </c>
      <c r="L23" s="450">
        <f t="shared" si="2"/>
        <v>13</v>
      </c>
      <c r="N23" s="479"/>
    </row>
    <row r="24" spans="1:14" ht="18" x14ac:dyDescent="0.35">
      <c r="A24" s="450">
        <f t="shared" si="1"/>
        <v>14</v>
      </c>
      <c r="B24" s="468">
        <v>931</v>
      </c>
      <c r="C24" s="473" t="s">
        <v>277</v>
      </c>
      <c r="D24" s="71">
        <v>14136.924589999999</v>
      </c>
      <c r="E24" s="71"/>
      <c r="F24" s="71">
        <f t="shared" si="3"/>
        <v>14136.924589999999</v>
      </c>
      <c r="G24" s="72"/>
      <c r="H24" s="550"/>
      <c r="I24" s="639"/>
      <c r="J24" s="71">
        <f t="shared" si="0"/>
        <v>14136.924589999999</v>
      </c>
      <c r="K24" s="69" t="s">
        <v>500</v>
      </c>
      <c r="L24" s="450">
        <f t="shared" si="2"/>
        <v>14</v>
      </c>
      <c r="N24" s="475"/>
    </row>
    <row r="25" spans="1:14" x14ac:dyDescent="0.35">
      <c r="A25" s="450">
        <f t="shared" si="1"/>
        <v>15</v>
      </c>
      <c r="B25" s="468">
        <v>935</v>
      </c>
      <c r="C25" s="473" t="s">
        <v>278</v>
      </c>
      <c r="D25" s="401">
        <v>24457.53455</v>
      </c>
      <c r="E25" s="401">
        <f>E55</f>
        <v>0</v>
      </c>
      <c r="F25" s="401">
        <f>D25-E25</f>
        <v>24457.53455</v>
      </c>
      <c r="G25" s="720"/>
      <c r="H25" s="551"/>
      <c r="I25" s="551"/>
      <c r="J25" s="401">
        <f t="shared" si="0"/>
        <v>24457.53455</v>
      </c>
      <c r="K25" s="69" t="s">
        <v>501</v>
      </c>
      <c r="L25" s="450">
        <f t="shared" si="2"/>
        <v>15</v>
      </c>
      <c r="M25" s="451" t="s">
        <v>207</v>
      </c>
      <c r="N25" s="475"/>
    </row>
    <row r="26" spans="1:14" x14ac:dyDescent="0.35">
      <c r="A26" s="450">
        <f t="shared" si="1"/>
        <v>16</v>
      </c>
      <c r="B26" s="468"/>
      <c r="D26" s="480"/>
      <c r="E26" s="480"/>
      <c r="F26" s="480"/>
      <c r="J26" s="480"/>
      <c r="K26" s="481"/>
      <c r="L26" s="450">
        <f t="shared" si="2"/>
        <v>16</v>
      </c>
    </row>
    <row r="27" spans="1:14" ht="16" thickBot="1" x14ac:dyDescent="0.4">
      <c r="A27" s="450">
        <f t="shared" si="1"/>
        <v>17</v>
      </c>
      <c r="B27" s="468"/>
      <c r="C27" s="459" t="s">
        <v>279</v>
      </c>
      <c r="D27" s="482">
        <f>SUM(D11:D25)</f>
        <v>655210.33494999993</v>
      </c>
      <c r="E27" s="75">
        <f>SUM(E11:E25)</f>
        <v>162123.281960266</v>
      </c>
      <c r="F27" s="75">
        <f>SUM(F11:F25)</f>
        <v>493087.05298973399</v>
      </c>
      <c r="G27" s="76" t="s">
        <v>27</v>
      </c>
      <c r="H27" s="483">
        <f>SUM(H11:H25)</f>
        <v>-7345.4156899999998</v>
      </c>
      <c r="I27" s="808"/>
      <c r="J27" s="75">
        <f>SUM(J11:J25)</f>
        <v>500432.46867973392</v>
      </c>
      <c r="K27" s="78" t="str">
        <f>"Sum Lines "&amp;A11&amp;" thru "&amp;A25</f>
        <v>Sum Lines 1 thru 15</v>
      </c>
      <c r="L27" s="450">
        <f t="shared" si="2"/>
        <v>17</v>
      </c>
    </row>
    <row r="28" spans="1:14" ht="16" thickTop="1" x14ac:dyDescent="0.35">
      <c r="A28" s="450">
        <f t="shared" si="1"/>
        <v>18</v>
      </c>
      <c r="B28" s="468"/>
      <c r="C28" s="459"/>
      <c r="D28" s="484"/>
      <c r="E28" s="474"/>
      <c r="F28" s="74"/>
      <c r="G28" s="73"/>
      <c r="H28" s="73"/>
      <c r="I28" s="73"/>
      <c r="J28" s="74"/>
      <c r="K28" s="78"/>
      <c r="L28" s="450">
        <f t="shared" si="2"/>
        <v>18</v>
      </c>
    </row>
    <row r="29" spans="1:14" ht="18" x14ac:dyDescent="0.35">
      <c r="A29" s="450">
        <f t="shared" si="1"/>
        <v>19</v>
      </c>
      <c r="B29" s="468">
        <v>413</v>
      </c>
      <c r="C29" s="451" t="s">
        <v>280</v>
      </c>
      <c r="D29" s="401">
        <v>752.42183999999997</v>
      </c>
      <c r="E29" s="553">
        <v>0</v>
      </c>
      <c r="F29" s="401">
        <f>D29-E29</f>
        <v>752.42183999999997</v>
      </c>
      <c r="G29" s="720"/>
      <c r="H29" s="551"/>
      <c r="I29" s="553"/>
      <c r="J29" s="401">
        <f>F29-H29</f>
        <v>752.42183999999997</v>
      </c>
      <c r="K29" s="78"/>
      <c r="L29" s="450">
        <f t="shared" si="2"/>
        <v>19</v>
      </c>
      <c r="N29" s="625"/>
    </row>
    <row r="30" spans="1:14" x14ac:dyDescent="0.35">
      <c r="A30" s="450">
        <f t="shared" si="1"/>
        <v>20</v>
      </c>
      <c r="B30" s="468"/>
      <c r="C30" s="459"/>
      <c r="D30" s="484"/>
      <c r="E30" s="474"/>
      <c r="F30" s="74"/>
      <c r="G30" s="73"/>
      <c r="H30" s="73"/>
      <c r="I30" s="73"/>
      <c r="J30" s="74"/>
      <c r="K30" s="78"/>
      <c r="L30" s="450">
        <f t="shared" si="2"/>
        <v>20</v>
      </c>
    </row>
    <row r="31" spans="1:14" ht="16" thickBot="1" x14ac:dyDescent="0.4">
      <c r="A31" s="450">
        <f t="shared" si="1"/>
        <v>21</v>
      </c>
      <c r="B31" s="468"/>
      <c r="C31" s="459" t="s">
        <v>281</v>
      </c>
      <c r="D31" s="482">
        <f>D27+D29</f>
        <v>655962.7567899999</v>
      </c>
      <c r="E31" s="474">
        <f>E27+E29</f>
        <v>162123.281960266</v>
      </c>
      <c r="F31" s="74">
        <f>F27+F29</f>
        <v>493839.47482973401</v>
      </c>
      <c r="G31" s="76" t="s">
        <v>27</v>
      </c>
      <c r="H31" s="483">
        <f>H27+H29</f>
        <v>-7345.4156899999998</v>
      </c>
      <c r="I31" s="808"/>
      <c r="J31" s="75">
        <f>J27+J29</f>
        <v>501184.89051973395</v>
      </c>
      <c r="K31" s="78" t="str">
        <f>"Line "&amp;A27&amp;" + Line "&amp;A29</f>
        <v>Line 17 + Line 19</v>
      </c>
      <c r="L31" s="450">
        <f t="shared" si="2"/>
        <v>21</v>
      </c>
    </row>
    <row r="32" spans="1:14" ht="16.5" thickTop="1" thickBot="1" x14ac:dyDescent="0.4">
      <c r="A32" s="450">
        <f t="shared" si="1"/>
        <v>22</v>
      </c>
      <c r="B32" s="485"/>
      <c r="C32" s="452"/>
      <c r="D32" s="486"/>
      <c r="E32" s="487"/>
      <c r="F32" s="487"/>
      <c r="G32" s="465"/>
      <c r="H32" s="465"/>
      <c r="I32" s="465"/>
      <c r="J32" s="537"/>
      <c r="K32" s="488"/>
      <c r="L32" s="450">
        <f t="shared" si="2"/>
        <v>22</v>
      </c>
    </row>
    <row r="33" spans="1:14" x14ac:dyDescent="0.35">
      <c r="A33" s="450">
        <f t="shared" si="1"/>
        <v>23</v>
      </c>
      <c r="B33" s="658"/>
      <c r="C33" s="659"/>
      <c r="D33" s="660"/>
      <c r="E33" s="661"/>
      <c r="F33" s="660"/>
      <c r="G33" s="660"/>
      <c r="H33" s="660"/>
      <c r="I33" s="660"/>
      <c r="J33" s="660"/>
      <c r="K33" s="662"/>
      <c r="L33" s="450">
        <f t="shared" si="2"/>
        <v>23</v>
      </c>
    </row>
    <row r="34" spans="1:14" x14ac:dyDescent="0.35">
      <c r="A34" s="450">
        <f t="shared" si="1"/>
        <v>24</v>
      </c>
      <c r="B34" s="492" t="s">
        <v>282</v>
      </c>
      <c r="C34" s="450"/>
      <c r="D34" s="450"/>
      <c r="E34" s="450"/>
      <c r="F34" s="450"/>
      <c r="G34" s="450"/>
      <c r="H34" s="450"/>
      <c r="I34" s="450"/>
      <c r="J34" s="450"/>
      <c r="K34" s="481"/>
      <c r="L34" s="450">
        <f t="shared" si="2"/>
        <v>24</v>
      </c>
    </row>
    <row r="35" spans="1:14" ht="18" x14ac:dyDescent="0.3">
      <c r="A35" s="450">
        <f t="shared" si="1"/>
        <v>25</v>
      </c>
      <c r="B35" s="496">
        <v>921</v>
      </c>
      <c r="C35" s="497" t="s">
        <v>626</v>
      </c>
      <c r="D35" s="626">
        <v>840.71799999999996</v>
      </c>
      <c r="E35" s="671">
        <v>6</v>
      </c>
      <c r="F35" s="450"/>
      <c r="G35" s="450"/>
      <c r="H35" s="663">
        <f>-D35*2</f>
        <v>-1681.4359999999999</v>
      </c>
      <c r="I35" s="807">
        <v>7</v>
      </c>
      <c r="J35" s="450"/>
      <c r="K35" s="481"/>
      <c r="L35" s="450">
        <f t="shared" si="2"/>
        <v>25</v>
      </c>
      <c r="N35" s="625"/>
    </row>
    <row r="36" spans="1:14" ht="18" x14ac:dyDescent="0.3">
      <c r="A36" s="450">
        <f t="shared" si="1"/>
        <v>26</v>
      </c>
      <c r="B36" s="496"/>
      <c r="C36" s="473" t="s">
        <v>503</v>
      </c>
      <c r="D36" s="627">
        <v>4.4847099999999998</v>
      </c>
      <c r="E36" s="626">
        <f>SUM(D35:D36)</f>
        <v>845.20270999999991</v>
      </c>
      <c r="F36" s="450"/>
      <c r="G36" s="450"/>
      <c r="H36" s="663"/>
      <c r="I36" s="502"/>
      <c r="J36" s="450"/>
      <c r="K36" s="481"/>
      <c r="L36" s="450">
        <f t="shared" si="2"/>
        <v>26</v>
      </c>
      <c r="N36" s="625"/>
    </row>
    <row r="37" spans="1:14" ht="18" x14ac:dyDescent="0.35">
      <c r="A37" s="450">
        <f t="shared" si="1"/>
        <v>27</v>
      </c>
      <c r="B37" s="496">
        <v>922</v>
      </c>
      <c r="C37" s="473" t="s">
        <v>627</v>
      </c>
      <c r="D37"/>
      <c r="E37" s="630">
        <v>14790</v>
      </c>
      <c r="F37" s="450"/>
      <c r="G37" s="450"/>
      <c r="H37" s="450"/>
      <c r="I37" s="450"/>
      <c r="J37" s="450"/>
      <c r="K37" s="481"/>
      <c r="L37" s="450">
        <f t="shared" si="2"/>
        <v>27</v>
      </c>
      <c r="N37" s="625"/>
    </row>
    <row r="38" spans="1:14" ht="18" x14ac:dyDescent="0.35">
      <c r="A38" s="450">
        <f t="shared" si="1"/>
        <v>28</v>
      </c>
      <c r="B38" s="496">
        <v>923</v>
      </c>
      <c r="C38" s="473" t="s">
        <v>628</v>
      </c>
      <c r="D38" s="630">
        <v>-15532</v>
      </c>
      <c r="F38" s="450"/>
      <c r="G38" s="450"/>
      <c r="H38" s="664"/>
      <c r="I38" s="502"/>
      <c r="J38" s="450"/>
      <c r="K38" s="481"/>
      <c r="L38" s="450">
        <f t="shared" si="2"/>
        <v>28</v>
      </c>
      <c r="N38" s="625"/>
    </row>
    <row r="39" spans="1:14" ht="18" x14ac:dyDescent="0.35">
      <c r="A39" s="450">
        <f t="shared" si="1"/>
        <v>29</v>
      </c>
      <c r="B39" s="496"/>
      <c r="C39" s="497" t="s">
        <v>623</v>
      </c>
      <c r="D39" s="630"/>
      <c r="F39" s="450"/>
      <c r="G39" s="450"/>
      <c r="H39" s="669">
        <f>1282.712+214.255</f>
        <v>1496.9670000000001</v>
      </c>
      <c r="I39" s="807">
        <v>7</v>
      </c>
      <c r="J39" s="450"/>
      <c r="K39" s="481"/>
      <c r="L39" s="450">
        <f t="shared" si="2"/>
        <v>29</v>
      </c>
      <c r="N39" s="625"/>
    </row>
    <row r="40" spans="1:14" x14ac:dyDescent="0.35">
      <c r="A40" s="450">
        <f t="shared" si="1"/>
        <v>30</v>
      </c>
      <c r="B40" s="496"/>
      <c r="C40" s="473" t="s">
        <v>503</v>
      </c>
      <c r="D40" s="627">
        <v>4.5621499999999999</v>
      </c>
      <c r="E40" s="630">
        <f>SUM(D38:D40)</f>
        <v>-15527.43785</v>
      </c>
      <c r="F40" s="450"/>
      <c r="G40" s="450"/>
      <c r="H40" s="450"/>
      <c r="I40" s="450"/>
      <c r="J40" s="450"/>
      <c r="K40" s="481"/>
      <c r="L40" s="450">
        <f t="shared" si="2"/>
        <v>30</v>
      </c>
    </row>
    <row r="41" spans="1:14" ht="18" x14ac:dyDescent="0.35">
      <c r="A41" s="450">
        <f t="shared" si="1"/>
        <v>31</v>
      </c>
      <c r="B41" s="496"/>
      <c r="C41" s="506" t="s">
        <v>768</v>
      </c>
      <c r="D41" s="626"/>
      <c r="E41" s="630"/>
      <c r="F41" s="450"/>
      <c r="G41" s="450"/>
      <c r="H41" s="721">
        <v>-1723.35895</v>
      </c>
      <c r="I41" s="502">
        <v>8</v>
      </c>
      <c r="J41" s="450"/>
      <c r="K41" s="481"/>
      <c r="L41" s="450">
        <f t="shared" si="2"/>
        <v>31</v>
      </c>
    </row>
    <row r="42" spans="1:14" x14ac:dyDescent="0.35">
      <c r="A42" s="450">
        <f t="shared" si="1"/>
        <v>32</v>
      </c>
      <c r="B42" s="496">
        <v>925</v>
      </c>
      <c r="C42" s="473" t="s">
        <v>502</v>
      </c>
      <c r="D42" s="626">
        <v>290.51205787599997</v>
      </c>
      <c r="E42" s="450"/>
      <c r="F42" s="450"/>
      <c r="G42" s="450"/>
      <c r="H42" s="450"/>
      <c r="I42" s="450"/>
      <c r="J42" s="450"/>
      <c r="K42" s="481"/>
      <c r="L42" s="450">
        <f t="shared" si="2"/>
        <v>32</v>
      </c>
    </row>
    <row r="43" spans="1:14" ht="18" x14ac:dyDescent="0.35">
      <c r="A43" s="450">
        <f t="shared" si="1"/>
        <v>33</v>
      </c>
      <c r="B43" s="496"/>
      <c r="C43" s="473" t="s">
        <v>503</v>
      </c>
      <c r="D43" s="627">
        <v>25.573319999999999</v>
      </c>
      <c r="E43" s="626">
        <f>SUM(D42:D43)</f>
        <v>316.085377876</v>
      </c>
      <c r="F43" s="450"/>
      <c r="G43" s="450"/>
      <c r="H43" s="664"/>
      <c r="I43" s="502"/>
      <c r="J43" s="450"/>
      <c r="K43" s="481"/>
      <c r="L43" s="450">
        <f t="shared" si="2"/>
        <v>33</v>
      </c>
    </row>
    <row r="44" spans="1:14" x14ac:dyDescent="0.35">
      <c r="A44" s="450">
        <f t="shared" si="1"/>
        <v>34</v>
      </c>
      <c r="B44" s="496">
        <v>926</v>
      </c>
      <c r="C44" s="494" t="s">
        <v>502</v>
      </c>
      <c r="D44"/>
      <c r="E44" s="630">
        <v>-213.36890760999992</v>
      </c>
      <c r="F44" s="450"/>
      <c r="G44" s="450"/>
      <c r="H44" s="450"/>
      <c r="I44" s="450"/>
      <c r="J44" s="450"/>
      <c r="K44" s="481"/>
      <c r="L44" s="450">
        <f t="shared" si="2"/>
        <v>34</v>
      </c>
    </row>
    <row r="45" spans="1:14" x14ac:dyDescent="0.35">
      <c r="A45" s="450">
        <f t="shared" si="1"/>
        <v>35</v>
      </c>
      <c r="B45" s="629">
        <v>927</v>
      </c>
      <c r="C45" s="494" t="s">
        <v>272</v>
      </c>
      <c r="D45" s="626"/>
      <c r="E45" s="630">
        <v>136000.65109999999</v>
      </c>
      <c r="F45" s="450"/>
      <c r="G45" s="450"/>
      <c r="H45" s="450"/>
      <c r="I45" s="450"/>
      <c r="J45" s="450"/>
      <c r="K45" s="481"/>
      <c r="L45" s="450">
        <f t="shared" si="2"/>
        <v>35</v>
      </c>
    </row>
    <row r="46" spans="1:14" x14ac:dyDescent="0.35">
      <c r="A46" s="450">
        <f t="shared" si="1"/>
        <v>36</v>
      </c>
      <c r="B46" s="496">
        <v>928</v>
      </c>
      <c r="C46" s="473" t="s">
        <v>613</v>
      </c>
      <c r="D46" s="626">
        <v>22865.18</v>
      </c>
      <c r="E46" s="450"/>
      <c r="F46" s="450"/>
      <c r="G46" s="450"/>
      <c r="H46" s="450"/>
      <c r="I46" s="450"/>
      <c r="J46" s="450"/>
      <c r="K46" s="481"/>
      <c r="L46" s="450">
        <f t="shared" si="2"/>
        <v>36</v>
      </c>
    </row>
    <row r="47" spans="1:14" x14ac:dyDescent="0.35">
      <c r="A47" s="450">
        <f t="shared" si="1"/>
        <v>37</v>
      </c>
      <c r="B47" s="496"/>
      <c r="C47" s="473" t="s">
        <v>283</v>
      </c>
      <c r="D47" s="626">
        <v>0.96526000000000001</v>
      </c>
      <c r="E47" s="450"/>
      <c r="F47" s="450"/>
      <c r="G47" s="450"/>
      <c r="H47" s="450"/>
      <c r="I47" s="450"/>
      <c r="J47" s="450"/>
      <c r="K47" s="481"/>
      <c r="L47" s="450">
        <f t="shared" si="2"/>
        <v>37</v>
      </c>
    </row>
    <row r="48" spans="1:14" x14ac:dyDescent="0.35">
      <c r="A48" s="450">
        <f t="shared" si="1"/>
        <v>38</v>
      </c>
      <c r="B48" s="496"/>
      <c r="C48" s="473" t="s">
        <v>502</v>
      </c>
      <c r="D48" s="626">
        <v>725.9323099999998</v>
      </c>
      <c r="E48" s="450"/>
      <c r="F48" s="450"/>
      <c r="G48" s="450"/>
      <c r="H48" s="450"/>
      <c r="I48" s="450"/>
      <c r="J48" s="450"/>
      <c r="K48" s="481"/>
      <c r="L48" s="450">
        <f t="shared" si="2"/>
        <v>38</v>
      </c>
    </row>
    <row r="49" spans="1:12" ht="18" x14ac:dyDescent="0.35">
      <c r="A49" s="450">
        <f t="shared" si="1"/>
        <v>39</v>
      </c>
      <c r="B49" s="496"/>
      <c r="C49" s="18" t="s">
        <v>284</v>
      </c>
      <c r="D49" s="631">
        <v>0</v>
      </c>
      <c r="E49" s="450"/>
      <c r="F49" s="450"/>
      <c r="G49" s="450"/>
      <c r="H49" s="664"/>
      <c r="I49" s="502"/>
      <c r="J49" s="450"/>
      <c r="K49" s="481"/>
      <c r="L49" s="450">
        <f t="shared" si="2"/>
        <v>39</v>
      </c>
    </row>
    <row r="50" spans="1:12" x14ac:dyDescent="0.35">
      <c r="A50" s="450">
        <f t="shared" si="1"/>
        <v>40</v>
      </c>
      <c r="B50" s="496"/>
      <c r="C50" s="18" t="s">
        <v>285</v>
      </c>
      <c r="D50" s="627">
        <v>1805.1186499999999</v>
      </c>
      <c r="E50" s="626">
        <f>SUM(D46:D50)</f>
        <v>25397.196220000002</v>
      </c>
      <c r="F50" s="450"/>
      <c r="G50" s="450"/>
      <c r="H50" s="450"/>
      <c r="I50" s="450"/>
      <c r="J50" s="450"/>
      <c r="K50" s="481"/>
      <c r="L50" s="450">
        <f t="shared" si="2"/>
        <v>40</v>
      </c>
    </row>
    <row r="51" spans="1:12" ht="18" x14ac:dyDescent="0.3">
      <c r="A51" s="450">
        <f t="shared" si="1"/>
        <v>41</v>
      </c>
      <c r="B51" s="828">
        <v>929</v>
      </c>
      <c r="C51" s="829" t="s">
        <v>808</v>
      </c>
      <c r="D51" s="626"/>
      <c r="E51" s="626"/>
      <c r="F51" s="450"/>
      <c r="G51" s="450"/>
      <c r="H51" s="664">
        <v>-5437.5877399999999</v>
      </c>
      <c r="I51" s="502">
        <v>9</v>
      </c>
      <c r="J51" s="450"/>
      <c r="K51" s="481"/>
      <c r="L51" s="450">
        <f t="shared" si="2"/>
        <v>41</v>
      </c>
    </row>
    <row r="52" spans="1:12" x14ac:dyDescent="0.35">
      <c r="A52" s="450">
        <f t="shared" si="1"/>
        <v>42</v>
      </c>
      <c r="B52" s="632">
        <v>930.1</v>
      </c>
      <c r="C52" s="18" t="s">
        <v>275</v>
      </c>
      <c r="D52" s="626"/>
      <c r="E52" s="630">
        <v>7.6341200000000002</v>
      </c>
      <c r="F52" s="450"/>
      <c r="G52" s="450"/>
      <c r="H52" s="450"/>
      <c r="I52" s="450"/>
      <c r="J52" s="450"/>
      <c r="K52" s="481"/>
      <c r="L52" s="450">
        <f t="shared" si="2"/>
        <v>42</v>
      </c>
    </row>
    <row r="53" spans="1:12" x14ac:dyDescent="0.35">
      <c r="A53" s="450">
        <f t="shared" si="1"/>
        <v>43</v>
      </c>
      <c r="B53" s="495">
        <v>930.2</v>
      </c>
      <c r="C53" s="494" t="s">
        <v>286</v>
      </c>
      <c r="D53" s="630">
        <v>401.94600000000003</v>
      </c>
      <c r="F53" s="450"/>
      <c r="G53" s="450"/>
      <c r="H53" s="450"/>
      <c r="I53" s="450"/>
      <c r="J53" s="450"/>
      <c r="K53" s="481"/>
      <c r="L53" s="450">
        <f t="shared" si="2"/>
        <v>43</v>
      </c>
    </row>
    <row r="54" spans="1:12" x14ac:dyDescent="0.35">
      <c r="A54" s="450">
        <f t="shared" si="1"/>
        <v>44</v>
      </c>
      <c r="B54" s="495"/>
      <c r="C54" s="473" t="s">
        <v>503</v>
      </c>
      <c r="D54" s="633">
        <v>105.37318999999999</v>
      </c>
      <c r="E54" s="628">
        <f>SUM(D53:D54)</f>
        <v>507.31919000000005</v>
      </c>
      <c r="F54" s="450"/>
      <c r="G54" s="450"/>
      <c r="H54" s="450"/>
      <c r="I54" s="450"/>
      <c r="J54" s="450"/>
      <c r="K54" s="481"/>
      <c r="L54" s="450">
        <f t="shared" si="2"/>
        <v>44</v>
      </c>
    </row>
    <row r="55" spans="1:12" ht="18" x14ac:dyDescent="0.35">
      <c r="A55" s="450">
        <f t="shared" si="1"/>
        <v>45</v>
      </c>
      <c r="B55" s="496">
        <v>935</v>
      </c>
      <c r="C55" s="473" t="s">
        <v>287</v>
      </c>
      <c r="D55" s="626"/>
      <c r="E55" s="633">
        <v>0</v>
      </c>
      <c r="F55" s="450"/>
      <c r="G55" s="450"/>
      <c r="H55" s="670"/>
      <c r="I55" s="502"/>
      <c r="J55" s="450"/>
      <c r="K55" s="481"/>
      <c r="L55" s="450">
        <f t="shared" si="2"/>
        <v>45</v>
      </c>
    </row>
    <row r="56" spans="1:12" x14ac:dyDescent="0.35">
      <c r="A56" s="450">
        <f t="shared" si="1"/>
        <v>46</v>
      </c>
      <c r="B56" s="496"/>
      <c r="C56" s="634"/>
      <c r="D56" s="635"/>
      <c r="E56" s="46"/>
      <c r="F56" s="450"/>
      <c r="G56" s="450"/>
      <c r="H56" s="450"/>
      <c r="I56" s="450"/>
      <c r="J56" s="450"/>
      <c r="K56" s="481"/>
      <c r="L56" s="450">
        <f t="shared" si="2"/>
        <v>46</v>
      </c>
    </row>
    <row r="57" spans="1:12" ht="16" thickBot="1" x14ac:dyDescent="0.4">
      <c r="A57" s="450">
        <f t="shared" si="1"/>
        <v>47</v>
      </c>
      <c r="B57" s="489"/>
      <c r="C57" s="497" t="s">
        <v>288</v>
      </c>
      <c r="D57" s="636"/>
      <c r="E57" s="637">
        <f>SUM(E36:E55)</f>
        <v>162123.281960266</v>
      </c>
      <c r="F57" s="450"/>
      <c r="G57" s="450"/>
      <c r="H57" s="637">
        <f>SUM(H35:H55)</f>
        <v>-7345.4156899999998</v>
      </c>
      <c r="I57" s="450"/>
      <c r="J57" s="450"/>
      <c r="K57" s="481"/>
      <c r="L57" s="450">
        <f t="shared" si="2"/>
        <v>47</v>
      </c>
    </row>
    <row r="58" spans="1:12" ht="16" thickTop="1" x14ac:dyDescent="0.35">
      <c r="A58" s="450">
        <f t="shared" si="1"/>
        <v>48</v>
      </c>
      <c r="B58" s="489"/>
      <c r="C58" s="497"/>
      <c r="D58" s="636"/>
      <c r="E58" s="745"/>
      <c r="F58" s="450"/>
      <c r="G58" s="450"/>
      <c r="H58" s="745"/>
      <c r="I58" s="450"/>
      <c r="J58" s="450"/>
      <c r="K58" s="481"/>
      <c r="L58" s="450">
        <f t="shared" si="2"/>
        <v>48</v>
      </c>
    </row>
    <row r="59" spans="1:12" x14ac:dyDescent="0.35">
      <c r="A59" s="450">
        <f t="shared" si="1"/>
        <v>49</v>
      </c>
      <c r="B59" s="492"/>
      <c r="C59" s="450"/>
      <c r="D59" s="450"/>
      <c r="E59" s="450"/>
      <c r="F59" s="450"/>
      <c r="G59" s="450"/>
      <c r="H59" s="450"/>
      <c r="I59" s="450"/>
      <c r="J59" s="450"/>
      <c r="K59" s="481"/>
      <c r="L59" s="450">
        <f t="shared" si="2"/>
        <v>49</v>
      </c>
    </row>
    <row r="60" spans="1:12" x14ac:dyDescent="0.35">
      <c r="A60" s="450">
        <f t="shared" si="1"/>
        <v>50</v>
      </c>
      <c r="B60" s="63" t="s">
        <v>27</v>
      </c>
      <c r="C60" s="588" t="s">
        <v>817</v>
      </c>
      <c r="D60" s="450"/>
      <c r="E60" s="450"/>
      <c r="F60" s="450"/>
      <c r="G60" s="450"/>
      <c r="H60" s="450"/>
      <c r="I60" s="450"/>
      <c r="J60" s="450"/>
      <c r="K60" s="481"/>
      <c r="L60" s="450">
        <f t="shared" si="2"/>
        <v>50</v>
      </c>
    </row>
    <row r="61" spans="1:12" x14ac:dyDescent="0.35">
      <c r="A61" s="450">
        <f t="shared" si="1"/>
        <v>51</v>
      </c>
      <c r="B61" s="63"/>
      <c r="C61" s="588" t="s">
        <v>818</v>
      </c>
      <c r="D61" s="450"/>
      <c r="E61" s="450"/>
      <c r="F61" s="450"/>
      <c r="G61" s="450"/>
      <c r="H61" s="450"/>
      <c r="I61" s="450"/>
      <c r="J61" s="450"/>
      <c r="K61" s="481"/>
      <c r="L61" s="450">
        <f t="shared" si="2"/>
        <v>51</v>
      </c>
    </row>
    <row r="62" spans="1:12" ht="18" x14ac:dyDescent="0.35">
      <c r="A62" s="450">
        <f t="shared" si="1"/>
        <v>52</v>
      </c>
      <c r="B62" s="668">
        <v>1</v>
      </c>
      <c r="C62" s="34" t="s">
        <v>639</v>
      </c>
      <c r="E62" s="498"/>
      <c r="F62" s="506"/>
      <c r="G62" s="506"/>
      <c r="H62" s="506"/>
      <c r="I62" s="506"/>
      <c r="J62" s="506"/>
      <c r="K62" s="481"/>
      <c r="L62" s="450">
        <f t="shared" si="2"/>
        <v>52</v>
      </c>
    </row>
    <row r="63" spans="1:12" ht="18" x14ac:dyDescent="0.35">
      <c r="A63" s="450">
        <f t="shared" si="1"/>
        <v>53</v>
      </c>
      <c r="B63" s="668"/>
      <c r="C63" s="34" t="s">
        <v>289</v>
      </c>
      <c r="E63" s="498"/>
      <c r="F63" s="506"/>
      <c r="G63" s="506"/>
      <c r="H63" s="506"/>
      <c r="I63" s="506"/>
      <c r="J63" s="506"/>
      <c r="K63" s="481"/>
      <c r="L63" s="450">
        <f t="shared" si="2"/>
        <v>53</v>
      </c>
    </row>
    <row r="64" spans="1:12" ht="18" x14ac:dyDescent="0.35">
      <c r="A64" s="450">
        <f t="shared" si="1"/>
        <v>54</v>
      </c>
      <c r="B64" s="538">
        <v>2</v>
      </c>
      <c r="C64" s="34" t="s">
        <v>614</v>
      </c>
      <c r="E64" s="498"/>
      <c r="F64" s="506"/>
      <c r="G64" s="506"/>
      <c r="H64" s="506"/>
      <c r="I64" s="506"/>
      <c r="J64" s="506"/>
      <c r="K64" s="481"/>
      <c r="L64" s="450">
        <f t="shared" si="2"/>
        <v>54</v>
      </c>
    </row>
    <row r="65" spans="1:12" ht="18" x14ac:dyDescent="0.35">
      <c r="A65" s="450">
        <f t="shared" si="1"/>
        <v>55</v>
      </c>
      <c r="B65" s="538"/>
      <c r="C65" s="34" t="s">
        <v>615</v>
      </c>
      <c r="E65" s="498"/>
      <c r="F65" s="506"/>
      <c r="G65" s="506"/>
      <c r="H65" s="506"/>
      <c r="I65" s="506"/>
      <c r="J65" s="506"/>
      <c r="K65" s="481"/>
      <c r="L65" s="450">
        <f t="shared" si="2"/>
        <v>55</v>
      </c>
    </row>
    <row r="66" spans="1:12" ht="18" x14ac:dyDescent="0.35">
      <c r="A66" s="450">
        <f t="shared" si="1"/>
        <v>56</v>
      </c>
      <c r="B66" s="538"/>
      <c r="C66" s="34" t="s">
        <v>616</v>
      </c>
      <c r="E66" s="498"/>
      <c r="F66" s="506"/>
      <c r="G66" s="506"/>
      <c r="H66" s="506"/>
      <c r="I66" s="506"/>
      <c r="J66" s="506"/>
      <c r="K66" s="481"/>
      <c r="L66" s="450">
        <f t="shared" si="2"/>
        <v>56</v>
      </c>
    </row>
    <row r="67" spans="1:12" ht="18" x14ac:dyDescent="0.35">
      <c r="A67" s="450">
        <f t="shared" si="1"/>
        <v>57</v>
      </c>
      <c r="B67" s="538">
        <v>3</v>
      </c>
      <c r="C67" s="34" t="s">
        <v>617</v>
      </c>
      <c r="E67" s="498"/>
      <c r="F67" s="506"/>
      <c r="G67" s="506"/>
      <c r="H67" s="506"/>
      <c r="I67" s="506"/>
      <c r="J67" s="506"/>
      <c r="K67" s="481"/>
      <c r="L67" s="450">
        <f t="shared" si="2"/>
        <v>57</v>
      </c>
    </row>
    <row r="68" spans="1:12" ht="18" x14ac:dyDescent="0.35">
      <c r="A68" s="450">
        <f t="shared" si="1"/>
        <v>58</v>
      </c>
      <c r="B68" s="538"/>
      <c r="C68" s="34" t="s">
        <v>618</v>
      </c>
      <c r="E68" s="498"/>
      <c r="F68" s="506"/>
      <c r="G68" s="506"/>
      <c r="H68" s="506"/>
      <c r="I68" s="506"/>
      <c r="J68" s="506"/>
      <c r="K68" s="481"/>
      <c r="L68" s="450">
        <f t="shared" si="2"/>
        <v>58</v>
      </c>
    </row>
    <row r="69" spans="1:12" ht="18" x14ac:dyDescent="0.35">
      <c r="A69" s="450">
        <f t="shared" si="1"/>
        <v>59</v>
      </c>
      <c r="B69" s="538"/>
      <c r="C69" s="34" t="s">
        <v>619</v>
      </c>
      <c r="E69" s="498"/>
      <c r="F69" s="506"/>
      <c r="G69" s="506"/>
      <c r="H69" s="506"/>
      <c r="I69" s="506"/>
      <c r="J69" s="506"/>
      <c r="K69" s="481"/>
      <c r="L69" s="450">
        <f t="shared" si="2"/>
        <v>59</v>
      </c>
    </row>
    <row r="70" spans="1:12" ht="18" x14ac:dyDescent="0.35">
      <c r="A70" s="450">
        <f t="shared" si="1"/>
        <v>60</v>
      </c>
      <c r="B70" s="538">
        <v>4</v>
      </c>
      <c r="C70" s="34" t="s">
        <v>620</v>
      </c>
      <c r="E70" s="498"/>
      <c r="F70" s="506"/>
      <c r="G70" s="506"/>
      <c r="H70" s="506"/>
      <c r="I70" s="506"/>
      <c r="J70" s="506"/>
      <c r="K70" s="481"/>
      <c r="L70" s="450">
        <f t="shared" si="2"/>
        <v>60</v>
      </c>
    </row>
    <row r="71" spans="1:12" ht="18" x14ac:dyDescent="0.35">
      <c r="A71" s="450">
        <f t="shared" si="1"/>
        <v>61</v>
      </c>
      <c r="B71" s="538"/>
      <c r="C71" s="34" t="s">
        <v>621</v>
      </c>
      <c r="E71" s="498"/>
      <c r="F71" s="506"/>
      <c r="G71" s="506"/>
      <c r="H71" s="506"/>
      <c r="I71" s="506"/>
      <c r="J71" s="506"/>
      <c r="K71" s="481"/>
      <c r="L71" s="450">
        <f t="shared" si="2"/>
        <v>61</v>
      </c>
    </row>
    <row r="72" spans="1:12" ht="18" x14ac:dyDescent="0.35">
      <c r="A72" s="450">
        <f t="shared" si="1"/>
        <v>62</v>
      </c>
      <c r="B72" s="538"/>
      <c r="C72" s="34" t="s">
        <v>622</v>
      </c>
      <c r="E72" s="498"/>
      <c r="F72" s="506"/>
      <c r="G72" s="506"/>
      <c r="H72" s="506"/>
      <c r="I72" s="506"/>
      <c r="J72" s="506"/>
      <c r="K72" s="481"/>
      <c r="L72" s="450">
        <f t="shared" si="2"/>
        <v>62</v>
      </c>
    </row>
    <row r="73" spans="1:12" ht="18" x14ac:dyDescent="0.35">
      <c r="A73" s="450">
        <f t="shared" si="1"/>
        <v>63</v>
      </c>
      <c r="B73" s="538">
        <v>5</v>
      </c>
      <c r="C73" s="34" t="s">
        <v>625</v>
      </c>
      <c r="E73" s="498"/>
      <c r="F73" s="506"/>
      <c r="G73" s="506"/>
      <c r="H73" s="506"/>
      <c r="I73" s="506"/>
      <c r="J73" s="506"/>
      <c r="K73" s="481"/>
      <c r="L73" s="450">
        <f t="shared" si="2"/>
        <v>63</v>
      </c>
    </row>
    <row r="74" spans="1:12" ht="18" x14ac:dyDescent="0.35">
      <c r="A74" s="450">
        <f t="shared" si="1"/>
        <v>64</v>
      </c>
      <c r="B74" s="538">
        <v>6</v>
      </c>
      <c r="C74" s="34" t="s">
        <v>636</v>
      </c>
      <c r="E74" s="498"/>
      <c r="F74" s="506"/>
      <c r="G74" s="506"/>
      <c r="H74" s="506"/>
      <c r="I74" s="506"/>
      <c r="J74" s="506"/>
      <c r="K74" s="481"/>
      <c r="L74" s="450">
        <f t="shared" si="2"/>
        <v>64</v>
      </c>
    </row>
    <row r="75" spans="1:12" ht="18" x14ac:dyDescent="0.35">
      <c r="A75" s="450">
        <f t="shared" si="1"/>
        <v>65</v>
      </c>
      <c r="B75" s="538">
        <v>7</v>
      </c>
      <c r="C75" s="34" t="s">
        <v>769</v>
      </c>
      <c r="E75" s="498"/>
      <c r="F75" s="506"/>
      <c r="G75" s="506"/>
      <c r="H75" s="506"/>
      <c r="I75" s="506"/>
      <c r="J75" s="506"/>
      <c r="K75" s="481"/>
      <c r="L75" s="450">
        <f t="shared" si="2"/>
        <v>65</v>
      </c>
    </row>
    <row r="76" spans="1:12" ht="18" x14ac:dyDescent="0.35">
      <c r="A76" s="450">
        <f t="shared" si="1"/>
        <v>66</v>
      </c>
      <c r="B76" s="538">
        <v>8</v>
      </c>
      <c r="C76" s="769" t="s">
        <v>804</v>
      </c>
      <c r="E76" s="498"/>
      <c r="F76" s="506"/>
      <c r="G76" s="506"/>
      <c r="H76" s="506"/>
      <c r="I76" s="506"/>
      <c r="J76" s="506"/>
      <c r="K76" s="481"/>
      <c r="L76" s="450">
        <f t="shared" si="2"/>
        <v>66</v>
      </c>
    </row>
    <row r="77" spans="1:12" ht="18" x14ac:dyDescent="0.35">
      <c r="A77" s="450">
        <f t="shared" si="1"/>
        <v>67</v>
      </c>
      <c r="B77" s="538">
        <v>9</v>
      </c>
      <c r="C77" s="769" t="s">
        <v>809</v>
      </c>
      <c r="E77" s="498"/>
      <c r="F77" s="506"/>
      <c r="G77" s="506"/>
      <c r="H77" s="506"/>
      <c r="I77" s="506"/>
      <c r="J77" s="506"/>
      <c r="K77" s="481"/>
      <c r="L77" s="450">
        <f t="shared" si="2"/>
        <v>67</v>
      </c>
    </row>
    <row r="78" spans="1:12" ht="16" thickBot="1" x14ac:dyDescent="0.4">
      <c r="A78" s="450">
        <f t="shared" ref="A78" si="4">A77+1</f>
        <v>68</v>
      </c>
      <c r="B78" s="499"/>
      <c r="C78" s="500"/>
      <c r="D78" s="452"/>
      <c r="E78" s="452"/>
      <c r="F78" s="452"/>
      <c r="G78" s="452"/>
      <c r="H78" s="452"/>
      <c r="I78" s="452"/>
      <c r="J78" s="452"/>
      <c r="K78" s="488"/>
      <c r="L78" s="450">
        <f t="shared" ref="L78" si="5">L77+1</f>
        <v>68</v>
      </c>
    </row>
    <row r="79" spans="1:12" x14ac:dyDescent="0.35">
      <c r="C79" s="473"/>
    </row>
    <row r="80" spans="1:12" x14ac:dyDescent="0.35">
      <c r="A80" s="523"/>
      <c r="C80" s="473"/>
      <c r="D80" s="501"/>
      <c r="E80" s="501"/>
    </row>
    <row r="81" spans="1:10" ht="18" x14ac:dyDescent="0.35">
      <c r="A81" s="502"/>
      <c r="B81" s="282"/>
      <c r="C81" s="17"/>
      <c r="D81" s="156"/>
      <c r="E81" s="156"/>
      <c r="F81" s="156"/>
      <c r="G81" s="156"/>
      <c r="H81" s="156"/>
      <c r="I81" s="156"/>
      <c r="J81" s="156"/>
    </row>
    <row r="82" spans="1:10" ht="18" x14ac:dyDescent="0.35">
      <c r="A82" s="502"/>
      <c r="B82" s="282"/>
      <c r="C82" s="244"/>
      <c r="D82" s="156"/>
      <c r="E82" s="156"/>
      <c r="F82" s="156"/>
      <c r="G82" s="156"/>
      <c r="H82" s="156"/>
      <c r="I82" s="156"/>
      <c r="J82" s="156"/>
    </row>
    <row r="83" spans="1:10" ht="18" x14ac:dyDescent="0.35">
      <c r="A83" s="502"/>
      <c r="B83" s="33"/>
      <c r="C83" s="17"/>
      <c r="D83" s="17"/>
      <c r="E83" s="17"/>
      <c r="F83" s="17"/>
      <c r="G83" s="17"/>
      <c r="H83" s="17"/>
      <c r="I83" s="17"/>
      <c r="J83" s="17"/>
    </row>
    <row r="84" spans="1:10" ht="18" x14ac:dyDescent="0.35">
      <c r="A84" s="502"/>
      <c r="C84" s="473"/>
    </row>
    <row r="85" spans="1:10" ht="18" x14ac:dyDescent="0.35">
      <c r="A85" s="502"/>
      <c r="C85" s="473"/>
    </row>
    <row r="86" spans="1:10" ht="18" x14ac:dyDescent="0.35">
      <c r="A86" s="502"/>
      <c r="C86" s="473"/>
    </row>
    <row r="87" spans="1:10" x14ac:dyDescent="0.35">
      <c r="A87" s="523"/>
      <c r="C87" s="473"/>
    </row>
    <row r="88" spans="1:10" ht="18" x14ac:dyDescent="0.35">
      <c r="A88" s="502"/>
      <c r="C88" s="473"/>
    </row>
    <row r="89" spans="1:10" x14ac:dyDescent="0.35">
      <c r="A89" s="523"/>
      <c r="C89" s="473"/>
    </row>
    <row r="90" spans="1:10" ht="18" x14ac:dyDescent="0.35">
      <c r="A90" s="502"/>
      <c r="C90" s="473"/>
    </row>
    <row r="91" spans="1:10" x14ac:dyDescent="0.35">
      <c r="A91" s="523"/>
      <c r="C91" s="473"/>
    </row>
    <row r="92" spans="1:10" ht="18" x14ac:dyDescent="0.35">
      <c r="A92" s="502"/>
      <c r="C92" s="473"/>
    </row>
    <row r="93" spans="1:10" ht="18" x14ac:dyDescent="0.35">
      <c r="A93" s="502"/>
      <c r="B93" s="473"/>
    </row>
    <row r="94" spans="1:10" ht="18" x14ac:dyDescent="0.35">
      <c r="A94" s="502"/>
      <c r="B94" s="473"/>
    </row>
    <row r="95" spans="1:10" x14ac:dyDescent="0.35">
      <c r="B95" s="473"/>
    </row>
    <row r="96" spans="1:10" ht="18" x14ac:dyDescent="0.35">
      <c r="A96" s="502"/>
      <c r="B96" s="473"/>
    </row>
    <row r="97" spans="1:2" x14ac:dyDescent="0.35">
      <c r="A97" s="503"/>
      <c r="B97" s="504"/>
    </row>
    <row r="98" spans="1:2" x14ac:dyDescent="0.35">
      <c r="B98" s="473"/>
    </row>
  </sheetData>
  <mergeCells count="4">
    <mergeCell ref="B5:K5"/>
    <mergeCell ref="B2:K2"/>
    <mergeCell ref="B3:K3"/>
    <mergeCell ref="B4:K4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Roman,Bold"&amp;7REVISED</oddHeader>
    <oddFooter>&amp;L&amp;F&amp;CPage 9.4&amp;R&amp;A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A886-F48A-420C-8F1C-1FCD04112D9F}">
  <sheetPr>
    <pageSetUpPr fitToPage="1"/>
  </sheetPr>
  <dimension ref="A1:K88"/>
  <sheetViews>
    <sheetView zoomScale="80" zoomScaleNormal="80" workbookViewId="0"/>
  </sheetViews>
  <sheetFormatPr defaultColWidth="9.08984375" defaultRowHeight="15.5" x14ac:dyDescent="0.35"/>
  <cols>
    <col min="1" max="1" width="5.08984375" style="450" customWidth="1"/>
    <col min="2" max="2" width="8.54296875" style="451" customWidth="1"/>
    <col min="3" max="3" width="68.6328125" style="451" customWidth="1"/>
    <col min="4" max="6" width="16.90625" style="451" customWidth="1"/>
    <col min="7" max="7" width="34.54296875" style="451" customWidth="1"/>
    <col min="8" max="8" width="5.08984375" style="450" customWidth="1"/>
    <col min="9" max="9" width="4" style="451" customWidth="1"/>
    <col min="10" max="10" width="13.36328125" style="451" bestFit="1" customWidth="1"/>
    <col min="11" max="11" width="9.08984375" style="451"/>
    <col min="12" max="12" width="9.6328125" style="451" customWidth="1"/>
    <col min="13" max="13" width="10" style="451" customWidth="1"/>
    <col min="14" max="16384" width="9.08984375" style="451"/>
  </cols>
  <sheetData>
    <row r="1" spans="1:11" x14ac:dyDescent="0.35">
      <c r="A1" s="554" t="s">
        <v>632</v>
      </c>
    </row>
    <row r="3" spans="1:11" x14ac:dyDescent="0.35">
      <c r="B3" s="910" t="s">
        <v>16</v>
      </c>
      <c r="C3" s="910"/>
      <c r="D3" s="910"/>
      <c r="E3" s="910"/>
      <c r="F3" s="910"/>
      <c r="G3" s="910"/>
      <c r="H3" s="523"/>
    </row>
    <row r="4" spans="1:11" x14ac:dyDescent="0.35">
      <c r="B4" s="910" t="s">
        <v>253</v>
      </c>
      <c r="C4" s="910"/>
      <c r="D4" s="910"/>
      <c r="E4" s="910"/>
      <c r="F4" s="910"/>
      <c r="G4" s="910"/>
      <c r="H4" s="523"/>
    </row>
    <row r="5" spans="1:11" x14ac:dyDescent="0.35">
      <c r="B5" s="910" t="s">
        <v>609</v>
      </c>
      <c r="C5" s="910"/>
      <c r="D5" s="910"/>
      <c r="E5" s="910"/>
      <c r="F5" s="910"/>
      <c r="G5" s="910"/>
      <c r="H5" s="523"/>
      <c r="J5" s="622"/>
    </row>
    <row r="6" spans="1:11" x14ac:dyDescent="0.35">
      <c r="B6" s="909" t="s">
        <v>2</v>
      </c>
      <c r="C6" s="909"/>
      <c r="D6" s="909"/>
      <c r="E6" s="909"/>
      <c r="F6" s="909"/>
      <c r="G6" s="909"/>
      <c r="H6" s="523"/>
    </row>
    <row r="7" spans="1:11" ht="16" thickBot="1" x14ac:dyDescent="0.4">
      <c r="D7" s="452"/>
      <c r="E7" s="452"/>
      <c r="F7" s="452"/>
      <c r="G7" s="452"/>
      <c r="J7" s="34"/>
    </row>
    <row r="8" spans="1:11" x14ac:dyDescent="0.35">
      <c r="A8" s="523"/>
      <c r="B8" s="453"/>
      <c r="C8" s="454"/>
      <c r="D8" s="455" t="s">
        <v>254</v>
      </c>
      <c r="E8" s="456" t="s">
        <v>255</v>
      </c>
      <c r="F8" s="66" t="s">
        <v>256</v>
      </c>
      <c r="G8" s="457"/>
      <c r="H8" s="523"/>
    </row>
    <row r="9" spans="1:11" x14ac:dyDescent="0.35">
      <c r="A9" s="450" t="s">
        <v>3</v>
      </c>
      <c r="B9" s="458" t="s">
        <v>257</v>
      </c>
      <c r="C9" s="459"/>
      <c r="D9" s="460" t="s">
        <v>258</v>
      </c>
      <c r="E9" s="523" t="s">
        <v>259</v>
      </c>
      <c r="F9" s="460" t="s">
        <v>258</v>
      </c>
      <c r="G9" s="461"/>
      <c r="H9" s="450" t="s">
        <v>3</v>
      </c>
    </row>
    <row r="10" spans="1:11" ht="16" thickBot="1" x14ac:dyDescent="0.4">
      <c r="A10" s="450" t="s">
        <v>4</v>
      </c>
      <c r="B10" s="462" t="s">
        <v>260</v>
      </c>
      <c r="C10" s="463" t="s">
        <v>5</v>
      </c>
      <c r="D10" s="464" t="s">
        <v>261</v>
      </c>
      <c r="E10" s="463" t="s">
        <v>262</v>
      </c>
      <c r="F10" s="464" t="s">
        <v>263</v>
      </c>
      <c r="G10" s="467" t="s">
        <v>7</v>
      </c>
      <c r="H10" s="450" t="s">
        <v>4</v>
      </c>
      <c r="I10" s="450"/>
    </row>
    <row r="11" spans="1:11" x14ac:dyDescent="0.35">
      <c r="B11" s="468"/>
      <c r="C11" s="469" t="s">
        <v>264</v>
      </c>
      <c r="D11" s="470"/>
      <c r="E11" s="535"/>
      <c r="F11" s="471"/>
      <c r="G11" s="472"/>
    </row>
    <row r="12" spans="1:11" x14ac:dyDescent="0.35">
      <c r="A12" s="450">
        <v>1</v>
      </c>
      <c r="B12" s="468">
        <v>920</v>
      </c>
      <c r="C12" s="473" t="s">
        <v>265</v>
      </c>
      <c r="D12" s="70">
        <v>36490.397559999998</v>
      </c>
      <c r="E12" s="70">
        <f>E35</f>
        <v>0</v>
      </c>
      <c r="F12" s="70">
        <f>D12-E12</f>
        <v>36490.397559999998</v>
      </c>
      <c r="G12" s="69" t="s">
        <v>488</v>
      </c>
      <c r="H12" s="450">
        <f>A12</f>
        <v>1</v>
      </c>
      <c r="I12" s="451" t="s">
        <v>207</v>
      </c>
      <c r="J12" s="475"/>
    </row>
    <row r="13" spans="1:11" x14ac:dyDescent="0.35">
      <c r="A13" s="450">
        <f t="shared" ref="A13:A68" si="0">A12+1</f>
        <v>2</v>
      </c>
      <c r="B13" s="468">
        <v>921</v>
      </c>
      <c r="C13" s="473" t="s">
        <v>266</v>
      </c>
      <c r="D13" s="71">
        <v>31909.733110000005</v>
      </c>
      <c r="E13" s="71">
        <f>E36</f>
        <v>845.20270999999991</v>
      </c>
      <c r="F13" s="71">
        <f>D13-E13</f>
        <v>31064.530400000003</v>
      </c>
      <c r="G13" s="69" t="s">
        <v>489</v>
      </c>
      <c r="H13" s="450">
        <f t="shared" ref="H13:H68" si="1">H12+1</f>
        <v>2</v>
      </c>
      <c r="J13" s="475"/>
      <c r="K13" s="476"/>
    </row>
    <row r="14" spans="1:11" x14ac:dyDescent="0.35">
      <c r="A14" s="450">
        <f t="shared" si="0"/>
        <v>3</v>
      </c>
      <c r="B14" s="468">
        <v>922</v>
      </c>
      <c r="C14" s="473" t="s">
        <v>267</v>
      </c>
      <c r="D14" s="71">
        <v>-117.06113000000106</v>
      </c>
      <c r="E14" s="71">
        <f>E37</f>
        <v>14790</v>
      </c>
      <c r="F14" s="71">
        <f t="shared" ref="F14:F24" si="2">D14-E14</f>
        <v>-14907.061130000002</v>
      </c>
      <c r="G14" s="69" t="s">
        <v>490</v>
      </c>
      <c r="H14" s="450">
        <f t="shared" si="1"/>
        <v>3</v>
      </c>
      <c r="J14" s="475"/>
    </row>
    <row r="15" spans="1:11" x14ac:dyDescent="0.35">
      <c r="A15" s="450">
        <f t="shared" si="0"/>
        <v>4</v>
      </c>
      <c r="B15" s="468">
        <v>923</v>
      </c>
      <c r="C15" s="473" t="s">
        <v>268</v>
      </c>
      <c r="D15" s="71">
        <v>93392.102069999994</v>
      </c>
      <c r="E15" s="71">
        <f>E39</f>
        <v>-15527.43785</v>
      </c>
      <c r="F15" s="71">
        <f t="shared" si="2"/>
        <v>108919.53992</v>
      </c>
      <c r="G15" s="69" t="s">
        <v>491</v>
      </c>
      <c r="H15" s="450">
        <f t="shared" si="1"/>
        <v>4</v>
      </c>
      <c r="J15" s="475"/>
    </row>
    <row r="16" spans="1:11" x14ac:dyDescent="0.35">
      <c r="A16" s="450">
        <f t="shared" si="0"/>
        <v>5</v>
      </c>
      <c r="B16" s="468">
        <v>924</v>
      </c>
      <c r="C16" s="473" t="s">
        <v>269</v>
      </c>
      <c r="D16" s="71">
        <v>8930.0596700000024</v>
      </c>
      <c r="E16" s="71"/>
      <c r="F16" s="71">
        <f t="shared" si="2"/>
        <v>8930.0596700000024</v>
      </c>
      <c r="G16" s="69" t="s">
        <v>492</v>
      </c>
      <c r="H16" s="450">
        <f t="shared" si="1"/>
        <v>5</v>
      </c>
      <c r="J16" s="475"/>
    </row>
    <row r="17" spans="1:10" x14ac:dyDescent="0.35">
      <c r="A17" s="450">
        <f t="shared" si="0"/>
        <v>6</v>
      </c>
      <c r="B17" s="468">
        <v>925</v>
      </c>
      <c r="C17" s="473" t="s">
        <v>270</v>
      </c>
      <c r="D17" s="71">
        <v>232737.36132</v>
      </c>
      <c r="E17" s="71">
        <f>E41</f>
        <v>316.085377876</v>
      </c>
      <c r="F17" s="71">
        <f t="shared" si="2"/>
        <v>232421.27594212399</v>
      </c>
      <c r="G17" s="69" t="s">
        <v>493</v>
      </c>
      <c r="H17" s="450">
        <f t="shared" si="1"/>
        <v>6</v>
      </c>
      <c r="J17" s="475"/>
    </row>
    <row r="18" spans="1:10" x14ac:dyDescent="0.35">
      <c r="A18" s="450">
        <f t="shared" si="0"/>
        <v>7</v>
      </c>
      <c r="B18" s="468">
        <v>926</v>
      </c>
      <c r="C18" s="473" t="s">
        <v>271</v>
      </c>
      <c r="D18" s="71">
        <v>55888.241969999988</v>
      </c>
      <c r="E18" s="71">
        <f>E42</f>
        <v>-213.36890760999992</v>
      </c>
      <c r="F18" s="71">
        <f t="shared" si="2"/>
        <v>56101.610877609986</v>
      </c>
      <c r="G18" s="69" t="s">
        <v>494</v>
      </c>
      <c r="H18" s="450">
        <f t="shared" si="1"/>
        <v>7</v>
      </c>
      <c r="J18" s="623"/>
    </row>
    <row r="19" spans="1:10" x14ac:dyDescent="0.35">
      <c r="A19" s="450">
        <f t="shared" si="0"/>
        <v>8</v>
      </c>
      <c r="B19" s="468">
        <v>927</v>
      </c>
      <c r="C19" s="473" t="s">
        <v>272</v>
      </c>
      <c r="D19" s="71">
        <v>136000.65109999999</v>
      </c>
      <c r="E19" s="71">
        <f>E43</f>
        <v>136000.65109999999</v>
      </c>
      <c r="F19" s="71">
        <f t="shared" si="2"/>
        <v>0</v>
      </c>
      <c r="G19" s="69" t="s">
        <v>495</v>
      </c>
      <c r="H19" s="450">
        <f t="shared" si="1"/>
        <v>8</v>
      </c>
      <c r="J19" s="477"/>
    </row>
    <row r="20" spans="1:10" x14ac:dyDescent="0.35">
      <c r="A20" s="450">
        <f t="shared" si="0"/>
        <v>9</v>
      </c>
      <c r="B20" s="468">
        <v>928</v>
      </c>
      <c r="C20" s="473" t="s">
        <v>273</v>
      </c>
      <c r="D20" s="71">
        <v>36826.288789999999</v>
      </c>
      <c r="E20" s="71">
        <f>E48</f>
        <v>25397.196220000002</v>
      </c>
      <c r="F20" s="71">
        <f t="shared" si="2"/>
        <v>11429.092569999997</v>
      </c>
      <c r="G20" s="69" t="s">
        <v>496</v>
      </c>
      <c r="H20" s="450">
        <f t="shared" si="1"/>
        <v>9</v>
      </c>
      <c r="J20" s="477"/>
    </row>
    <row r="21" spans="1:10" x14ac:dyDescent="0.35">
      <c r="A21" s="450">
        <f t="shared" si="0"/>
        <v>10</v>
      </c>
      <c r="B21" s="468">
        <v>929</v>
      </c>
      <c r="C21" s="473" t="s">
        <v>274</v>
      </c>
      <c r="D21" s="71">
        <v>-22074.292129999998</v>
      </c>
      <c r="E21" s="71"/>
      <c r="F21" s="71">
        <f t="shared" si="2"/>
        <v>-22074.292129999998</v>
      </c>
      <c r="G21" s="69" t="s">
        <v>497</v>
      </c>
      <c r="H21" s="450">
        <f t="shared" si="1"/>
        <v>10</v>
      </c>
      <c r="J21" s="475"/>
    </row>
    <row r="22" spans="1:10" x14ac:dyDescent="0.35">
      <c r="A22" s="450">
        <f t="shared" si="0"/>
        <v>11</v>
      </c>
      <c r="B22" s="478">
        <v>930.1</v>
      </c>
      <c r="C22" s="473" t="s">
        <v>275</v>
      </c>
      <c r="D22" s="71">
        <v>7.6341200000000002</v>
      </c>
      <c r="E22" s="71">
        <f>E49</f>
        <v>7.6341200000000002</v>
      </c>
      <c r="F22" s="71">
        <f t="shared" si="2"/>
        <v>0</v>
      </c>
      <c r="G22" s="69" t="s">
        <v>498</v>
      </c>
      <c r="H22" s="450">
        <f t="shared" si="1"/>
        <v>11</v>
      </c>
      <c r="J22" s="475"/>
    </row>
    <row r="23" spans="1:10" x14ac:dyDescent="0.35">
      <c r="A23" s="450">
        <f t="shared" si="0"/>
        <v>12</v>
      </c>
      <c r="B23" s="478">
        <v>930.2</v>
      </c>
      <c r="C23" s="473" t="s">
        <v>276</v>
      </c>
      <c r="D23" s="71">
        <v>6624.7593599999982</v>
      </c>
      <c r="E23" s="71">
        <f>E51</f>
        <v>507.31919000000005</v>
      </c>
      <c r="F23" s="71">
        <f t="shared" si="2"/>
        <v>6117.440169999998</v>
      </c>
      <c r="G23" s="69" t="s">
        <v>499</v>
      </c>
      <c r="H23" s="450">
        <f t="shared" si="1"/>
        <v>12</v>
      </c>
      <c r="J23" s="479"/>
    </row>
    <row r="24" spans="1:10" x14ac:dyDescent="0.35">
      <c r="A24" s="450">
        <f t="shared" si="0"/>
        <v>13</v>
      </c>
      <c r="B24" s="468">
        <v>931</v>
      </c>
      <c r="C24" s="473" t="s">
        <v>277</v>
      </c>
      <c r="D24" s="71">
        <v>14136.924589999999</v>
      </c>
      <c r="E24" s="71"/>
      <c r="F24" s="71">
        <f t="shared" si="2"/>
        <v>14136.924589999999</v>
      </c>
      <c r="G24" s="69" t="s">
        <v>500</v>
      </c>
      <c r="H24" s="450">
        <f t="shared" si="1"/>
        <v>13</v>
      </c>
      <c r="J24" s="475"/>
    </row>
    <row r="25" spans="1:10" x14ac:dyDescent="0.35">
      <c r="A25" s="450">
        <f t="shared" si="0"/>
        <v>14</v>
      </c>
      <c r="B25" s="468">
        <v>935</v>
      </c>
      <c r="C25" s="473" t="s">
        <v>278</v>
      </c>
      <c r="D25" s="401">
        <v>24457.53455</v>
      </c>
      <c r="E25" s="401">
        <f>E52</f>
        <v>0</v>
      </c>
      <c r="F25" s="401">
        <f>D25-E25</f>
        <v>24457.53455</v>
      </c>
      <c r="G25" s="624" t="s">
        <v>501</v>
      </c>
      <c r="H25" s="450">
        <f t="shared" si="1"/>
        <v>14</v>
      </c>
      <c r="I25" s="451" t="s">
        <v>207</v>
      </c>
      <c r="J25" s="475"/>
    </row>
    <row r="26" spans="1:10" x14ac:dyDescent="0.35">
      <c r="A26" s="450">
        <f t="shared" si="0"/>
        <v>15</v>
      </c>
      <c r="B26" s="468"/>
      <c r="D26" s="480"/>
      <c r="E26" s="480"/>
      <c r="F26" s="480"/>
      <c r="G26" s="481"/>
      <c r="H26" s="450">
        <f t="shared" si="1"/>
        <v>15</v>
      </c>
    </row>
    <row r="27" spans="1:10" ht="16" thickBot="1" x14ac:dyDescent="0.4">
      <c r="A27" s="450">
        <f t="shared" si="0"/>
        <v>16</v>
      </c>
      <c r="B27" s="468"/>
      <c r="C27" s="459" t="s">
        <v>279</v>
      </c>
      <c r="D27" s="482">
        <f>SUM(D12:D25)</f>
        <v>655210.33494999993</v>
      </c>
      <c r="E27" s="75">
        <f>SUM(E12:E25)</f>
        <v>162123.281960266</v>
      </c>
      <c r="F27" s="75">
        <f>SUM(F12:F25)</f>
        <v>493087.05298973399</v>
      </c>
      <c r="G27" s="78" t="str">
        <f>"Sum Lines "&amp;A12&amp;" thru "&amp;A25</f>
        <v>Sum Lines 1 thru 14</v>
      </c>
      <c r="H27" s="450">
        <f t="shared" si="1"/>
        <v>16</v>
      </c>
    </row>
    <row r="28" spans="1:10" ht="16" thickTop="1" x14ac:dyDescent="0.35">
      <c r="A28" s="450">
        <f t="shared" si="0"/>
        <v>17</v>
      </c>
      <c r="B28" s="468"/>
      <c r="C28" s="459"/>
      <c r="D28" s="484"/>
      <c r="E28" s="474"/>
      <c r="F28" s="74"/>
      <c r="G28" s="78"/>
      <c r="H28" s="450">
        <f t="shared" si="1"/>
        <v>17</v>
      </c>
    </row>
    <row r="29" spans="1:10" ht="18" x14ac:dyDescent="0.35">
      <c r="A29" s="450">
        <f t="shared" si="0"/>
        <v>18</v>
      </c>
      <c r="B29" s="468">
        <v>413</v>
      </c>
      <c r="C29" s="451" t="s">
        <v>280</v>
      </c>
      <c r="D29" s="401">
        <v>752.42183999999997</v>
      </c>
      <c r="E29" s="553">
        <v>0</v>
      </c>
      <c r="F29" s="401">
        <f>D29-E29</f>
        <v>752.42183999999997</v>
      </c>
      <c r="G29" s="78"/>
      <c r="H29" s="450">
        <f t="shared" si="1"/>
        <v>18</v>
      </c>
      <c r="J29" s="625"/>
    </row>
    <row r="30" spans="1:10" x14ac:dyDescent="0.35">
      <c r="A30" s="450">
        <f t="shared" si="0"/>
        <v>19</v>
      </c>
      <c r="B30" s="468"/>
      <c r="C30" s="459"/>
      <c r="D30" s="484"/>
      <c r="E30" s="474"/>
      <c r="F30" s="74"/>
      <c r="G30" s="78"/>
      <c r="H30" s="450">
        <f t="shared" si="1"/>
        <v>19</v>
      </c>
    </row>
    <row r="31" spans="1:10" ht="16" thickBot="1" x14ac:dyDescent="0.4">
      <c r="A31" s="450">
        <f t="shared" si="0"/>
        <v>20</v>
      </c>
      <c r="B31" s="468"/>
      <c r="C31" s="459" t="s">
        <v>281</v>
      </c>
      <c r="D31" s="482">
        <f>D27+D29</f>
        <v>655962.7567899999</v>
      </c>
      <c r="E31" s="474">
        <f>E27+E29</f>
        <v>162123.281960266</v>
      </c>
      <c r="F31" s="74">
        <f>F27+F29</f>
        <v>493839.47482973401</v>
      </c>
      <c r="G31" s="78" t="str">
        <f>"Line "&amp;A27&amp;" + Line "&amp;A29</f>
        <v>Line 16 + Line 18</v>
      </c>
      <c r="H31" s="450">
        <f t="shared" si="1"/>
        <v>20</v>
      </c>
    </row>
    <row r="32" spans="1:10" ht="16.5" thickTop="1" thickBot="1" x14ac:dyDescent="0.4">
      <c r="A32" s="450">
        <f t="shared" si="0"/>
        <v>21</v>
      </c>
      <c r="B32" s="485"/>
      <c r="C32" s="452"/>
      <c r="D32" s="486"/>
      <c r="E32" s="487"/>
      <c r="F32" s="487"/>
      <c r="G32" s="488"/>
      <c r="H32" s="450">
        <f t="shared" si="1"/>
        <v>21</v>
      </c>
    </row>
    <row r="33" spans="1:10" x14ac:dyDescent="0.35">
      <c r="A33" s="450">
        <f t="shared" si="0"/>
        <v>22</v>
      </c>
      <c r="B33" s="489"/>
      <c r="D33" s="490"/>
      <c r="E33" s="491"/>
      <c r="F33" s="490"/>
      <c r="G33" s="481"/>
      <c r="H33" s="450">
        <f t="shared" si="1"/>
        <v>22</v>
      </c>
    </row>
    <row r="34" spans="1:10" x14ac:dyDescent="0.35">
      <c r="A34" s="450">
        <f t="shared" si="0"/>
        <v>23</v>
      </c>
      <c r="B34" s="492" t="s">
        <v>282</v>
      </c>
      <c r="C34" s="450"/>
      <c r="D34" s="450"/>
      <c r="E34" s="450"/>
      <c r="F34" s="450"/>
      <c r="G34" s="481"/>
      <c r="H34" s="450">
        <f t="shared" si="1"/>
        <v>23</v>
      </c>
    </row>
    <row r="35" spans="1:10" ht="18.5" x14ac:dyDescent="0.35">
      <c r="A35" s="450">
        <f t="shared" si="0"/>
        <v>24</v>
      </c>
      <c r="B35" s="496">
        <v>921</v>
      </c>
      <c r="C35" s="473" t="s">
        <v>610</v>
      </c>
      <c r="D35" s="626">
        <v>840.71799999999996</v>
      </c>
      <c r="F35" s="450"/>
      <c r="G35" s="481"/>
      <c r="H35" s="450">
        <f t="shared" si="1"/>
        <v>24</v>
      </c>
      <c r="J35" s="625"/>
    </row>
    <row r="36" spans="1:10" x14ac:dyDescent="0.35">
      <c r="A36" s="450">
        <f t="shared" si="0"/>
        <v>25</v>
      </c>
      <c r="B36" s="496"/>
      <c r="C36" s="473" t="s">
        <v>503</v>
      </c>
      <c r="D36" s="627">
        <v>4.4847099999999998</v>
      </c>
      <c r="E36" s="626">
        <f>SUM(D35:D36)</f>
        <v>845.20270999999991</v>
      </c>
      <c r="F36" s="450"/>
      <c r="G36" s="481"/>
      <c r="H36" s="450">
        <f t="shared" si="1"/>
        <v>25</v>
      </c>
      <c r="J36" s="625"/>
    </row>
    <row r="37" spans="1:10" ht="18.5" x14ac:dyDescent="0.35">
      <c r="A37" s="450">
        <f t="shared" si="0"/>
        <v>26</v>
      </c>
      <c r="B37" s="496">
        <v>922</v>
      </c>
      <c r="C37" s="473" t="s">
        <v>611</v>
      </c>
      <c r="D37"/>
      <c r="E37" s="630">
        <v>14790</v>
      </c>
      <c r="F37" s="450"/>
      <c r="G37" s="481"/>
      <c r="H37" s="450">
        <f t="shared" si="1"/>
        <v>26</v>
      </c>
    </row>
    <row r="38" spans="1:10" ht="18.5" x14ac:dyDescent="0.35">
      <c r="A38" s="450">
        <f t="shared" si="0"/>
        <v>27</v>
      </c>
      <c r="B38" s="496">
        <v>923</v>
      </c>
      <c r="C38" s="473" t="s">
        <v>612</v>
      </c>
      <c r="D38" s="630">
        <v>-15532</v>
      </c>
      <c r="F38" s="450"/>
      <c r="G38" s="481"/>
      <c r="H38" s="450">
        <f t="shared" si="1"/>
        <v>27</v>
      </c>
    </row>
    <row r="39" spans="1:10" x14ac:dyDescent="0.35">
      <c r="A39" s="450">
        <f t="shared" si="0"/>
        <v>28</v>
      </c>
      <c r="B39" s="496"/>
      <c r="C39" s="473" t="s">
        <v>503</v>
      </c>
      <c r="D39" s="627">
        <v>4.5621499999999999</v>
      </c>
      <c r="E39" s="630">
        <f>SUM(D38:D39)</f>
        <v>-15527.43785</v>
      </c>
      <c r="F39" s="450"/>
      <c r="G39" s="481"/>
      <c r="H39" s="450">
        <f t="shared" si="1"/>
        <v>28</v>
      </c>
    </row>
    <row r="40" spans="1:10" x14ac:dyDescent="0.35">
      <c r="A40" s="450">
        <f t="shared" si="0"/>
        <v>29</v>
      </c>
      <c r="B40" s="496">
        <v>925</v>
      </c>
      <c r="C40" s="473" t="s">
        <v>502</v>
      </c>
      <c r="D40" s="626">
        <v>290.51205787599997</v>
      </c>
      <c r="E40" s="450"/>
      <c r="F40" s="450"/>
      <c r="G40" s="481"/>
      <c r="H40" s="450">
        <f t="shared" si="1"/>
        <v>29</v>
      </c>
    </row>
    <row r="41" spans="1:10" x14ac:dyDescent="0.35">
      <c r="A41" s="450">
        <f t="shared" si="0"/>
        <v>30</v>
      </c>
      <c r="B41" s="496"/>
      <c r="C41" s="473" t="s">
        <v>503</v>
      </c>
      <c r="D41" s="627">
        <v>25.573319999999999</v>
      </c>
      <c r="E41" s="626">
        <f>SUM(D40:D41)</f>
        <v>316.085377876</v>
      </c>
      <c r="F41" s="450"/>
      <c r="G41" s="481"/>
      <c r="H41" s="450">
        <f t="shared" si="1"/>
        <v>30</v>
      </c>
    </row>
    <row r="42" spans="1:10" x14ac:dyDescent="0.35">
      <c r="A42" s="450">
        <f t="shared" si="0"/>
        <v>31</v>
      </c>
      <c r="B42" s="496">
        <v>926</v>
      </c>
      <c r="C42" s="494" t="s">
        <v>502</v>
      </c>
      <c r="D42"/>
      <c r="E42" s="630">
        <v>-213.36890760999992</v>
      </c>
      <c r="F42" s="450"/>
      <c r="G42" s="481"/>
      <c r="H42" s="450">
        <f t="shared" si="1"/>
        <v>31</v>
      </c>
    </row>
    <row r="43" spans="1:10" x14ac:dyDescent="0.35">
      <c r="A43" s="450">
        <f t="shared" si="0"/>
        <v>32</v>
      </c>
      <c r="B43" s="629">
        <v>927</v>
      </c>
      <c r="C43" s="494" t="s">
        <v>272</v>
      </c>
      <c r="D43" s="626"/>
      <c r="E43" s="630">
        <v>136000.65109999999</v>
      </c>
      <c r="F43" s="450"/>
      <c r="G43" s="481"/>
      <c r="H43" s="450">
        <f t="shared" si="1"/>
        <v>32</v>
      </c>
    </row>
    <row r="44" spans="1:10" x14ac:dyDescent="0.35">
      <c r="A44" s="450">
        <f t="shared" si="0"/>
        <v>33</v>
      </c>
      <c r="B44" s="496">
        <v>928</v>
      </c>
      <c r="C44" s="473" t="s">
        <v>613</v>
      </c>
      <c r="D44" s="626">
        <v>22865.18</v>
      </c>
      <c r="E44" s="450"/>
      <c r="F44" s="450"/>
      <c r="G44" s="481"/>
      <c r="H44" s="450">
        <f t="shared" si="1"/>
        <v>33</v>
      </c>
    </row>
    <row r="45" spans="1:10" x14ac:dyDescent="0.35">
      <c r="A45" s="450">
        <f t="shared" si="0"/>
        <v>34</v>
      </c>
      <c r="B45" s="496"/>
      <c r="C45" s="473" t="s">
        <v>283</v>
      </c>
      <c r="D45" s="626">
        <v>0.96526000000000001</v>
      </c>
      <c r="E45" s="450"/>
      <c r="F45" s="450"/>
      <c r="G45" s="481"/>
      <c r="H45" s="450">
        <f t="shared" si="1"/>
        <v>34</v>
      </c>
    </row>
    <row r="46" spans="1:10" x14ac:dyDescent="0.35">
      <c r="A46" s="450">
        <f t="shared" si="0"/>
        <v>35</v>
      </c>
      <c r="B46" s="496"/>
      <c r="C46" s="473" t="s">
        <v>502</v>
      </c>
      <c r="D46" s="626">
        <v>725.9323099999998</v>
      </c>
      <c r="E46" s="450"/>
      <c r="F46" s="450"/>
      <c r="G46" s="481"/>
      <c r="H46" s="450">
        <f t="shared" si="1"/>
        <v>35</v>
      </c>
    </row>
    <row r="47" spans="1:10" x14ac:dyDescent="0.35">
      <c r="A47" s="450">
        <f t="shared" si="0"/>
        <v>36</v>
      </c>
      <c r="B47" s="496"/>
      <c r="C47" s="18" t="s">
        <v>284</v>
      </c>
      <c r="D47" s="631">
        <v>0</v>
      </c>
      <c r="E47" s="450"/>
      <c r="F47" s="450"/>
      <c r="G47" s="481"/>
      <c r="H47" s="450">
        <f t="shared" si="1"/>
        <v>36</v>
      </c>
    </row>
    <row r="48" spans="1:10" x14ac:dyDescent="0.35">
      <c r="A48" s="450">
        <f t="shared" si="0"/>
        <v>37</v>
      </c>
      <c r="B48" s="496"/>
      <c r="C48" s="18" t="s">
        <v>285</v>
      </c>
      <c r="D48" s="627">
        <v>1805.1186499999999</v>
      </c>
      <c r="E48" s="626">
        <f>SUM(D44:D48)</f>
        <v>25397.196220000002</v>
      </c>
      <c r="F48" s="450"/>
      <c r="G48" s="481"/>
      <c r="H48" s="450">
        <f t="shared" si="1"/>
        <v>37</v>
      </c>
    </row>
    <row r="49" spans="1:8" x14ac:dyDescent="0.35">
      <c r="A49" s="450">
        <f t="shared" si="0"/>
        <v>38</v>
      </c>
      <c r="B49" s="632">
        <v>930.1</v>
      </c>
      <c r="C49" s="18" t="s">
        <v>275</v>
      </c>
      <c r="D49" s="626"/>
      <c r="E49" s="630">
        <v>7.6341200000000002</v>
      </c>
      <c r="F49" s="450"/>
      <c r="G49" s="481"/>
      <c r="H49" s="450">
        <f t="shared" si="1"/>
        <v>38</v>
      </c>
    </row>
    <row r="50" spans="1:8" x14ac:dyDescent="0.35">
      <c r="A50" s="450">
        <f t="shared" si="0"/>
        <v>39</v>
      </c>
      <c r="B50" s="495">
        <v>930.2</v>
      </c>
      <c r="C50" s="494" t="s">
        <v>286</v>
      </c>
      <c r="D50" s="630">
        <v>401.94600000000003</v>
      </c>
      <c r="F50" s="450"/>
      <c r="G50" s="481"/>
      <c r="H50" s="450">
        <f t="shared" si="1"/>
        <v>39</v>
      </c>
    </row>
    <row r="51" spans="1:8" x14ac:dyDescent="0.35">
      <c r="A51" s="450">
        <f t="shared" si="0"/>
        <v>40</v>
      </c>
      <c r="B51" s="495"/>
      <c r="C51" s="473" t="s">
        <v>503</v>
      </c>
      <c r="D51" s="633">
        <v>105.37318999999999</v>
      </c>
      <c r="E51" s="628">
        <f>SUM(D50:D51)</f>
        <v>507.31919000000005</v>
      </c>
      <c r="F51" s="450"/>
      <c r="G51" s="481"/>
      <c r="H51" s="450">
        <f t="shared" si="1"/>
        <v>40</v>
      </c>
    </row>
    <row r="52" spans="1:8" x14ac:dyDescent="0.35">
      <c r="A52" s="450">
        <f t="shared" si="0"/>
        <v>41</v>
      </c>
      <c r="B52" s="496">
        <v>935</v>
      </c>
      <c r="C52" s="473" t="s">
        <v>287</v>
      </c>
      <c r="D52" s="626"/>
      <c r="E52" s="633">
        <v>0</v>
      </c>
      <c r="F52" s="450"/>
      <c r="G52" s="481"/>
      <c r="H52" s="450">
        <f t="shared" si="1"/>
        <v>41</v>
      </c>
    </row>
    <row r="53" spans="1:8" x14ac:dyDescent="0.35">
      <c r="A53" s="450">
        <f t="shared" si="0"/>
        <v>42</v>
      </c>
      <c r="B53" s="496"/>
      <c r="C53" s="634"/>
      <c r="D53" s="635"/>
      <c r="E53" s="46"/>
      <c r="F53" s="450"/>
      <c r="G53" s="481"/>
      <c r="H53" s="450">
        <f t="shared" si="1"/>
        <v>42</v>
      </c>
    </row>
    <row r="54" spans="1:8" ht="16" thickBot="1" x14ac:dyDescent="0.4">
      <c r="A54" s="450">
        <f t="shared" si="0"/>
        <v>43</v>
      </c>
      <c r="B54" s="489"/>
      <c r="C54" s="497" t="s">
        <v>288</v>
      </c>
      <c r="D54" s="636"/>
      <c r="E54" s="637">
        <f>SUM(E35:E52)</f>
        <v>162123.281960266</v>
      </c>
      <c r="F54" s="450"/>
      <c r="G54" s="481"/>
      <c r="H54" s="450">
        <f t="shared" si="1"/>
        <v>43</v>
      </c>
    </row>
    <row r="55" spans="1:8" ht="16" thickTop="1" x14ac:dyDescent="0.35">
      <c r="A55" s="450">
        <f t="shared" si="0"/>
        <v>44</v>
      </c>
      <c r="B55" s="492"/>
      <c r="C55" s="450"/>
      <c r="D55" s="450"/>
      <c r="E55" s="450"/>
      <c r="F55" s="450"/>
      <c r="G55" s="481"/>
      <c r="H55" s="450">
        <f t="shared" si="1"/>
        <v>44</v>
      </c>
    </row>
    <row r="56" spans="1:8" x14ac:dyDescent="0.35">
      <c r="A56" s="450">
        <f t="shared" si="0"/>
        <v>45</v>
      </c>
      <c r="B56" s="492"/>
      <c r="C56" s="450"/>
      <c r="D56" s="450"/>
      <c r="E56" s="450"/>
      <c r="F56" s="450"/>
      <c r="G56" s="481"/>
      <c r="H56" s="450">
        <f t="shared" si="1"/>
        <v>45</v>
      </c>
    </row>
    <row r="57" spans="1:8" ht="18" x14ac:dyDescent="0.35">
      <c r="A57" s="450">
        <f t="shared" si="0"/>
        <v>46</v>
      </c>
      <c r="B57" s="668">
        <v>1</v>
      </c>
      <c r="C57" s="34" t="s">
        <v>639</v>
      </c>
      <c r="E57" s="498"/>
      <c r="F57" s="506"/>
      <c r="G57" s="481"/>
      <c r="H57" s="450">
        <f t="shared" si="1"/>
        <v>46</v>
      </c>
    </row>
    <row r="58" spans="1:8" ht="18" x14ac:dyDescent="0.35">
      <c r="A58" s="450">
        <f t="shared" si="0"/>
        <v>47</v>
      </c>
      <c r="B58" s="668"/>
      <c r="C58" s="34" t="s">
        <v>289</v>
      </c>
      <c r="E58" s="498"/>
      <c r="F58" s="506"/>
      <c r="G58" s="481"/>
      <c r="H58" s="450">
        <f t="shared" si="1"/>
        <v>47</v>
      </c>
    </row>
    <row r="59" spans="1:8" ht="18" x14ac:dyDescent="0.35">
      <c r="A59" s="450">
        <f t="shared" si="0"/>
        <v>48</v>
      </c>
      <c r="B59" s="538">
        <v>2</v>
      </c>
      <c r="C59" s="34" t="s">
        <v>614</v>
      </c>
      <c r="E59" s="498"/>
      <c r="F59" s="506"/>
      <c r="G59" s="481"/>
      <c r="H59" s="450">
        <f t="shared" si="1"/>
        <v>48</v>
      </c>
    </row>
    <row r="60" spans="1:8" ht="18" x14ac:dyDescent="0.35">
      <c r="A60" s="450">
        <f t="shared" si="0"/>
        <v>49</v>
      </c>
      <c r="B60" s="538"/>
      <c r="C60" s="34" t="s">
        <v>615</v>
      </c>
      <c r="E60" s="498"/>
      <c r="F60" s="506"/>
      <c r="G60" s="481"/>
      <c r="H60" s="450">
        <f t="shared" si="1"/>
        <v>49</v>
      </c>
    </row>
    <row r="61" spans="1:8" ht="18" x14ac:dyDescent="0.35">
      <c r="A61" s="450">
        <f t="shared" si="0"/>
        <v>50</v>
      </c>
      <c r="B61" s="538"/>
      <c r="C61" s="34" t="s">
        <v>616</v>
      </c>
      <c r="E61" s="498"/>
      <c r="F61" s="506"/>
      <c r="G61" s="481"/>
      <c r="H61" s="450">
        <f t="shared" si="1"/>
        <v>50</v>
      </c>
    </row>
    <row r="62" spans="1:8" ht="18" x14ac:dyDescent="0.35">
      <c r="A62" s="450">
        <f t="shared" si="0"/>
        <v>51</v>
      </c>
      <c r="B62" s="538">
        <v>3</v>
      </c>
      <c r="C62" s="34" t="s">
        <v>617</v>
      </c>
      <c r="E62" s="498"/>
      <c r="F62" s="506"/>
      <c r="G62" s="481"/>
      <c r="H62" s="450">
        <f t="shared" si="1"/>
        <v>51</v>
      </c>
    </row>
    <row r="63" spans="1:8" ht="18" x14ac:dyDescent="0.35">
      <c r="A63" s="450">
        <f t="shared" si="0"/>
        <v>52</v>
      </c>
      <c r="B63" s="538"/>
      <c r="C63" s="34" t="s">
        <v>618</v>
      </c>
      <c r="E63" s="498"/>
      <c r="F63" s="506"/>
      <c r="G63" s="481"/>
      <c r="H63" s="450">
        <f t="shared" si="1"/>
        <v>52</v>
      </c>
    </row>
    <row r="64" spans="1:8" ht="18" x14ac:dyDescent="0.35">
      <c r="A64" s="450">
        <f t="shared" si="0"/>
        <v>53</v>
      </c>
      <c r="B64" s="538"/>
      <c r="C64" s="34" t="s">
        <v>619</v>
      </c>
      <c r="E64" s="498"/>
      <c r="F64" s="506"/>
      <c r="G64" s="481"/>
      <c r="H64" s="450">
        <f t="shared" si="1"/>
        <v>53</v>
      </c>
    </row>
    <row r="65" spans="1:8" ht="18" x14ac:dyDescent="0.35">
      <c r="A65" s="450">
        <f t="shared" si="0"/>
        <v>54</v>
      </c>
      <c r="B65" s="538">
        <v>4</v>
      </c>
      <c r="C65" s="34" t="s">
        <v>620</v>
      </c>
      <c r="E65" s="498"/>
      <c r="F65" s="506"/>
      <c r="G65" s="481"/>
      <c r="H65" s="450">
        <f t="shared" si="1"/>
        <v>54</v>
      </c>
    </row>
    <row r="66" spans="1:8" ht="18" x14ac:dyDescent="0.35">
      <c r="A66" s="450">
        <f t="shared" si="0"/>
        <v>55</v>
      </c>
      <c r="B66" s="538"/>
      <c r="C66" s="34" t="s">
        <v>621</v>
      </c>
      <c r="E66" s="498"/>
      <c r="F66" s="506"/>
      <c r="G66" s="481"/>
      <c r="H66" s="450">
        <f t="shared" si="1"/>
        <v>55</v>
      </c>
    </row>
    <row r="67" spans="1:8" ht="18" x14ac:dyDescent="0.35">
      <c r="A67" s="450">
        <f t="shared" si="0"/>
        <v>56</v>
      </c>
      <c r="B67" s="538"/>
      <c r="C67" s="34" t="s">
        <v>622</v>
      </c>
      <c r="E67" s="498"/>
      <c r="F67" s="506"/>
      <c r="G67" s="481"/>
      <c r="H67" s="450">
        <f t="shared" si="1"/>
        <v>56</v>
      </c>
    </row>
    <row r="68" spans="1:8" ht="16" thickBot="1" x14ac:dyDescent="0.4">
      <c r="A68" s="450">
        <f t="shared" si="0"/>
        <v>57</v>
      </c>
      <c r="B68" s="499"/>
      <c r="C68" s="500"/>
      <c r="D68" s="452"/>
      <c r="E68" s="452"/>
      <c r="F68" s="452"/>
      <c r="G68" s="488"/>
      <c r="H68" s="450">
        <f t="shared" si="1"/>
        <v>57</v>
      </c>
    </row>
    <row r="69" spans="1:8" x14ac:dyDescent="0.35">
      <c r="C69" s="473"/>
    </row>
    <row r="70" spans="1:8" x14ac:dyDescent="0.35">
      <c r="A70" s="523"/>
      <c r="C70" s="473"/>
      <c r="D70" s="501"/>
      <c r="E70" s="501"/>
    </row>
    <row r="71" spans="1:8" ht="18" x14ac:dyDescent="0.35">
      <c r="A71" s="502"/>
      <c r="B71" s="282"/>
      <c r="C71" s="17"/>
      <c r="D71" s="156"/>
      <c r="E71" s="156"/>
      <c r="F71" s="156"/>
    </row>
    <row r="72" spans="1:8" ht="18" x14ac:dyDescent="0.35">
      <c r="A72" s="502"/>
      <c r="B72" s="282"/>
      <c r="C72" s="244"/>
      <c r="D72" s="156"/>
      <c r="E72" s="156"/>
      <c r="F72" s="156"/>
    </row>
    <row r="73" spans="1:8" ht="18" x14ac:dyDescent="0.35">
      <c r="A73" s="502"/>
      <c r="B73" s="33"/>
      <c r="C73" s="17"/>
      <c r="D73" s="17"/>
      <c r="E73" s="17"/>
      <c r="F73" s="17"/>
    </row>
    <row r="74" spans="1:8" ht="18" x14ac:dyDescent="0.35">
      <c r="A74" s="502"/>
      <c r="C74" s="473"/>
    </row>
    <row r="75" spans="1:8" ht="18" x14ac:dyDescent="0.35">
      <c r="A75" s="502"/>
      <c r="C75" s="473"/>
    </row>
    <row r="76" spans="1:8" ht="18" x14ac:dyDescent="0.35">
      <c r="A76" s="502"/>
      <c r="C76" s="473"/>
    </row>
    <row r="77" spans="1:8" x14ac:dyDescent="0.35">
      <c r="A77" s="523"/>
      <c r="C77" s="473"/>
    </row>
    <row r="78" spans="1:8" ht="18" x14ac:dyDescent="0.35">
      <c r="A78" s="502"/>
      <c r="C78" s="473"/>
    </row>
    <row r="79" spans="1:8" x14ac:dyDescent="0.35">
      <c r="A79" s="523"/>
      <c r="C79" s="473"/>
    </row>
    <row r="80" spans="1:8" ht="18" x14ac:dyDescent="0.35">
      <c r="A80" s="502"/>
      <c r="C80" s="473"/>
    </row>
    <row r="81" spans="1:3" x14ac:dyDescent="0.35">
      <c r="A81" s="523"/>
      <c r="C81" s="473"/>
    </row>
    <row r="82" spans="1:3" ht="18" x14ac:dyDescent="0.35">
      <c r="A82" s="502"/>
      <c r="C82" s="473"/>
    </row>
    <row r="83" spans="1:3" ht="18" x14ac:dyDescent="0.35">
      <c r="A83" s="502"/>
      <c r="B83" s="473"/>
    </row>
    <row r="84" spans="1:3" ht="18" x14ac:dyDescent="0.35">
      <c r="A84" s="502"/>
      <c r="B84" s="473"/>
    </row>
    <row r="85" spans="1:3" x14ac:dyDescent="0.35">
      <c r="B85" s="473"/>
    </row>
    <row r="86" spans="1:3" ht="18" x14ac:dyDescent="0.35">
      <c r="A86" s="502"/>
      <c r="B86" s="473"/>
    </row>
    <row r="87" spans="1:3" x14ac:dyDescent="0.35">
      <c r="A87" s="503"/>
      <c r="B87" s="504"/>
    </row>
    <row r="88" spans="1:3" x14ac:dyDescent="0.35">
      <c r="B88" s="473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9.5&amp;R&amp;A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L38"/>
  <sheetViews>
    <sheetView zoomScale="80" zoomScaleNormal="80" workbookViewId="0"/>
  </sheetViews>
  <sheetFormatPr defaultColWidth="8.90625" defaultRowHeight="15.5" x14ac:dyDescent="0.35"/>
  <cols>
    <col min="1" max="1" width="5.36328125" style="152" bestFit="1" customWidth="1"/>
    <col min="2" max="2" width="68.90625" style="79" customWidth="1"/>
    <col min="3" max="3" width="25.36328125" style="80" bestFit="1" customWidth="1"/>
    <col min="4" max="4" width="1.54296875" style="79" customWidth="1"/>
    <col min="5" max="5" width="16.90625" style="79" customWidth="1"/>
    <col min="6" max="6" width="1.54296875" style="79" customWidth="1"/>
    <col min="7" max="7" width="16.90625" style="79" customWidth="1"/>
    <col min="8" max="8" width="1.54296875" style="79" customWidth="1"/>
    <col min="9" max="9" width="40.36328125" style="79" customWidth="1"/>
    <col min="10" max="10" width="5.36328125" style="79" customWidth="1"/>
    <col min="11" max="16384" width="8.90625" style="79"/>
  </cols>
  <sheetData>
    <row r="1" spans="1:12" x14ac:dyDescent="0.35">
      <c r="H1" s="152"/>
      <c r="I1" s="152"/>
      <c r="J1" s="152"/>
    </row>
    <row r="2" spans="1:12" x14ac:dyDescent="0.35">
      <c r="B2" s="911" t="s">
        <v>16</v>
      </c>
      <c r="C2" s="912"/>
      <c r="D2" s="912"/>
      <c r="E2" s="912"/>
      <c r="F2" s="912"/>
      <c r="G2" s="912"/>
      <c r="H2" s="912"/>
      <c r="I2" s="912"/>
      <c r="J2" s="151"/>
    </row>
    <row r="3" spans="1:12" x14ac:dyDescent="0.35">
      <c r="B3" s="911" t="s">
        <v>290</v>
      </c>
      <c r="C3" s="912"/>
      <c r="D3" s="912"/>
      <c r="E3" s="912"/>
      <c r="F3" s="912"/>
      <c r="G3" s="912"/>
      <c r="H3" s="912"/>
      <c r="I3" s="912"/>
      <c r="J3" s="151"/>
    </row>
    <row r="4" spans="1:12" x14ac:dyDescent="0.35">
      <c r="B4" s="911" t="s">
        <v>291</v>
      </c>
      <c r="C4" s="912"/>
      <c r="D4" s="912"/>
      <c r="E4" s="912"/>
      <c r="F4" s="912"/>
      <c r="G4" s="912"/>
      <c r="H4" s="912"/>
      <c r="I4" s="912"/>
      <c r="J4" s="151"/>
    </row>
    <row r="5" spans="1:12" x14ac:dyDescent="0.35">
      <c r="B5" s="913" t="s">
        <v>596</v>
      </c>
      <c r="C5" s="913"/>
      <c r="D5" s="913"/>
      <c r="E5" s="913"/>
      <c r="F5" s="913"/>
      <c r="G5" s="913"/>
      <c r="H5" s="913"/>
      <c r="I5" s="913"/>
      <c r="J5" s="151"/>
      <c r="L5" s="640"/>
    </row>
    <row r="6" spans="1:12" x14ac:dyDescent="0.35">
      <c r="B6" s="914" t="s">
        <v>2</v>
      </c>
      <c r="C6" s="914"/>
      <c r="D6" s="914"/>
      <c r="E6" s="914"/>
      <c r="F6" s="914"/>
      <c r="G6" s="914"/>
      <c r="H6" s="914"/>
      <c r="I6" s="914"/>
      <c r="J6" s="81"/>
    </row>
    <row r="7" spans="1:12" x14ac:dyDescent="0.35">
      <c r="B7" s="152"/>
      <c r="D7" s="152"/>
      <c r="E7" s="152"/>
      <c r="F7" s="152"/>
      <c r="G7" s="152"/>
      <c r="H7" s="151"/>
      <c r="I7" s="151"/>
      <c r="J7" s="151"/>
    </row>
    <row r="8" spans="1:12" x14ac:dyDescent="0.35">
      <c r="A8" s="152" t="s">
        <v>3</v>
      </c>
      <c r="B8" s="151"/>
      <c r="C8" s="33" t="s">
        <v>182</v>
      </c>
      <c r="D8" s="152"/>
      <c r="E8" s="152" t="s">
        <v>292</v>
      </c>
      <c r="F8" s="152"/>
      <c r="G8" s="152" t="s">
        <v>293</v>
      </c>
      <c r="H8" s="151"/>
      <c r="I8" s="151"/>
      <c r="J8" s="152" t="s">
        <v>3</v>
      </c>
    </row>
    <row r="9" spans="1:12" x14ac:dyDescent="0.35">
      <c r="A9" s="152" t="s">
        <v>4</v>
      </c>
      <c r="B9" s="151"/>
      <c r="C9" s="555" t="s">
        <v>183</v>
      </c>
      <c r="D9" s="151"/>
      <c r="E9" s="641" t="s">
        <v>294</v>
      </c>
      <c r="F9" s="151"/>
      <c r="G9" s="641" t="s">
        <v>295</v>
      </c>
      <c r="H9" s="151"/>
      <c r="I9" s="642" t="s">
        <v>7</v>
      </c>
      <c r="J9" s="152" t="s">
        <v>4</v>
      </c>
    </row>
    <row r="10" spans="1:12" x14ac:dyDescent="0.35">
      <c r="B10" s="152"/>
      <c r="D10" s="152"/>
      <c r="E10" s="152"/>
      <c r="F10" s="152"/>
      <c r="G10" s="152"/>
      <c r="H10" s="152"/>
      <c r="I10" s="152"/>
      <c r="J10" s="152"/>
    </row>
    <row r="11" spans="1:12" ht="18" x14ac:dyDescent="0.35">
      <c r="A11" s="152">
        <v>1</v>
      </c>
      <c r="B11" s="79" t="s">
        <v>504</v>
      </c>
      <c r="C11" s="152"/>
      <c r="E11" s="283"/>
      <c r="F11" s="82"/>
      <c r="G11" s="261">
        <v>119083.67499999999</v>
      </c>
      <c r="H11" s="82"/>
      <c r="I11" s="58" t="s">
        <v>296</v>
      </c>
      <c r="J11" s="152">
        <f>A11</f>
        <v>1</v>
      </c>
      <c r="L11" s="640"/>
    </row>
    <row r="12" spans="1:12" x14ac:dyDescent="0.35">
      <c r="A12" s="152">
        <f>+A11+1</f>
        <v>2</v>
      </c>
      <c r="C12" s="152"/>
      <c r="E12" s="83"/>
      <c r="F12" s="84"/>
      <c r="G12" s="84"/>
      <c r="H12" s="84"/>
      <c r="I12" s="58"/>
      <c r="J12" s="152">
        <f>+J11+1</f>
        <v>2</v>
      </c>
    </row>
    <row r="13" spans="1:12" x14ac:dyDescent="0.35">
      <c r="A13" s="152">
        <f t="shared" ref="A13:A29" si="0">+A12+1</f>
        <v>3</v>
      </c>
      <c r="B13" s="79" t="s">
        <v>297</v>
      </c>
      <c r="C13" s="152"/>
      <c r="E13" s="85"/>
      <c r="F13" s="86"/>
      <c r="G13" s="643">
        <v>0.38546420269532078</v>
      </c>
      <c r="H13" s="82"/>
      <c r="I13" s="58" t="s">
        <v>298</v>
      </c>
      <c r="J13" s="152">
        <f t="shared" ref="J13:J29" si="1">+J12+1</f>
        <v>3</v>
      </c>
    </row>
    <row r="14" spans="1:12" x14ac:dyDescent="0.35">
      <c r="A14" s="152">
        <f t="shared" si="0"/>
        <v>4</v>
      </c>
      <c r="C14" s="152"/>
      <c r="E14" s="83"/>
      <c r="F14" s="84"/>
      <c r="G14" s="83"/>
      <c r="H14" s="84"/>
      <c r="I14" s="58"/>
      <c r="J14" s="152">
        <f t="shared" si="1"/>
        <v>4</v>
      </c>
    </row>
    <row r="15" spans="1:12" ht="16" thickBot="1" x14ac:dyDescent="0.4">
      <c r="A15" s="152">
        <f t="shared" si="0"/>
        <v>5</v>
      </c>
      <c r="B15" s="79" t="s">
        <v>299</v>
      </c>
      <c r="C15" s="152"/>
      <c r="E15" s="284"/>
      <c r="F15" s="84"/>
      <c r="G15" s="285">
        <f>G11*G13</f>
        <v>45902.493837903698</v>
      </c>
      <c r="H15" s="82"/>
      <c r="I15" s="58" t="s">
        <v>300</v>
      </c>
      <c r="J15" s="152">
        <f t="shared" si="1"/>
        <v>5</v>
      </c>
    </row>
    <row r="16" spans="1:12" ht="16" thickTop="1" x14ac:dyDescent="0.35">
      <c r="A16" s="152">
        <f t="shared" si="0"/>
        <v>6</v>
      </c>
      <c r="C16" s="152"/>
      <c r="E16" s="286"/>
      <c r="F16" s="152"/>
      <c r="G16" s="152"/>
      <c r="H16" s="152"/>
      <c r="I16" s="58"/>
      <c r="J16" s="152">
        <f t="shared" si="1"/>
        <v>6</v>
      </c>
    </row>
    <row r="17" spans="1:12" ht="18" x14ac:dyDescent="0.35">
      <c r="A17" s="152">
        <f t="shared" si="0"/>
        <v>7</v>
      </c>
      <c r="B17" s="79" t="s">
        <v>637</v>
      </c>
      <c r="C17" s="152" t="s">
        <v>505</v>
      </c>
      <c r="D17" s="287"/>
      <c r="E17" s="283"/>
      <c r="F17" s="84"/>
      <c r="G17" s="644">
        <v>114189.65738461539</v>
      </c>
      <c r="H17" s="82"/>
      <c r="I17" s="58" t="s">
        <v>301</v>
      </c>
      <c r="J17" s="152">
        <f t="shared" si="1"/>
        <v>7</v>
      </c>
    </row>
    <row r="18" spans="1:12" x14ac:dyDescent="0.35">
      <c r="A18" s="152">
        <f t="shared" si="0"/>
        <v>8</v>
      </c>
      <c r="C18" s="152"/>
      <c r="E18" s="288"/>
      <c r="F18" s="84"/>
      <c r="G18" s="84"/>
      <c r="H18" s="84"/>
      <c r="I18" s="58"/>
      <c r="J18" s="152">
        <f t="shared" si="1"/>
        <v>8</v>
      </c>
    </row>
    <row r="19" spans="1:12" ht="16" thickBot="1" x14ac:dyDescent="0.4">
      <c r="A19" s="152">
        <f t="shared" si="0"/>
        <v>9</v>
      </c>
      <c r="B19" s="79" t="s">
        <v>302</v>
      </c>
      <c r="E19" s="283"/>
      <c r="F19" s="84"/>
      <c r="G19" s="285">
        <f>G13*G17</f>
        <v>44016.025239812618</v>
      </c>
      <c r="H19" s="82"/>
      <c r="I19" s="58" t="s">
        <v>303</v>
      </c>
      <c r="J19" s="152">
        <f t="shared" si="1"/>
        <v>9</v>
      </c>
    </row>
    <row r="20" spans="1:12" ht="16" thickTop="1" x14ac:dyDescent="0.35">
      <c r="A20" s="152">
        <f t="shared" si="0"/>
        <v>10</v>
      </c>
      <c r="E20" s="289"/>
      <c r="F20" s="84"/>
      <c r="G20" s="84"/>
      <c r="H20" s="84"/>
      <c r="I20" s="58"/>
      <c r="J20" s="152">
        <f t="shared" si="1"/>
        <v>10</v>
      </c>
    </row>
    <row r="21" spans="1:12" x14ac:dyDescent="0.35">
      <c r="A21" s="152">
        <f t="shared" si="0"/>
        <v>11</v>
      </c>
      <c r="B21" s="87" t="s">
        <v>304</v>
      </c>
      <c r="E21" s="289"/>
      <c r="F21" s="84"/>
      <c r="G21" s="84"/>
      <c r="H21" s="84"/>
      <c r="I21" s="58"/>
      <c r="J21" s="152">
        <f t="shared" si="1"/>
        <v>11</v>
      </c>
    </row>
    <row r="22" spans="1:12" x14ac:dyDescent="0.35">
      <c r="A22" s="152">
        <f t="shared" si="0"/>
        <v>12</v>
      </c>
      <c r="B22" s="79" t="s">
        <v>305</v>
      </c>
      <c r="E22" s="810">
        <f>'Pg9 Rev Stmt AH'!E28</f>
        <v>48232.962259999993</v>
      </c>
      <c r="F22" s="23" t="s">
        <v>27</v>
      </c>
      <c r="G22" s="262"/>
      <c r="H22" s="84"/>
      <c r="I22" s="58" t="s">
        <v>790</v>
      </c>
      <c r="J22" s="152">
        <f t="shared" si="1"/>
        <v>12</v>
      </c>
    </row>
    <row r="23" spans="1:12" x14ac:dyDescent="0.35">
      <c r="A23" s="152">
        <f t="shared" si="0"/>
        <v>13</v>
      </c>
      <c r="B23" s="79" t="s">
        <v>306</v>
      </c>
      <c r="E23" s="290">
        <f>'Pg9 Rev Stmt AH'!E51</f>
        <v>56264.021470355379</v>
      </c>
      <c r="F23" s="23" t="s">
        <v>27</v>
      </c>
      <c r="G23" s="291"/>
      <c r="H23" s="84"/>
      <c r="I23" s="58" t="s">
        <v>791</v>
      </c>
      <c r="J23" s="152">
        <f t="shared" si="1"/>
        <v>13</v>
      </c>
    </row>
    <row r="24" spans="1:12" x14ac:dyDescent="0.35">
      <c r="A24" s="152">
        <f t="shared" si="0"/>
        <v>14</v>
      </c>
      <c r="B24" s="79" t="s">
        <v>210</v>
      </c>
      <c r="E24" s="645">
        <v>0</v>
      </c>
      <c r="F24" s="84"/>
      <c r="G24" s="291"/>
      <c r="H24" s="84"/>
      <c r="I24" s="58" t="s">
        <v>307</v>
      </c>
      <c r="J24" s="152">
        <f t="shared" si="1"/>
        <v>14</v>
      </c>
    </row>
    <row r="25" spans="1:12" x14ac:dyDescent="0.35">
      <c r="A25" s="152">
        <f t="shared" si="0"/>
        <v>15</v>
      </c>
      <c r="B25" s="79" t="s">
        <v>308</v>
      </c>
      <c r="E25" s="292">
        <f>SUM(E22:E24)</f>
        <v>104496.98373035536</v>
      </c>
      <c r="F25" s="23" t="s">
        <v>27</v>
      </c>
      <c r="G25" s="287"/>
      <c r="H25" s="58"/>
      <c r="I25" s="58" t="s">
        <v>309</v>
      </c>
      <c r="J25" s="152">
        <f t="shared" si="1"/>
        <v>15</v>
      </c>
    </row>
    <row r="26" spans="1:12" x14ac:dyDescent="0.35">
      <c r="A26" s="152">
        <f t="shared" si="0"/>
        <v>16</v>
      </c>
      <c r="F26" s="152"/>
      <c r="H26" s="152"/>
      <c r="I26" s="58"/>
      <c r="J26" s="152">
        <f t="shared" si="1"/>
        <v>16</v>
      </c>
    </row>
    <row r="27" spans="1:12" x14ac:dyDescent="0.35">
      <c r="A27" s="152">
        <f t="shared" si="0"/>
        <v>17</v>
      </c>
      <c r="B27" s="79" t="s">
        <v>310</v>
      </c>
      <c r="E27" s="647">
        <f>1/8</f>
        <v>0.125</v>
      </c>
      <c r="F27" s="152"/>
      <c r="G27" s="293"/>
      <c r="H27" s="152"/>
      <c r="I27" s="58" t="s">
        <v>311</v>
      </c>
      <c r="J27" s="152">
        <f t="shared" si="1"/>
        <v>17</v>
      </c>
    </row>
    <row r="28" spans="1:12" x14ac:dyDescent="0.35">
      <c r="A28" s="152">
        <f t="shared" si="0"/>
        <v>18</v>
      </c>
      <c r="E28" s="83" t="s">
        <v>207</v>
      </c>
      <c r="F28" s="84"/>
      <c r="G28" s="83"/>
      <c r="H28" s="84"/>
      <c r="I28" s="58"/>
      <c r="J28" s="152">
        <f t="shared" si="1"/>
        <v>18</v>
      </c>
    </row>
    <row r="29" spans="1:12" ht="16" thickBot="1" x14ac:dyDescent="0.4">
      <c r="A29" s="152">
        <f t="shared" si="0"/>
        <v>19</v>
      </c>
      <c r="B29" s="79" t="s">
        <v>312</v>
      </c>
      <c r="E29" s="294">
        <f>E25*E27</f>
        <v>13062.122966294421</v>
      </c>
      <c r="F29" s="23" t="s">
        <v>27</v>
      </c>
      <c r="G29" s="284"/>
      <c r="H29" s="84"/>
      <c r="I29" s="152" t="s">
        <v>313</v>
      </c>
      <c r="J29" s="152">
        <f t="shared" si="1"/>
        <v>19</v>
      </c>
      <c r="L29" s="180"/>
    </row>
    <row r="30" spans="1:12" ht="16" thickTop="1" x14ac:dyDescent="0.35">
      <c r="B30" s="295"/>
    </row>
    <row r="31" spans="1:12" x14ac:dyDescent="0.35">
      <c r="B31" s="295"/>
    </row>
    <row r="32" spans="1:12" x14ac:dyDescent="0.35">
      <c r="A32" s="23" t="s">
        <v>27</v>
      </c>
      <c r="B32" s="588" t="s">
        <v>813</v>
      </c>
    </row>
    <row r="33" spans="1:2" x14ac:dyDescent="0.35">
      <c r="A33" s="23"/>
      <c r="B33" s="588" t="s">
        <v>819</v>
      </c>
    </row>
    <row r="34" spans="1:2" x14ac:dyDescent="0.35">
      <c r="A34" s="23"/>
      <c r="B34" s="21" t="s">
        <v>820</v>
      </c>
    </row>
    <row r="35" spans="1:2" ht="18" x14ac:dyDescent="0.35">
      <c r="A35" s="90">
        <v>1</v>
      </c>
      <c r="B35" s="79" t="s">
        <v>314</v>
      </c>
    </row>
    <row r="36" spans="1:2" ht="18" x14ac:dyDescent="0.35">
      <c r="A36" s="90"/>
      <c r="B36" s="540"/>
    </row>
    <row r="37" spans="1:2" x14ac:dyDescent="0.35">
      <c r="B37" s="540"/>
    </row>
    <row r="38" spans="1:2" ht="18" x14ac:dyDescent="0.35">
      <c r="A38" s="90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10&amp;R&amp;A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62"/>
  <sheetViews>
    <sheetView zoomScale="80" zoomScaleNormal="80" workbookViewId="0"/>
  </sheetViews>
  <sheetFormatPr defaultColWidth="8.81640625" defaultRowHeight="15.5" x14ac:dyDescent="0.35"/>
  <cols>
    <col min="1" max="1" width="5.1796875" style="33" customWidth="1"/>
    <col min="2" max="2" width="70.81640625" style="17" customWidth="1"/>
    <col min="3" max="3" width="19.453125" style="17" customWidth="1"/>
    <col min="4" max="4" width="1.81640625" style="17" customWidth="1"/>
    <col min="5" max="5" width="21" style="17" customWidth="1"/>
    <col min="6" max="6" width="1.81640625" style="17" customWidth="1"/>
    <col min="7" max="7" width="14.453125" style="17" customWidth="1"/>
    <col min="8" max="8" width="42.54296875" style="17" customWidth="1"/>
    <col min="9" max="9" width="5.1796875" style="33" customWidth="1"/>
    <col min="10" max="16384" width="8.81640625" style="17"/>
  </cols>
  <sheetData>
    <row r="2" spans="1:11" x14ac:dyDescent="0.35">
      <c r="A2" s="154"/>
      <c r="B2" s="897" t="s">
        <v>16</v>
      </c>
      <c r="C2" s="897"/>
      <c r="D2" s="897"/>
      <c r="E2" s="897"/>
      <c r="F2" s="897"/>
      <c r="G2" s="897"/>
      <c r="H2" s="897"/>
      <c r="I2" s="154"/>
    </row>
    <row r="3" spans="1:11" x14ac:dyDescent="0.35">
      <c r="A3" s="154"/>
      <c r="B3" s="897" t="s">
        <v>17</v>
      </c>
      <c r="C3" s="897"/>
      <c r="D3" s="897"/>
      <c r="E3" s="897"/>
      <c r="F3" s="897"/>
      <c r="G3" s="897"/>
      <c r="H3" s="897"/>
      <c r="I3" s="155"/>
    </row>
    <row r="4" spans="1:11" x14ac:dyDescent="0.35">
      <c r="B4" s="897" t="s">
        <v>591</v>
      </c>
      <c r="C4" s="897"/>
      <c r="D4" s="897"/>
      <c r="E4" s="897"/>
      <c r="F4" s="897"/>
      <c r="G4" s="897"/>
      <c r="H4" s="897"/>
      <c r="I4" s="151"/>
    </row>
    <row r="5" spans="1:11" x14ac:dyDescent="0.35">
      <c r="B5" s="897" t="s">
        <v>589</v>
      </c>
      <c r="C5" s="897"/>
      <c r="D5" s="897"/>
      <c r="E5" s="897"/>
      <c r="F5" s="897"/>
      <c r="G5" s="897"/>
      <c r="H5" s="897"/>
      <c r="I5" s="151"/>
    </row>
    <row r="6" spans="1:11" x14ac:dyDescent="0.35">
      <c r="B6" s="898" t="s">
        <v>2</v>
      </c>
      <c r="C6" s="897"/>
      <c r="D6" s="897"/>
      <c r="E6" s="897"/>
      <c r="F6" s="897"/>
      <c r="G6" s="897"/>
      <c r="H6" s="897"/>
      <c r="I6" s="151"/>
    </row>
    <row r="7" spans="1:11" x14ac:dyDescent="0.35">
      <c r="A7" s="154"/>
      <c r="B7" s="155"/>
      <c r="C7" s="156"/>
      <c r="D7" s="156"/>
      <c r="E7" s="156"/>
      <c r="F7" s="156"/>
      <c r="G7" s="156"/>
      <c r="H7" s="156"/>
      <c r="I7" s="154"/>
    </row>
    <row r="8" spans="1:11" ht="16" thickBot="1" x14ac:dyDescent="0.4">
      <c r="A8" s="154"/>
      <c r="B8" s="155"/>
      <c r="C8" s="241" t="s">
        <v>18</v>
      </c>
      <c r="D8" s="240"/>
      <c r="E8" s="241" t="s">
        <v>19</v>
      </c>
      <c r="F8" s="240"/>
      <c r="G8" s="241" t="s">
        <v>20</v>
      </c>
      <c r="H8" s="156"/>
      <c r="I8" s="154"/>
    </row>
    <row r="9" spans="1:11" ht="45" x14ac:dyDescent="0.35">
      <c r="A9" s="524" t="s">
        <v>3</v>
      </c>
      <c r="B9" s="242"/>
      <c r="C9" s="246" t="s">
        <v>592</v>
      </c>
      <c r="D9" s="155"/>
      <c r="E9" s="235" t="s">
        <v>593</v>
      </c>
      <c r="F9" s="20"/>
      <c r="G9" s="150" t="s">
        <v>21</v>
      </c>
      <c r="H9" s="160"/>
      <c r="I9" s="525" t="s">
        <v>3</v>
      </c>
    </row>
    <row r="10" spans="1:11" x14ac:dyDescent="0.35">
      <c r="A10" s="158" t="s">
        <v>4</v>
      </c>
      <c r="B10" s="310" t="s">
        <v>22</v>
      </c>
      <c r="C10" s="310" t="s">
        <v>6</v>
      </c>
      <c r="D10" s="310"/>
      <c r="E10" s="310" t="s">
        <v>6</v>
      </c>
      <c r="F10" s="310"/>
      <c r="G10" s="545" t="s">
        <v>23</v>
      </c>
      <c r="H10" s="310" t="s">
        <v>7</v>
      </c>
      <c r="I10" s="161" t="s">
        <v>4</v>
      </c>
    </row>
    <row r="11" spans="1:11" x14ac:dyDescent="0.35">
      <c r="A11" s="158"/>
      <c r="B11" s="243"/>
      <c r="C11" s="164"/>
      <c r="D11" s="163"/>
      <c r="E11" s="163"/>
      <c r="F11" s="163"/>
      <c r="G11" s="163"/>
      <c r="H11" s="164"/>
      <c r="I11" s="161"/>
    </row>
    <row r="12" spans="1:11" x14ac:dyDescent="0.35">
      <c r="A12" s="158">
        <v>1</v>
      </c>
      <c r="B12" s="171" t="s">
        <v>24</v>
      </c>
      <c r="C12" s="237">
        <f>'Pg3 Rev App. X C12'!C11</f>
        <v>17.335895461388862</v>
      </c>
      <c r="D12" s="166"/>
      <c r="E12" s="237">
        <f>'Pg4 As Filed-Orig. App X C12'!C12</f>
        <v>17.335895461388862</v>
      </c>
      <c r="F12" s="166"/>
      <c r="G12" s="672">
        <f>C12-E12</f>
        <v>0</v>
      </c>
      <c r="H12" s="8" t="s">
        <v>25</v>
      </c>
      <c r="I12" s="161">
        <f>A12</f>
        <v>1</v>
      </c>
      <c r="K12" s="19"/>
    </row>
    <row r="13" spans="1:11" x14ac:dyDescent="0.35">
      <c r="A13" s="158">
        <f>A12+1</f>
        <v>2</v>
      </c>
      <c r="B13" s="244"/>
      <c r="C13" s="169"/>
      <c r="D13" s="169"/>
      <c r="E13" s="169"/>
      <c r="F13" s="169"/>
      <c r="G13" s="169"/>
      <c r="H13" s="155"/>
      <c r="I13" s="161">
        <f>I12+1</f>
        <v>2</v>
      </c>
    </row>
    <row r="14" spans="1:11" x14ac:dyDescent="0.35">
      <c r="A14" s="158">
        <f t="shared" ref="A14:A29" si="0">A13+1</f>
        <v>3</v>
      </c>
      <c r="B14" s="171" t="s">
        <v>26</v>
      </c>
      <c r="C14" s="247">
        <f>'Pg3 Rev App. X C12'!C13</f>
        <v>3075.7334502659132</v>
      </c>
      <c r="D14" s="23" t="s">
        <v>27</v>
      </c>
      <c r="E14" s="238">
        <f>'Pg4 As Filed-Orig. App X C12'!C14</f>
        <v>3081.3739624729433</v>
      </c>
      <c r="F14" s="150"/>
      <c r="G14" s="821">
        <f>C14-E14</f>
        <v>-5.6405122070300422</v>
      </c>
      <c r="H14" s="8" t="s">
        <v>28</v>
      </c>
      <c r="I14" s="161">
        <f t="shared" ref="I14:I29" si="1">I13+1</f>
        <v>3</v>
      </c>
      <c r="K14" s="25"/>
    </row>
    <row r="15" spans="1:11" x14ac:dyDescent="0.35">
      <c r="A15" s="158">
        <f t="shared" si="0"/>
        <v>4</v>
      </c>
      <c r="B15" s="244"/>
      <c r="C15" s="169"/>
      <c r="D15" s="169"/>
      <c r="E15" s="169"/>
      <c r="F15" s="169"/>
      <c r="G15" s="169"/>
      <c r="H15" s="170"/>
      <c r="I15" s="161">
        <f t="shared" si="1"/>
        <v>4</v>
      </c>
    </row>
    <row r="16" spans="1:11" x14ac:dyDescent="0.35">
      <c r="A16" s="158">
        <f t="shared" si="0"/>
        <v>5</v>
      </c>
      <c r="B16" s="171" t="s">
        <v>29</v>
      </c>
      <c r="C16" s="546">
        <f>'Pg3 Rev App. X C12'!C15</f>
        <v>728.17667218680617</v>
      </c>
      <c r="D16" s="172"/>
      <c r="E16" s="546">
        <f>'Pg4 As Filed-Orig. App X C12'!C16</f>
        <v>728.17667218680617</v>
      </c>
      <c r="F16" s="172"/>
      <c r="G16" s="673">
        <f>C16-E16</f>
        <v>0</v>
      </c>
      <c r="H16" s="8" t="s">
        <v>30</v>
      </c>
      <c r="I16" s="161">
        <f t="shared" si="1"/>
        <v>5</v>
      </c>
      <c r="K16" s="25"/>
    </row>
    <row r="17" spans="1:13" x14ac:dyDescent="0.35">
      <c r="A17" s="158">
        <f t="shared" si="0"/>
        <v>6</v>
      </c>
      <c r="B17" s="173"/>
      <c r="C17" s="172"/>
      <c r="D17" s="172"/>
      <c r="E17" s="172"/>
      <c r="F17" s="172"/>
      <c r="G17" s="172"/>
      <c r="H17" s="167"/>
      <c r="I17" s="161">
        <f t="shared" si="1"/>
        <v>6</v>
      </c>
      <c r="K17" s="25"/>
    </row>
    <row r="18" spans="1:13" x14ac:dyDescent="0.35">
      <c r="A18" s="158">
        <f t="shared" si="0"/>
        <v>7</v>
      </c>
      <c r="B18" s="245" t="s">
        <v>31</v>
      </c>
      <c r="C18" s="822">
        <f>'Pg3 Rev App. X C12'!C17</f>
        <v>3821.2460179141081</v>
      </c>
      <c r="D18" s="23" t="s">
        <v>27</v>
      </c>
      <c r="E18" s="236">
        <f>'Pg4 As Filed-Orig. App X C12'!C18</f>
        <v>3826.8865301211381</v>
      </c>
      <c r="F18" s="150"/>
      <c r="G18" s="822">
        <f>G12+G14+G16</f>
        <v>-5.6405122070300422</v>
      </c>
      <c r="H18" s="175" t="str">
        <f>"Sum Lines "&amp;A12&amp;", "&amp;A14&amp;", "&amp;A16</f>
        <v>Sum Lines 1, 3, 5</v>
      </c>
      <c r="I18" s="161">
        <f t="shared" si="1"/>
        <v>7</v>
      </c>
      <c r="K18" s="25"/>
    </row>
    <row r="19" spans="1:13" x14ac:dyDescent="0.35">
      <c r="A19" s="158">
        <f t="shared" si="0"/>
        <v>8</v>
      </c>
      <c r="B19" s="173"/>
      <c r="C19" s="169"/>
      <c r="D19" s="169"/>
      <c r="E19" s="169"/>
      <c r="F19" s="169"/>
      <c r="G19" s="169"/>
      <c r="H19" s="177"/>
      <c r="I19" s="161">
        <f t="shared" si="1"/>
        <v>8</v>
      </c>
    </row>
    <row r="20" spans="1:13" x14ac:dyDescent="0.35">
      <c r="A20" s="158">
        <f t="shared" si="0"/>
        <v>9</v>
      </c>
      <c r="B20" s="171" t="s">
        <v>32</v>
      </c>
      <c r="C20" s="247">
        <f>'Pg3 Rev App. X C12'!C19</f>
        <v>-24.256109489267228</v>
      </c>
      <c r="D20" s="23" t="s">
        <v>27</v>
      </c>
      <c r="E20" s="823">
        <f>'Pg4 As Filed-Orig. App X C12'!C20</f>
        <v>-18.497623661295503</v>
      </c>
      <c r="F20" s="150"/>
      <c r="G20" s="821">
        <f>C20-E20</f>
        <v>-5.7584858279717253</v>
      </c>
      <c r="H20" s="8" t="s">
        <v>33</v>
      </c>
      <c r="I20" s="161">
        <f t="shared" si="1"/>
        <v>9</v>
      </c>
    </row>
    <row r="21" spans="1:13" x14ac:dyDescent="0.35">
      <c r="A21" s="158">
        <f t="shared" si="0"/>
        <v>10</v>
      </c>
      <c r="B21" s="171"/>
      <c r="C21" s="169"/>
      <c r="D21" s="169"/>
      <c r="E21" s="169"/>
      <c r="F21" s="169"/>
      <c r="G21" s="169"/>
      <c r="H21" s="178"/>
      <c r="I21" s="161">
        <f t="shared" si="1"/>
        <v>10</v>
      </c>
    </row>
    <row r="22" spans="1:13" x14ac:dyDescent="0.35">
      <c r="A22" s="158">
        <f t="shared" si="0"/>
        <v>11</v>
      </c>
      <c r="B22" s="171" t="s">
        <v>34</v>
      </c>
      <c r="C22" s="546">
        <f>'Pg3 Rev App. X C12'!C21</f>
        <v>3.1453614926939317</v>
      </c>
      <c r="D22" s="172"/>
      <c r="E22" s="546">
        <f>'Pg4 As Filed-Orig. App X C12'!C22</f>
        <v>3.1453614926939317</v>
      </c>
      <c r="F22" s="172"/>
      <c r="G22" s="674">
        <f>C22-E22</f>
        <v>0</v>
      </c>
      <c r="H22" s="8" t="s">
        <v>35</v>
      </c>
      <c r="I22" s="161">
        <f t="shared" si="1"/>
        <v>11</v>
      </c>
    </row>
    <row r="23" spans="1:13" x14ac:dyDescent="0.35">
      <c r="A23" s="158">
        <f t="shared" si="0"/>
        <v>12</v>
      </c>
      <c r="B23" s="173"/>
      <c r="C23" s="180"/>
      <c r="D23" s="180"/>
      <c r="E23" s="180"/>
      <c r="F23" s="180"/>
      <c r="G23" s="180"/>
      <c r="H23" s="175"/>
      <c r="I23" s="161">
        <f t="shared" si="1"/>
        <v>12</v>
      </c>
    </row>
    <row r="24" spans="1:13" x14ac:dyDescent="0.35">
      <c r="A24" s="158">
        <f t="shared" si="0"/>
        <v>13</v>
      </c>
      <c r="B24" s="173" t="s">
        <v>36</v>
      </c>
      <c r="C24" s="73">
        <f>'Pg3 Rev App. X C12'!C23</f>
        <v>3800.135269917535</v>
      </c>
      <c r="D24" s="23" t="s">
        <v>27</v>
      </c>
      <c r="E24" s="31">
        <f>'Pg4 As Filed-Orig. App X C12'!C24</f>
        <v>3811.5342679525365</v>
      </c>
      <c r="F24" s="150"/>
      <c r="G24" s="73">
        <f>G18+G20+G22-1</f>
        <v>-12.398998035001767</v>
      </c>
      <c r="H24" s="175" t="str">
        <f>"Sum Lines "&amp;A18&amp;", "&amp;A20&amp;", "&amp;A22</f>
        <v>Sum Lines 7, 9, 11</v>
      </c>
      <c r="I24" s="161">
        <f t="shared" si="1"/>
        <v>13</v>
      </c>
      <c r="K24" s="25"/>
    </row>
    <row r="25" spans="1:13" x14ac:dyDescent="0.35">
      <c r="A25" s="158">
        <f t="shared" si="0"/>
        <v>14</v>
      </c>
      <c r="B25" s="181"/>
      <c r="C25" s="72"/>
      <c r="D25" s="72"/>
      <c r="E25" s="72"/>
      <c r="F25" s="72"/>
      <c r="G25" s="72"/>
      <c r="H25" s="175"/>
      <c r="I25" s="161">
        <f t="shared" si="1"/>
        <v>14</v>
      </c>
      <c r="K25" s="25"/>
    </row>
    <row r="26" spans="1:13" x14ac:dyDescent="0.35">
      <c r="A26" s="158">
        <f t="shared" si="0"/>
        <v>15</v>
      </c>
      <c r="B26" s="171" t="s">
        <v>37</v>
      </c>
      <c r="C26" s="511">
        <f>'Pg3 Rev App. X C12'!C25</f>
        <v>53</v>
      </c>
      <c r="D26" s="72"/>
      <c r="E26" s="511">
        <f>'Pg4 As Filed-Orig. App X C12'!C26</f>
        <v>53</v>
      </c>
      <c r="F26" s="72"/>
      <c r="G26" s="674">
        <f>C26-E26</f>
        <v>0</v>
      </c>
      <c r="H26" s="8" t="s">
        <v>38</v>
      </c>
      <c r="I26" s="161">
        <f t="shared" si="1"/>
        <v>15</v>
      </c>
      <c r="K26" s="25"/>
    </row>
    <row r="27" spans="1:13" x14ac:dyDescent="0.35">
      <c r="A27" s="158">
        <f t="shared" si="0"/>
        <v>16</v>
      </c>
      <c r="B27" s="156"/>
      <c r="C27" s="182"/>
      <c r="D27" s="182"/>
      <c r="E27" s="182"/>
      <c r="F27" s="182"/>
      <c r="G27" s="182"/>
      <c r="H27" s="175"/>
      <c r="I27" s="161">
        <f t="shared" si="1"/>
        <v>16</v>
      </c>
    </row>
    <row r="28" spans="1:13" ht="16" thickBot="1" x14ac:dyDescent="0.4">
      <c r="A28" s="158">
        <f t="shared" si="0"/>
        <v>17</v>
      </c>
      <c r="B28" s="245" t="s">
        <v>39</v>
      </c>
      <c r="C28" s="824">
        <f>'Pg3 Rev App. X C12'!C27</f>
        <v>3853.135269917535</v>
      </c>
      <c r="D28" s="23" t="s">
        <v>27</v>
      </c>
      <c r="E28" s="239">
        <f>'Pg4 As Filed-Orig. App X C12'!C28</f>
        <v>3864.5342679525365</v>
      </c>
      <c r="F28" s="150"/>
      <c r="G28" s="825">
        <f>C28-E28-1</f>
        <v>-12.398998035001568</v>
      </c>
      <c r="H28" s="175" t="str">
        <f>"Line "&amp;A24&amp;" + Line "&amp;A26</f>
        <v>Line 13 + Line 15</v>
      </c>
      <c r="I28" s="161">
        <f t="shared" si="1"/>
        <v>17</v>
      </c>
      <c r="L28" s="19"/>
      <c r="M28" s="184"/>
    </row>
    <row r="29" spans="1:13" ht="16.5" thickTop="1" thickBot="1" x14ac:dyDescent="0.4">
      <c r="A29" s="158">
        <f t="shared" si="0"/>
        <v>18</v>
      </c>
      <c r="B29" s="157"/>
      <c r="C29" s="248"/>
      <c r="D29" s="157"/>
      <c r="E29" s="157"/>
      <c r="F29" s="157"/>
      <c r="G29" s="157"/>
      <c r="H29" s="157"/>
      <c r="I29" s="161">
        <f t="shared" si="1"/>
        <v>18</v>
      </c>
    </row>
    <row r="31" spans="1:13" ht="16" thickBot="1" x14ac:dyDescent="0.4">
      <c r="A31" s="154"/>
      <c r="B31" s="186"/>
      <c r="C31" s="187"/>
      <c r="D31" s="187"/>
      <c r="E31" s="187"/>
      <c r="F31" s="187"/>
      <c r="G31" s="187"/>
      <c r="H31" s="187"/>
      <c r="I31" s="154"/>
    </row>
    <row r="32" spans="1:13" ht="30.5" x14ac:dyDescent="0.35">
      <c r="A32" s="524" t="s">
        <v>3</v>
      </c>
      <c r="B32" s="155"/>
      <c r="C32" s="250" t="str">
        <f>C9</f>
        <v>Revised - Appendix X Cycle 12</v>
      </c>
      <c r="D32" s="155"/>
      <c r="E32" s="249" t="str">
        <f>E9</f>
        <v>As Filed - Appendix X Cycle 12 ER24-176</v>
      </c>
      <c r="F32" s="155"/>
      <c r="G32" s="155" t="str">
        <f>G9</f>
        <v>Difference</v>
      </c>
      <c r="H32" s="155"/>
      <c r="I32" s="525" t="s">
        <v>3</v>
      </c>
    </row>
    <row r="33" spans="1:9" x14ac:dyDescent="0.35">
      <c r="A33" s="158" t="s">
        <v>4</v>
      </c>
      <c r="B33" s="310" t="s">
        <v>40</v>
      </c>
      <c r="C33" s="310" t="str">
        <f>C10</f>
        <v>Amounts</v>
      </c>
      <c r="D33" s="310"/>
      <c r="E33" s="310" t="str">
        <f>E10</f>
        <v>Amounts</v>
      </c>
      <c r="F33" s="310"/>
      <c r="G33" s="310" t="str">
        <f>G10</f>
        <v>Incr (Decr)</v>
      </c>
      <c r="H33" s="310" t="str">
        <f>H10</f>
        <v>Reference</v>
      </c>
      <c r="I33" s="161" t="s">
        <v>4</v>
      </c>
    </row>
    <row r="34" spans="1:9" x14ac:dyDescent="0.35">
      <c r="A34" s="158">
        <f>A29+1</f>
        <v>19</v>
      </c>
      <c r="B34" s="156"/>
      <c r="C34" s="164"/>
      <c r="D34" s="163"/>
      <c r="E34" s="163"/>
      <c r="F34" s="163"/>
      <c r="G34" s="163"/>
      <c r="H34" s="164"/>
      <c r="I34" s="161">
        <f>I29+1</f>
        <v>19</v>
      </c>
    </row>
    <row r="35" spans="1:9" x14ac:dyDescent="0.35">
      <c r="A35" s="158">
        <f>A34+1</f>
        <v>20</v>
      </c>
      <c r="B35" s="171" t="str">
        <f>B12</f>
        <v>Section 1 - Direct Maintenance Expense Cost Component</v>
      </c>
      <c r="C35" s="190">
        <f>'Pg3 Rev App. X C12'!C34</f>
        <v>1.4446579551157386</v>
      </c>
      <c r="D35" s="190"/>
      <c r="E35" s="190">
        <f>'Pg4 As Filed-Orig. App X C12'!C35</f>
        <v>1.4446579551157386</v>
      </c>
      <c r="F35" s="190"/>
      <c r="G35" s="190">
        <f>C35-E35</f>
        <v>0</v>
      </c>
      <c r="H35" s="8" t="s">
        <v>41</v>
      </c>
      <c r="I35" s="161">
        <f>I34+1</f>
        <v>20</v>
      </c>
    </row>
    <row r="36" spans="1:9" x14ac:dyDescent="0.35">
      <c r="A36" s="158">
        <f t="shared" ref="A36:A54" si="2">A35+1</f>
        <v>21</v>
      </c>
      <c r="B36" s="244"/>
      <c r="C36" s="191"/>
      <c r="D36" s="191"/>
      <c r="E36" s="191"/>
      <c r="F36" s="191"/>
      <c r="G36" s="191"/>
      <c r="H36" s="192"/>
      <c r="I36" s="161">
        <f t="shared" ref="I36:I54" si="3">I35+1</f>
        <v>21</v>
      </c>
    </row>
    <row r="37" spans="1:9" x14ac:dyDescent="0.35">
      <c r="A37" s="158">
        <f t="shared" si="2"/>
        <v>22</v>
      </c>
      <c r="B37" s="171" t="str">
        <f>B14</f>
        <v>Section 2 - Non-Direct Expense Cost Component</v>
      </c>
      <c r="C37" s="251">
        <f>'Pg3 Rev App. X C12'!C36</f>
        <v>256.31112085549279</v>
      </c>
      <c r="D37" s="23" t="s">
        <v>27</v>
      </c>
      <c r="E37" s="256">
        <f>'Pg4 As Filed-Orig. App X C12'!C37</f>
        <v>256.78116353941192</v>
      </c>
      <c r="F37" s="150"/>
      <c r="G37" s="509">
        <f>C37-E37</f>
        <v>-0.47004268391913229</v>
      </c>
      <c r="H37" s="8" t="s">
        <v>42</v>
      </c>
      <c r="I37" s="161">
        <f t="shared" si="3"/>
        <v>22</v>
      </c>
    </row>
    <row r="38" spans="1:9" x14ac:dyDescent="0.35">
      <c r="A38" s="158">
        <f t="shared" si="2"/>
        <v>23</v>
      </c>
      <c r="B38" s="244"/>
      <c r="C38" s="252"/>
      <c r="D38" s="193"/>
      <c r="E38" s="193"/>
      <c r="F38" s="193"/>
      <c r="G38" s="193"/>
      <c r="H38" s="194"/>
      <c r="I38" s="161">
        <f t="shared" si="3"/>
        <v>23</v>
      </c>
    </row>
    <row r="39" spans="1:9" x14ac:dyDescent="0.35">
      <c r="A39" s="158">
        <f t="shared" si="2"/>
        <v>24</v>
      </c>
      <c r="B39" s="171" t="str">
        <f>B16</f>
        <v>Section 3 - Cost Component Containing Other Specific Expenses</v>
      </c>
      <c r="C39" s="547">
        <f>'Pg3 Rev App. X C12'!C38</f>
        <v>60.681389348900517</v>
      </c>
      <c r="D39" s="195"/>
      <c r="E39" s="547">
        <f>'Pg4 As Filed-Orig. App X C12'!C39</f>
        <v>60.681389348900517</v>
      </c>
      <c r="F39" s="195"/>
      <c r="G39" s="547">
        <f>C39-E39</f>
        <v>0</v>
      </c>
      <c r="H39" s="8" t="s">
        <v>43</v>
      </c>
      <c r="I39" s="161">
        <f t="shared" si="3"/>
        <v>24</v>
      </c>
    </row>
    <row r="40" spans="1:9" x14ac:dyDescent="0.35">
      <c r="A40" s="158">
        <f t="shared" si="2"/>
        <v>25</v>
      </c>
      <c r="B40" s="173"/>
      <c r="C40" s="193"/>
      <c r="D40" s="193"/>
      <c r="E40" s="193"/>
      <c r="F40" s="193"/>
      <c r="G40" s="193"/>
      <c r="H40" s="167"/>
      <c r="I40" s="161">
        <f t="shared" si="3"/>
        <v>25</v>
      </c>
    </row>
    <row r="41" spans="1:9" x14ac:dyDescent="0.35">
      <c r="A41" s="158">
        <f t="shared" si="2"/>
        <v>26</v>
      </c>
      <c r="B41" s="245" t="s">
        <v>44</v>
      </c>
      <c r="C41" s="253">
        <f>'Pg3 Rev App. X C12'!C40</f>
        <v>318.43716815950904</v>
      </c>
      <c r="D41" s="23" t="s">
        <v>27</v>
      </c>
      <c r="E41" s="259">
        <f>'Pg4 As Filed-Orig. App X C12'!C41</f>
        <v>318.90721084342817</v>
      </c>
      <c r="F41" s="150"/>
      <c r="G41" s="510">
        <f>C41-E41</f>
        <v>-0.47004268391913229</v>
      </c>
      <c r="H41" s="175" t="str">
        <f>"Sum Lines "&amp;A35&amp;", "&amp;A37&amp;", "&amp;A39</f>
        <v>Sum Lines 20, 22, 24</v>
      </c>
      <c r="I41" s="161">
        <f t="shared" si="3"/>
        <v>26</v>
      </c>
    </row>
    <row r="42" spans="1:9" x14ac:dyDescent="0.35">
      <c r="A42" s="158">
        <f t="shared" si="2"/>
        <v>27</v>
      </c>
      <c r="B42" s="156"/>
      <c r="C42" s="252"/>
      <c r="D42" s="193"/>
      <c r="E42" s="193"/>
      <c r="F42" s="193"/>
      <c r="G42" s="193"/>
      <c r="H42" s="170"/>
      <c r="I42" s="161">
        <f t="shared" si="3"/>
        <v>27</v>
      </c>
    </row>
    <row r="43" spans="1:9" x14ac:dyDescent="0.35">
      <c r="A43" s="158">
        <f t="shared" si="2"/>
        <v>28</v>
      </c>
      <c r="B43" s="171" t="str">
        <f>LEFT(B20,45)</f>
        <v>Section 4 - True-Up Adjustment Cost Component</v>
      </c>
      <c r="C43" s="251">
        <f>'Pg3 Rev App. X C12'!C42</f>
        <v>-2.0213424574389358</v>
      </c>
      <c r="D43" s="23" t="s">
        <v>27</v>
      </c>
      <c r="E43" s="257">
        <f>'Pg4 As Filed-Orig. App X C12'!C43</f>
        <v>-1.5414686384412919</v>
      </c>
      <c r="F43" s="150"/>
      <c r="G43" s="509">
        <f>C43-E43</f>
        <v>-0.47987381899764392</v>
      </c>
      <c r="H43" s="8" t="s">
        <v>45</v>
      </c>
      <c r="I43" s="161">
        <f t="shared" si="3"/>
        <v>28</v>
      </c>
    </row>
    <row r="44" spans="1:9" x14ac:dyDescent="0.35">
      <c r="A44" s="158">
        <f t="shared" si="2"/>
        <v>29</v>
      </c>
      <c r="B44" s="171"/>
      <c r="C44" s="252"/>
      <c r="D44" s="193"/>
      <c r="E44" s="193"/>
      <c r="F44" s="193"/>
      <c r="G44" s="193"/>
      <c r="H44" s="196"/>
      <c r="I44" s="161">
        <f t="shared" si="3"/>
        <v>29</v>
      </c>
    </row>
    <row r="45" spans="1:9" x14ac:dyDescent="0.35">
      <c r="A45" s="158">
        <f t="shared" si="2"/>
        <v>30</v>
      </c>
      <c r="B45" s="171" t="str">
        <f>B22</f>
        <v>Section 5 - Interest True-Up Adjustment Cost Component</v>
      </c>
      <c r="C45" s="195">
        <f>'Pg3 Rev App. X C12'!C44</f>
        <v>0.26211345772449429</v>
      </c>
      <c r="D45" s="195"/>
      <c r="E45" s="195">
        <f>'Pg4 As Filed-Orig. App X C12'!C45</f>
        <v>0.26211345772449429</v>
      </c>
      <c r="F45" s="195"/>
      <c r="G45" s="195">
        <f>C45-E45</f>
        <v>0</v>
      </c>
      <c r="H45" s="8" t="s">
        <v>46</v>
      </c>
      <c r="I45" s="161">
        <f t="shared" si="3"/>
        <v>30</v>
      </c>
    </row>
    <row r="46" spans="1:9" x14ac:dyDescent="0.35">
      <c r="A46" s="158">
        <f t="shared" si="2"/>
        <v>31</v>
      </c>
      <c r="B46" s="173"/>
      <c r="C46" s="27"/>
      <c r="D46" s="26"/>
      <c r="E46" s="26"/>
      <c r="F46" s="26"/>
      <c r="G46" s="26"/>
      <c r="H46" s="198"/>
      <c r="I46" s="161">
        <f t="shared" si="3"/>
        <v>31</v>
      </c>
    </row>
    <row r="47" spans="1:9" x14ac:dyDescent="0.35">
      <c r="A47" s="158">
        <f t="shared" si="2"/>
        <v>32</v>
      </c>
      <c r="B47" s="171" t="str">
        <f>B26</f>
        <v>Other Adjustments</v>
      </c>
      <c r="C47" s="547">
        <f>'Pg3 Rev App. X C12'!C46</f>
        <v>4.416666666666667</v>
      </c>
      <c r="D47" s="195"/>
      <c r="E47" s="547">
        <f>'Pg4 As Filed-Orig. App X C12'!C47</f>
        <v>4.416666666666667</v>
      </c>
      <c r="F47" s="195"/>
      <c r="G47" s="547">
        <f>C47-E47</f>
        <v>0</v>
      </c>
      <c r="H47" s="8" t="s">
        <v>47</v>
      </c>
      <c r="I47" s="161">
        <f t="shared" si="3"/>
        <v>32</v>
      </c>
    </row>
    <row r="48" spans="1:9" x14ac:dyDescent="0.35">
      <c r="A48" s="158">
        <f t="shared" si="2"/>
        <v>33</v>
      </c>
      <c r="B48" s="173"/>
      <c r="C48" s="27"/>
      <c r="D48" s="26"/>
      <c r="E48" s="26"/>
      <c r="F48" s="26"/>
      <c r="G48" s="26"/>
      <c r="H48" s="198"/>
      <c r="I48" s="161">
        <f t="shared" si="3"/>
        <v>33</v>
      </c>
    </row>
    <row r="49" spans="1:11" x14ac:dyDescent="0.35">
      <c r="A49" s="158">
        <f t="shared" si="2"/>
        <v>34</v>
      </c>
      <c r="B49" s="173" t="s">
        <v>48</v>
      </c>
      <c r="C49" s="254">
        <f>'Pg3 Rev App. X C12'!C48</f>
        <v>321.09460582646125</v>
      </c>
      <c r="D49" s="23" t="s">
        <v>27</v>
      </c>
      <c r="E49" s="258">
        <f>'Pg4 As Filed-Orig. App X C12'!C49</f>
        <v>322.04452232937803</v>
      </c>
      <c r="F49" s="150"/>
      <c r="G49" s="254">
        <f>G41+G43+G45+G47</f>
        <v>-0.94991650291677621</v>
      </c>
      <c r="H49" s="175" t="str">
        <f>"Sum Lines "&amp;A41&amp;", "&amp;A43&amp;", "&amp;A45&amp;", "&amp;A47</f>
        <v>Sum Lines 26, 28, 30, 32</v>
      </c>
      <c r="I49" s="161">
        <f t="shared" si="3"/>
        <v>34</v>
      </c>
      <c r="K49" s="596"/>
    </row>
    <row r="50" spans="1:11" x14ac:dyDescent="0.35">
      <c r="A50" s="158">
        <f t="shared" si="2"/>
        <v>35</v>
      </c>
      <c r="B50" s="156"/>
      <c r="C50" s="255"/>
      <c r="D50" s="200"/>
      <c r="E50" s="200"/>
      <c r="F50" s="200"/>
      <c r="G50" s="200"/>
      <c r="H50" s="201"/>
      <c r="I50" s="161">
        <f t="shared" si="3"/>
        <v>35</v>
      </c>
    </row>
    <row r="51" spans="1:11" x14ac:dyDescent="0.35">
      <c r="A51" s="158">
        <f t="shared" si="2"/>
        <v>36</v>
      </c>
      <c r="B51" s="244" t="s">
        <v>13</v>
      </c>
      <c r="C51" s="548">
        <f>'Pg3 Rev App. X C12'!C50</f>
        <v>12</v>
      </c>
      <c r="D51" s="202"/>
      <c r="E51" s="548">
        <f>'Pg4 As Filed-Orig. App X C12'!C51</f>
        <v>12</v>
      </c>
      <c r="F51" s="202"/>
      <c r="G51" s="549">
        <f>C51-E51</f>
        <v>0</v>
      </c>
      <c r="H51" s="8" t="s">
        <v>49</v>
      </c>
      <c r="I51" s="161">
        <f t="shared" si="3"/>
        <v>36</v>
      </c>
    </row>
    <row r="52" spans="1:11" x14ac:dyDescent="0.35">
      <c r="A52" s="158">
        <f t="shared" si="2"/>
        <v>37</v>
      </c>
      <c r="B52" s="156"/>
      <c r="C52" s="255"/>
      <c r="D52" s="200"/>
      <c r="E52" s="200"/>
      <c r="F52" s="200"/>
      <c r="G52" s="200"/>
      <c r="H52" s="203"/>
      <c r="I52" s="161">
        <f t="shared" si="3"/>
        <v>37</v>
      </c>
    </row>
    <row r="53" spans="1:11" ht="16" thickBot="1" x14ac:dyDescent="0.4">
      <c r="A53" s="158">
        <f t="shared" si="2"/>
        <v>38</v>
      </c>
      <c r="B53" s="245" t="str">
        <f>B28</f>
        <v>Total Annual Costs</v>
      </c>
      <c r="C53" s="826">
        <f>'Pg3 Rev App. X C12'!C52</f>
        <v>3853.135269917535</v>
      </c>
      <c r="D53" s="23" t="s">
        <v>27</v>
      </c>
      <c r="E53" s="666">
        <f>'Pg4 As Filed-Orig. App X C12'!C53</f>
        <v>3864.5342679525365</v>
      </c>
      <c r="F53" s="150"/>
      <c r="G53" s="825">
        <f>C53-E53-1</f>
        <v>-12.398998035001568</v>
      </c>
      <c r="H53" s="8" t="s">
        <v>50</v>
      </c>
      <c r="I53" s="161">
        <f t="shared" si="3"/>
        <v>38</v>
      </c>
    </row>
    <row r="54" spans="1:11" ht="16.5" thickTop="1" thickBot="1" x14ac:dyDescent="0.4">
      <c r="A54" s="158">
        <f t="shared" si="2"/>
        <v>39</v>
      </c>
      <c r="B54" s="157"/>
      <c r="C54" s="260"/>
      <c r="D54" s="205"/>
      <c r="E54" s="205"/>
      <c r="F54" s="205"/>
      <c r="G54" s="205"/>
      <c r="H54" s="206"/>
      <c r="I54" s="161">
        <f t="shared" si="3"/>
        <v>39</v>
      </c>
    </row>
    <row r="57" spans="1:11" x14ac:dyDescent="0.35">
      <c r="A57" s="23" t="s">
        <v>27</v>
      </c>
      <c r="B57" s="588" t="s">
        <v>813</v>
      </c>
    </row>
    <row r="58" spans="1:11" x14ac:dyDescent="0.35">
      <c r="B58" s="588" t="s">
        <v>819</v>
      </c>
    </row>
    <row r="59" spans="1:11" x14ac:dyDescent="0.35">
      <c r="B59" s="21" t="s">
        <v>820</v>
      </c>
    </row>
    <row r="61" spans="1:11" x14ac:dyDescent="0.35">
      <c r="B61" s="588"/>
    </row>
    <row r="62" spans="1:11" x14ac:dyDescent="0.35">
      <c r="B62" s="21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5" orientation="portrait" r:id="rId1"/>
  <headerFooter scaleWithDoc="0" alignWithMargins="0">
    <oddFooter>&amp;L&amp;F&amp;CPage 2&amp;R&amp;A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C59D-B342-4AD9-963B-8FBB49E95519}">
  <sheetPr>
    <pageSetUpPr fitToPage="1"/>
  </sheetPr>
  <dimension ref="A1:L36"/>
  <sheetViews>
    <sheetView zoomScale="80" zoomScaleNormal="80" workbookViewId="0"/>
  </sheetViews>
  <sheetFormatPr defaultColWidth="8.90625" defaultRowHeight="15.5" x14ac:dyDescent="0.35"/>
  <cols>
    <col min="1" max="1" width="5.36328125" style="152" bestFit="1" customWidth="1"/>
    <col min="2" max="2" width="68.90625" style="79" customWidth="1"/>
    <col min="3" max="3" width="25.36328125" style="80" bestFit="1" customWidth="1"/>
    <col min="4" max="4" width="1.54296875" style="79" customWidth="1"/>
    <col min="5" max="5" width="16.90625" style="79" customWidth="1"/>
    <col min="6" max="6" width="1.54296875" style="79" customWidth="1"/>
    <col min="7" max="7" width="16.90625" style="79" customWidth="1"/>
    <col min="8" max="8" width="1.54296875" style="79" customWidth="1"/>
    <col min="9" max="9" width="40.36328125" style="79" customWidth="1"/>
    <col min="10" max="10" width="5.36328125" style="79" customWidth="1"/>
    <col min="11" max="16384" width="8.90625" style="79"/>
  </cols>
  <sheetData>
    <row r="1" spans="1:12" x14ac:dyDescent="0.35">
      <c r="A1" s="554" t="s">
        <v>633</v>
      </c>
    </row>
    <row r="2" spans="1:12" x14ac:dyDescent="0.35">
      <c r="H2" s="152"/>
      <c r="I2" s="152"/>
      <c r="J2" s="152"/>
    </row>
    <row r="3" spans="1:12" x14ac:dyDescent="0.35">
      <c r="B3" s="911" t="s">
        <v>16</v>
      </c>
      <c r="C3" s="912"/>
      <c r="D3" s="912"/>
      <c r="E3" s="912"/>
      <c r="F3" s="912"/>
      <c r="G3" s="912"/>
      <c r="H3" s="912"/>
      <c r="I3" s="912"/>
      <c r="J3" s="151"/>
    </row>
    <row r="4" spans="1:12" x14ac:dyDescent="0.35">
      <c r="B4" s="911" t="s">
        <v>290</v>
      </c>
      <c r="C4" s="912"/>
      <c r="D4" s="912"/>
      <c r="E4" s="912"/>
      <c r="F4" s="912"/>
      <c r="G4" s="912"/>
      <c r="H4" s="912"/>
      <c r="I4" s="912"/>
      <c r="J4" s="151"/>
    </row>
    <row r="5" spans="1:12" x14ac:dyDescent="0.35">
      <c r="B5" s="911" t="s">
        <v>291</v>
      </c>
      <c r="C5" s="912"/>
      <c r="D5" s="912"/>
      <c r="E5" s="912"/>
      <c r="F5" s="912"/>
      <c r="G5" s="912"/>
      <c r="H5" s="912"/>
      <c r="I5" s="912"/>
      <c r="J5" s="151"/>
    </row>
    <row r="6" spans="1:12" x14ac:dyDescent="0.35">
      <c r="B6" s="913" t="s">
        <v>596</v>
      </c>
      <c r="C6" s="913"/>
      <c r="D6" s="913"/>
      <c r="E6" s="913"/>
      <c r="F6" s="913"/>
      <c r="G6" s="913"/>
      <c r="H6" s="913"/>
      <c r="I6" s="913"/>
      <c r="J6" s="151"/>
      <c r="L6" s="640"/>
    </row>
    <row r="7" spans="1:12" x14ac:dyDescent="0.35">
      <c r="B7" s="914" t="s">
        <v>2</v>
      </c>
      <c r="C7" s="914"/>
      <c r="D7" s="914"/>
      <c r="E7" s="914"/>
      <c r="F7" s="914"/>
      <c r="G7" s="914"/>
      <c r="H7" s="914"/>
      <c r="I7" s="914"/>
      <c r="J7" s="81"/>
    </row>
    <row r="8" spans="1:12" x14ac:dyDescent="0.35">
      <c r="B8" s="152"/>
      <c r="D8" s="152"/>
      <c r="E8" s="152"/>
      <c r="F8" s="152"/>
      <c r="G8" s="152"/>
      <c r="H8" s="151"/>
      <c r="I8" s="151"/>
      <c r="J8" s="151"/>
    </row>
    <row r="9" spans="1:12" x14ac:dyDescent="0.35">
      <c r="A9" s="152" t="s">
        <v>3</v>
      </c>
      <c r="B9" s="151"/>
      <c r="C9" s="33" t="s">
        <v>182</v>
      </c>
      <c r="D9" s="152"/>
      <c r="E9" s="152" t="s">
        <v>292</v>
      </c>
      <c r="F9" s="152"/>
      <c r="G9" s="152" t="s">
        <v>293</v>
      </c>
      <c r="H9" s="151"/>
      <c r="I9" s="151"/>
      <c r="J9" s="152" t="s">
        <v>3</v>
      </c>
    </row>
    <row r="10" spans="1:12" x14ac:dyDescent="0.35">
      <c r="A10" s="152" t="s">
        <v>4</v>
      </c>
      <c r="B10" s="151"/>
      <c r="C10" s="555" t="s">
        <v>183</v>
      </c>
      <c r="D10" s="151"/>
      <c r="E10" s="641" t="s">
        <v>294</v>
      </c>
      <c r="F10" s="151"/>
      <c r="G10" s="641" t="s">
        <v>295</v>
      </c>
      <c r="H10" s="151"/>
      <c r="I10" s="642" t="s">
        <v>7</v>
      </c>
      <c r="J10" s="152" t="s">
        <v>4</v>
      </c>
    </row>
    <row r="11" spans="1:12" x14ac:dyDescent="0.35">
      <c r="B11" s="152"/>
      <c r="D11" s="152"/>
      <c r="E11" s="152"/>
      <c r="F11" s="152"/>
      <c r="G11" s="152"/>
      <c r="H11" s="152"/>
      <c r="I11" s="152"/>
      <c r="J11" s="152"/>
    </row>
    <row r="12" spans="1:12" ht="18" x14ac:dyDescent="0.35">
      <c r="A12" s="152">
        <v>1</v>
      </c>
      <c r="B12" s="79" t="s">
        <v>504</v>
      </c>
      <c r="C12" s="152"/>
      <c r="E12" s="283"/>
      <c r="F12" s="82"/>
      <c r="G12" s="261">
        <v>119083.67499999999</v>
      </c>
      <c r="H12" s="82"/>
      <c r="I12" s="58" t="s">
        <v>296</v>
      </c>
      <c r="J12" s="152">
        <f>A12</f>
        <v>1</v>
      </c>
      <c r="L12" s="640"/>
    </row>
    <row r="13" spans="1:12" x14ac:dyDescent="0.35">
      <c r="A13" s="152">
        <f>+A12+1</f>
        <v>2</v>
      </c>
      <c r="C13" s="152"/>
      <c r="E13" s="83"/>
      <c r="F13" s="84"/>
      <c r="G13" s="84"/>
      <c r="H13" s="84"/>
      <c r="I13" s="58"/>
      <c r="J13" s="152">
        <f>+J12+1</f>
        <v>2</v>
      </c>
    </row>
    <row r="14" spans="1:12" x14ac:dyDescent="0.35">
      <c r="A14" s="152">
        <f t="shared" ref="A14:A30" si="0">+A13+1</f>
        <v>3</v>
      </c>
      <c r="B14" s="79" t="s">
        <v>297</v>
      </c>
      <c r="C14" s="152"/>
      <c r="E14" s="85"/>
      <c r="F14" s="86"/>
      <c r="G14" s="643">
        <v>0.38546420269532078</v>
      </c>
      <c r="H14" s="82"/>
      <c r="I14" s="58" t="s">
        <v>298</v>
      </c>
      <c r="J14" s="152">
        <f t="shared" ref="J14:J30" si="1">+J13+1</f>
        <v>3</v>
      </c>
    </row>
    <row r="15" spans="1:12" x14ac:dyDescent="0.35">
      <c r="A15" s="152">
        <f t="shared" si="0"/>
        <v>4</v>
      </c>
      <c r="C15" s="152"/>
      <c r="E15" s="83"/>
      <c r="F15" s="84"/>
      <c r="G15" s="83"/>
      <c r="H15" s="84"/>
      <c r="I15" s="58"/>
      <c r="J15" s="152">
        <f t="shared" si="1"/>
        <v>4</v>
      </c>
    </row>
    <row r="16" spans="1:12" ht="16" thickBot="1" x14ac:dyDescent="0.4">
      <c r="A16" s="152">
        <f t="shared" si="0"/>
        <v>5</v>
      </c>
      <c r="B16" s="79" t="s">
        <v>299</v>
      </c>
      <c r="C16" s="152"/>
      <c r="E16" s="284"/>
      <c r="F16" s="84"/>
      <c r="G16" s="285">
        <f>G12*G14</f>
        <v>45902.493837903698</v>
      </c>
      <c r="H16" s="82"/>
      <c r="I16" s="58" t="s">
        <v>300</v>
      </c>
      <c r="J16" s="152">
        <f t="shared" si="1"/>
        <v>5</v>
      </c>
    </row>
    <row r="17" spans="1:10" ht="16" thickTop="1" x14ac:dyDescent="0.35">
      <c r="A17" s="152">
        <f t="shared" si="0"/>
        <v>6</v>
      </c>
      <c r="C17" s="152"/>
      <c r="E17" s="286"/>
      <c r="F17" s="152"/>
      <c r="G17" s="152"/>
      <c r="H17" s="152"/>
      <c r="I17" s="58"/>
      <c r="J17" s="152">
        <f t="shared" si="1"/>
        <v>6</v>
      </c>
    </row>
    <row r="18" spans="1:10" ht="18" x14ac:dyDescent="0.35">
      <c r="A18" s="152">
        <f t="shared" si="0"/>
        <v>7</v>
      </c>
      <c r="B18" s="79" t="s">
        <v>637</v>
      </c>
      <c r="C18" s="152" t="s">
        <v>505</v>
      </c>
      <c r="D18" s="287"/>
      <c r="E18" s="283"/>
      <c r="F18" s="84"/>
      <c r="G18" s="644">
        <v>114189.65738461539</v>
      </c>
      <c r="H18" s="82"/>
      <c r="I18" s="58" t="s">
        <v>301</v>
      </c>
      <c r="J18" s="152">
        <f t="shared" si="1"/>
        <v>7</v>
      </c>
    </row>
    <row r="19" spans="1:10" x14ac:dyDescent="0.35">
      <c r="A19" s="152">
        <f t="shared" si="0"/>
        <v>8</v>
      </c>
      <c r="C19" s="152"/>
      <c r="E19" s="288"/>
      <c r="F19" s="84"/>
      <c r="G19" s="84"/>
      <c r="H19" s="84"/>
      <c r="I19" s="58"/>
      <c r="J19" s="152">
        <f t="shared" si="1"/>
        <v>8</v>
      </c>
    </row>
    <row r="20" spans="1:10" ht="16" thickBot="1" x14ac:dyDescent="0.4">
      <c r="A20" s="152">
        <f t="shared" si="0"/>
        <v>9</v>
      </c>
      <c r="B20" s="79" t="s">
        <v>302</v>
      </c>
      <c r="E20" s="283"/>
      <c r="F20" s="84"/>
      <c r="G20" s="285">
        <f>G14*G18</f>
        <v>44016.025239812618</v>
      </c>
      <c r="H20" s="82"/>
      <c r="I20" s="58" t="s">
        <v>303</v>
      </c>
      <c r="J20" s="152">
        <f t="shared" si="1"/>
        <v>9</v>
      </c>
    </row>
    <row r="21" spans="1:10" ht="16" thickTop="1" x14ac:dyDescent="0.35">
      <c r="A21" s="152">
        <f t="shared" si="0"/>
        <v>10</v>
      </c>
      <c r="E21" s="289"/>
      <c r="F21" s="84"/>
      <c r="G21" s="84"/>
      <c r="H21" s="84"/>
      <c r="I21" s="58"/>
      <c r="J21" s="152">
        <f t="shared" si="1"/>
        <v>10</v>
      </c>
    </row>
    <row r="22" spans="1:10" x14ac:dyDescent="0.35">
      <c r="A22" s="152">
        <f t="shared" si="0"/>
        <v>11</v>
      </c>
      <c r="B22" s="87" t="s">
        <v>304</v>
      </c>
      <c r="E22" s="289"/>
      <c r="F22" s="84"/>
      <c r="G22" s="84"/>
      <c r="H22" s="84"/>
      <c r="I22" s="58"/>
      <c r="J22" s="152">
        <f t="shared" si="1"/>
        <v>11</v>
      </c>
    </row>
    <row r="23" spans="1:10" x14ac:dyDescent="0.35">
      <c r="A23" s="152">
        <f t="shared" si="0"/>
        <v>12</v>
      </c>
      <c r="B23" s="79" t="s">
        <v>305</v>
      </c>
      <c r="E23" s="539">
        <v>49404.866359999993</v>
      </c>
      <c r="F23" s="84"/>
      <c r="G23" s="262"/>
      <c r="H23" s="84"/>
      <c r="I23" s="58" t="s">
        <v>506</v>
      </c>
      <c r="J23" s="152">
        <f t="shared" si="1"/>
        <v>12</v>
      </c>
    </row>
    <row r="24" spans="1:10" x14ac:dyDescent="0.35">
      <c r="A24" s="152">
        <f t="shared" si="0"/>
        <v>13</v>
      </c>
      <c r="B24" s="79" t="s">
        <v>306</v>
      </c>
      <c r="E24" s="408">
        <v>55476.096953779786</v>
      </c>
      <c r="F24" s="81"/>
      <c r="G24" s="291"/>
      <c r="H24" s="84"/>
      <c r="I24" s="58" t="s">
        <v>507</v>
      </c>
      <c r="J24" s="152">
        <f t="shared" si="1"/>
        <v>13</v>
      </c>
    </row>
    <row r="25" spans="1:10" x14ac:dyDescent="0.35">
      <c r="A25" s="152">
        <f t="shared" si="0"/>
        <v>14</v>
      </c>
      <c r="B25" s="79" t="s">
        <v>210</v>
      </c>
      <c r="E25" s="645">
        <v>0</v>
      </c>
      <c r="F25" s="84"/>
      <c r="G25" s="291"/>
      <c r="H25" s="84"/>
      <c r="I25" s="58" t="s">
        <v>307</v>
      </c>
      <c r="J25" s="152">
        <f t="shared" si="1"/>
        <v>14</v>
      </c>
    </row>
    <row r="26" spans="1:10" x14ac:dyDescent="0.35">
      <c r="A26" s="152">
        <f t="shared" si="0"/>
        <v>15</v>
      </c>
      <c r="B26" s="79" t="s">
        <v>308</v>
      </c>
      <c r="E26" s="646">
        <f>SUM(E23:E25)</f>
        <v>104880.96331377978</v>
      </c>
      <c r="F26" s="81"/>
      <c r="G26" s="287"/>
      <c r="H26" s="58"/>
      <c r="I26" s="58" t="s">
        <v>309</v>
      </c>
      <c r="J26" s="152">
        <f t="shared" si="1"/>
        <v>15</v>
      </c>
    </row>
    <row r="27" spans="1:10" x14ac:dyDescent="0.35">
      <c r="A27" s="152">
        <f t="shared" si="0"/>
        <v>16</v>
      </c>
      <c r="F27" s="152"/>
      <c r="H27" s="152"/>
      <c r="I27" s="58"/>
      <c r="J27" s="152">
        <f t="shared" si="1"/>
        <v>16</v>
      </c>
    </row>
    <row r="28" spans="1:10" x14ac:dyDescent="0.35">
      <c r="A28" s="152">
        <f t="shared" si="0"/>
        <v>17</v>
      </c>
      <c r="B28" s="79" t="s">
        <v>310</v>
      </c>
      <c r="E28" s="647">
        <f>1/8</f>
        <v>0.125</v>
      </c>
      <c r="F28" s="152"/>
      <c r="G28" s="293"/>
      <c r="H28" s="152"/>
      <c r="I28" s="58" t="s">
        <v>311</v>
      </c>
      <c r="J28" s="152">
        <f t="shared" si="1"/>
        <v>17</v>
      </c>
    </row>
    <row r="29" spans="1:10" x14ac:dyDescent="0.35">
      <c r="A29" s="152">
        <f t="shared" si="0"/>
        <v>18</v>
      </c>
      <c r="E29" s="83" t="s">
        <v>207</v>
      </c>
      <c r="F29" s="84"/>
      <c r="G29" s="83"/>
      <c r="H29" s="84"/>
      <c r="I29" s="58"/>
      <c r="J29" s="152">
        <f t="shared" si="1"/>
        <v>18</v>
      </c>
    </row>
    <row r="30" spans="1:10" ht="16" thickBot="1" x14ac:dyDescent="0.4">
      <c r="A30" s="152">
        <f t="shared" si="0"/>
        <v>19</v>
      </c>
      <c r="B30" s="79" t="s">
        <v>312</v>
      </c>
      <c r="E30" s="285">
        <f>E26*E28</f>
        <v>13110.120414222472</v>
      </c>
      <c r="F30" s="81"/>
      <c r="G30" s="284"/>
      <c r="H30" s="84"/>
      <c r="I30" s="152" t="s">
        <v>313</v>
      </c>
      <c r="J30" s="152">
        <f t="shared" si="1"/>
        <v>19</v>
      </c>
    </row>
    <row r="31" spans="1:10" ht="16" thickTop="1" x14ac:dyDescent="0.35">
      <c r="B31" s="295"/>
    </row>
    <row r="33" spans="1:2" ht="18" x14ac:dyDescent="0.35">
      <c r="A33" s="90">
        <v>1</v>
      </c>
      <c r="B33" s="79" t="s">
        <v>314</v>
      </c>
    </row>
    <row r="34" spans="1:2" ht="18" x14ac:dyDescent="0.35">
      <c r="A34" s="90"/>
      <c r="B34" s="540"/>
    </row>
    <row r="35" spans="1:2" x14ac:dyDescent="0.35">
      <c r="B35" s="540"/>
    </row>
    <row r="36" spans="1:2" ht="18" x14ac:dyDescent="0.35">
      <c r="A36" s="90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10.1&amp;R&amp;A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1"/>
  <sheetViews>
    <sheetView zoomScale="80" zoomScaleNormal="80" workbookViewId="0"/>
  </sheetViews>
  <sheetFormatPr defaultColWidth="8.90625" defaultRowHeight="15.5" x14ac:dyDescent="0.35"/>
  <cols>
    <col min="1" max="1" width="5.36328125" style="33" customWidth="1"/>
    <col min="2" max="2" width="55.453125" style="34" customWidth="1"/>
    <col min="3" max="5" width="15.54296875" style="34" customWidth="1"/>
    <col min="6" max="6" width="1.54296875" style="34" customWidth="1"/>
    <col min="7" max="7" width="16.90625" style="34" customWidth="1"/>
    <col min="8" max="8" width="1.54296875" style="34" customWidth="1"/>
    <col min="9" max="9" width="40.81640625" style="91" customWidth="1"/>
    <col min="10" max="10" width="5.36328125" style="34" customWidth="1"/>
    <col min="11" max="11" width="27" style="34" bestFit="1" customWidth="1"/>
    <col min="12" max="12" width="15" style="34" bestFit="1" customWidth="1"/>
    <col min="13" max="13" width="10.453125" style="34" bestFit="1" customWidth="1"/>
    <col min="14" max="16384" width="8.90625" style="34"/>
  </cols>
  <sheetData>
    <row r="1" spans="1:10" x14ac:dyDescent="0.35">
      <c r="A1" s="296"/>
      <c r="G1" s="60"/>
      <c r="H1" s="60"/>
      <c r="I1" s="115"/>
      <c r="J1" s="33"/>
    </row>
    <row r="2" spans="1:10" x14ac:dyDescent="0.35">
      <c r="B2" s="906" t="s">
        <v>315</v>
      </c>
      <c r="C2" s="906"/>
      <c r="D2" s="906"/>
      <c r="E2" s="906"/>
      <c r="F2" s="906"/>
      <c r="G2" s="906"/>
      <c r="H2" s="906"/>
      <c r="I2" s="906"/>
      <c r="J2" s="33"/>
    </row>
    <row r="3" spans="1:10" x14ac:dyDescent="0.35">
      <c r="B3" s="906" t="s">
        <v>316</v>
      </c>
      <c r="C3" s="906"/>
      <c r="D3" s="906"/>
      <c r="E3" s="906"/>
      <c r="F3" s="906"/>
      <c r="G3" s="906"/>
      <c r="H3" s="906"/>
      <c r="I3" s="906"/>
      <c r="J3" s="33"/>
    </row>
    <row r="4" spans="1:10" x14ac:dyDescent="0.35">
      <c r="B4" s="906" t="s">
        <v>317</v>
      </c>
      <c r="C4" s="906"/>
      <c r="D4" s="906"/>
      <c r="E4" s="906"/>
      <c r="F4" s="906"/>
      <c r="G4" s="906"/>
      <c r="H4" s="906"/>
      <c r="I4" s="906"/>
      <c r="J4" s="33"/>
    </row>
    <row r="5" spans="1:10" x14ac:dyDescent="0.35">
      <c r="B5" s="907" t="s">
        <v>596</v>
      </c>
      <c r="C5" s="907"/>
      <c r="D5" s="907"/>
      <c r="E5" s="907"/>
      <c r="F5" s="907"/>
      <c r="G5" s="907"/>
      <c r="H5" s="907"/>
      <c r="I5" s="907"/>
      <c r="J5" s="33"/>
    </row>
    <row r="6" spans="1:10" x14ac:dyDescent="0.35">
      <c r="B6" s="904" t="s">
        <v>2</v>
      </c>
      <c r="C6" s="908"/>
      <c r="D6" s="908"/>
      <c r="E6" s="908"/>
      <c r="F6" s="908"/>
      <c r="G6" s="908"/>
      <c r="H6" s="908"/>
      <c r="I6" s="908"/>
      <c r="J6" s="33"/>
    </row>
    <row r="7" spans="1:10" x14ac:dyDescent="0.35">
      <c r="B7" s="33"/>
      <c r="C7" s="33"/>
      <c r="D7" s="33"/>
      <c r="E7" s="33"/>
      <c r="F7" s="33"/>
      <c r="G7" s="33"/>
      <c r="H7" s="33"/>
      <c r="I7" s="45"/>
      <c r="J7" s="33"/>
    </row>
    <row r="8" spans="1:10" x14ac:dyDescent="0.35">
      <c r="A8" s="33" t="s">
        <v>3</v>
      </c>
      <c r="B8" s="308"/>
      <c r="C8" s="308"/>
      <c r="D8" s="308"/>
      <c r="E8" s="33" t="s">
        <v>182</v>
      </c>
      <c r="F8" s="308"/>
      <c r="G8" s="308"/>
      <c r="H8" s="308"/>
      <c r="I8" s="45"/>
      <c r="J8" s="33" t="s">
        <v>3</v>
      </c>
    </row>
    <row r="9" spans="1:10" x14ac:dyDescent="0.35">
      <c r="A9" s="33" t="s">
        <v>4</v>
      </c>
      <c r="B9" s="33"/>
      <c r="C9" s="33"/>
      <c r="D9" s="33"/>
      <c r="E9" s="555" t="s">
        <v>183</v>
      </c>
      <c r="F9" s="33"/>
      <c r="G9" s="556" t="s">
        <v>6</v>
      </c>
      <c r="H9" s="308"/>
      <c r="I9" s="568" t="s">
        <v>7</v>
      </c>
      <c r="J9" s="33" t="s">
        <v>4</v>
      </c>
    </row>
    <row r="10" spans="1:10" x14ac:dyDescent="0.35">
      <c r="B10" s="33"/>
      <c r="C10" s="33"/>
      <c r="D10" s="33"/>
      <c r="E10" s="33"/>
      <c r="F10" s="33"/>
      <c r="G10" s="33"/>
      <c r="H10" s="33"/>
      <c r="I10" s="45"/>
      <c r="J10" s="33"/>
    </row>
    <row r="11" spans="1:10" x14ac:dyDescent="0.35">
      <c r="A11" s="33">
        <v>1</v>
      </c>
      <c r="B11" s="38" t="s">
        <v>318</v>
      </c>
      <c r="I11" s="45"/>
      <c r="J11" s="33">
        <f>A11</f>
        <v>1</v>
      </c>
    </row>
    <row r="12" spans="1:10" x14ac:dyDescent="0.35">
      <c r="A12" s="33">
        <f>A11+1</f>
        <v>2</v>
      </c>
      <c r="B12" s="34" t="s">
        <v>319</v>
      </c>
      <c r="E12" s="33" t="s">
        <v>508</v>
      </c>
      <c r="G12" s="92">
        <v>7400000</v>
      </c>
      <c r="H12" s="308"/>
      <c r="I12" s="95"/>
      <c r="J12" s="33">
        <f>J11+1</f>
        <v>2</v>
      </c>
    </row>
    <row r="13" spans="1:10" x14ac:dyDescent="0.35">
      <c r="A13" s="33">
        <f t="shared" ref="A13:A65" si="0">A12+1</f>
        <v>3</v>
      </c>
      <c r="B13" s="34" t="s">
        <v>320</v>
      </c>
      <c r="E13" s="33" t="s">
        <v>509</v>
      </c>
      <c r="G13" s="93">
        <v>0</v>
      </c>
      <c r="H13" s="308"/>
      <c r="I13" s="95"/>
      <c r="J13" s="33">
        <f t="shared" ref="J13:J65" si="1">J12+1</f>
        <v>3</v>
      </c>
    </row>
    <row r="14" spans="1:10" x14ac:dyDescent="0.35">
      <c r="A14" s="33">
        <f t="shared" si="0"/>
        <v>4</v>
      </c>
      <c r="B14" s="34" t="s">
        <v>321</v>
      </c>
      <c r="E14" s="33" t="s">
        <v>510</v>
      </c>
      <c r="G14" s="93">
        <v>400000</v>
      </c>
      <c r="H14" s="308"/>
      <c r="I14" s="95"/>
      <c r="J14" s="33">
        <f t="shared" si="1"/>
        <v>4</v>
      </c>
    </row>
    <row r="15" spans="1:10" x14ac:dyDescent="0.35">
      <c r="A15" s="33">
        <f t="shared" si="0"/>
        <v>5</v>
      </c>
      <c r="B15" s="34" t="s">
        <v>322</v>
      </c>
      <c r="E15" s="33" t="s">
        <v>511</v>
      </c>
      <c r="G15" s="93">
        <v>0</v>
      </c>
      <c r="H15" s="308"/>
      <c r="I15" s="95"/>
      <c r="J15" s="33">
        <f t="shared" si="1"/>
        <v>5</v>
      </c>
    </row>
    <row r="16" spans="1:10" x14ac:dyDescent="0.35">
      <c r="A16" s="33">
        <f t="shared" si="0"/>
        <v>6</v>
      </c>
      <c r="B16" s="34" t="s">
        <v>323</v>
      </c>
      <c r="E16" s="33" t="s">
        <v>512</v>
      </c>
      <c r="G16" s="93">
        <v>-19901.434000000001</v>
      </c>
      <c r="H16" s="308"/>
      <c r="I16" s="95"/>
      <c r="J16" s="33">
        <f t="shared" si="1"/>
        <v>6</v>
      </c>
    </row>
    <row r="17" spans="1:10" x14ac:dyDescent="0.35">
      <c r="A17" s="33">
        <f t="shared" si="0"/>
        <v>7</v>
      </c>
      <c r="B17" s="34" t="s">
        <v>324</v>
      </c>
      <c r="G17" s="94">
        <f>SUM(G12:G16)</f>
        <v>7780098.5659999996</v>
      </c>
      <c r="H17" s="88"/>
      <c r="I17" s="45" t="s">
        <v>523</v>
      </c>
      <c r="J17" s="33">
        <f t="shared" si="1"/>
        <v>7</v>
      </c>
    </row>
    <row r="18" spans="1:10" x14ac:dyDescent="0.35">
      <c r="A18" s="33">
        <f t="shared" si="0"/>
        <v>8</v>
      </c>
      <c r="I18" s="45"/>
      <c r="J18" s="33">
        <f t="shared" si="1"/>
        <v>8</v>
      </c>
    </row>
    <row r="19" spans="1:10" x14ac:dyDescent="0.35">
      <c r="A19" s="33">
        <f t="shared" si="0"/>
        <v>9</v>
      </c>
      <c r="B19" s="38" t="s">
        <v>325</v>
      </c>
      <c r="G19" s="32"/>
      <c r="H19" s="32"/>
      <c r="I19" s="45"/>
      <c r="J19" s="33">
        <f t="shared" si="1"/>
        <v>9</v>
      </c>
    </row>
    <row r="20" spans="1:10" x14ac:dyDescent="0.35">
      <c r="A20" s="33">
        <f t="shared" si="0"/>
        <v>10</v>
      </c>
      <c r="B20" s="34" t="s">
        <v>326</v>
      </c>
      <c r="E20" s="33" t="s">
        <v>513</v>
      </c>
      <c r="G20" s="92">
        <v>279208.77100000001</v>
      </c>
      <c r="H20" s="308"/>
      <c r="I20" s="95"/>
      <c r="J20" s="33">
        <f t="shared" si="1"/>
        <v>10</v>
      </c>
    </row>
    <row r="21" spans="1:10" x14ac:dyDescent="0.35">
      <c r="A21" s="33">
        <f t="shared" si="0"/>
        <v>11</v>
      </c>
      <c r="B21" s="34" t="s">
        <v>327</v>
      </c>
      <c r="E21" s="33" t="s">
        <v>514</v>
      </c>
      <c r="G21" s="93">
        <v>4856.66</v>
      </c>
      <c r="H21" s="308"/>
      <c r="I21" s="95"/>
      <c r="J21" s="33">
        <f t="shared" si="1"/>
        <v>11</v>
      </c>
    </row>
    <row r="22" spans="1:10" x14ac:dyDescent="0.35">
      <c r="A22" s="33">
        <f t="shared" si="0"/>
        <v>12</v>
      </c>
      <c r="B22" s="34" t="s">
        <v>328</v>
      </c>
      <c r="E22" s="33" t="s">
        <v>515</v>
      </c>
      <c r="G22" s="93">
        <v>771.90899999999999</v>
      </c>
      <c r="H22" s="308"/>
      <c r="I22" s="95"/>
      <c r="J22" s="33">
        <f t="shared" si="1"/>
        <v>12</v>
      </c>
    </row>
    <row r="23" spans="1:10" x14ac:dyDescent="0.35">
      <c r="A23" s="33">
        <f t="shared" si="0"/>
        <v>13</v>
      </c>
      <c r="B23" s="34" t="s">
        <v>329</v>
      </c>
      <c r="E23" s="33" t="s">
        <v>516</v>
      </c>
      <c r="G23" s="93">
        <v>0</v>
      </c>
      <c r="H23" s="308"/>
      <c r="I23" s="95"/>
      <c r="J23" s="33">
        <f t="shared" si="1"/>
        <v>13</v>
      </c>
    </row>
    <row r="24" spans="1:10" x14ac:dyDescent="0.35">
      <c r="A24" s="33">
        <f t="shared" si="0"/>
        <v>14</v>
      </c>
      <c r="B24" s="34" t="s">
        <v>330</v>
      </c>
      <c r="E24" s="33" t="s">
        <v>517</v>
      </c>
      <c r="G24" s="93">
        <v>0</v>
      </c>
      <c r="H24" s="308"/>
      <c r="I24" s="95"/>
      <c r="J24" s="33">
        <f t="shared" si="1"/>
        <v>14</v>
      </c>
    </row>
    <row r="25" spans="1:10" x14ac:dyDescent="0.35">
      <c r="A25" s="33">
        <f t="shared" si="0"/>
        <v>15</v>
      </c>
      <c r="B25" s="34" t="s">
        <v>331</v>
      </c>
      <c r="G25" s="96">
        <f>SUM(G20:G24)</f>
        <v>284837.33999999997</v>
      </c>
      <c r="H25" s="97"/>
      <c r="I25" s="45" t="s">
        <v>524</v>
      </c>
      <c r="J25" s="33">
        <f t="shared" si="1"/>
        <v>15</v>
      </c>
    </row>
    <row r="26" spans="1:10" x14ac:dyDescent="0.35">
      <c r="A26" s="33">
        <f t="shared" si="0"/>
        <v>16</v>
      </c>
      <c r="I26" s="45"/>
      <c r="J26" s="33">
        <f t="shared" si="1"/>
        <v>16</v>
      </c>
    </row>
    <row r="27" spans="1:10" ht="16" thickBot="1" x14ac:dyDescent="0.4">
      <c r="A27" s="33">
        <f t="shared" si="0"/>
        <v>17</v>
      </c>
      <c r="B27" s="38" t="s">
        <v>332</v>
      </c>
      <c r="G27" s="98">
        <f>G25/G17</f>
        <v>3.6611019459930061E-2</v>
      </c>
      <c r="H27" s="99"/>
      <c r="I27" s="45" t="s">
        <v>525</v>
      </c>
      <c r="J27" s="33">
        <f t="shared" si="1"/>
        <v>17</v>
      </c>
    </row>
    <row r="28" spans="1:10" ht="16" thickTop="1" x14ac:dyDescent="0.35">
      <c r="A28" s="33">
        <f t="shared" si="0"/>
        <v>18</v>
      </c>
      <c r="I28" s="45"/>
      <c r="J28" s="33">
        <f t="shared" si="1"/>
        <v>18</v>
      </c>
    </row>
    <row r="29" spans="1:10" x14ac:dyDescent="0.35">
      <c r="A29" s="33">
        <f t="shared" si="0"/>
        <v>19</v>
      </c>
      <c r="B29" s="38" t="s">
        <v>333</v>
      </c>
      <c r="I29" s="45"/>
      <c r="J29" s="33">
        <f t="shared" si="1"/>
        <v>19</v>
      </c>
    </row>
    <row r="30" spans="1:10" x14ac:dyDescent="0.35">
      <c r="A30" s="33">
        <f t="shared" si="0"/>
        <v>20</v>
      </c>
      <c r="B30" s="34" t="s">
        <v>334</v>
      </c>
      <c r="E30" s="33" t="s">
        <v>518</v>
      </c>
      <c r="G30" s="92">
        <v>0</v>
      </c>
      <c r="H30" s="308"/>
      <c r="I30" s="95"/>
      <c r="J30" s="33">
        <f t="shared" si="1"/>
        <v>20</v>
      </c>
    </row>
    <row r="31" spans="1:10" x14ac:dyDescent="0.35">
      <c r="A31" s="33">
        <f t="shared" si="0"/>
        <v>21</v>
      </c>
      <c r="B31" s="34" t="s">
        <v>335</v>
      </c>
      <c r="E31" s="33" t="s">
        <v>519</v>
      </c>
      <c r="G31" s="569">
        <v>0</v>
      </c>
      <c r="H31" s="308"/>
      <c r="I31" s="95"/>
      <c r="J31" s="33">
        <f t="shared" si="1"/>
        <v>21</v>
      </c>
    </row>
    <row r="32" spans="1:10" ht="16" thickBot="1" x14ac:dyDescent="0.4">
      <c r="A32" s="33">
        <f t="shared" si="0"/>
        <v>22</v>
      </c>
      <c r="B32" s="34" t="s">
        <v>336</v>
      </c>
      <c r="G32" s="98">
        <f>IFERROR((G31/G30),0)</f>
        <v>0</v>
      </c>
      <c r="H32" s="99"/>
      <c r="I32" s="45" t="s">
        <v>526</v>
      </c>
      <c r="J32" s="33">
        <f t="shared" si="1"/>
        <v>22</v>
      </c>
    </row>
    <row r="33" spans="1:12" ht="16" thickTop="1" x14ac:dyDescent="0.35">
      <c r="A33" s="33">
        <f t="shared" si="0"/>
        <v>23</v>
      </c>
      <c r="I33" s="45"/>
      <c r="J33" s="33">
        <f t="shared" si="1"/>
        <v>23</v>
      </c>
    </row>
    <row r="34" spans="1:12" x14ac:dyDescent="0.35">
      <c r="A34" s="33">
        <f t="shared" si="0"/>
        <v>24</v>
      </c>
      <c r="B34" s="38" t="s">
        <v>337</v>
      </c>
      <c r="I34" s="45"/>
      <c r="J34" s="33">
        <f t="shared" si="1"/>
        <v>24</v>
      </c>
    </row>
    <row r="35" spans="1:12" x14ac:dyDescent="0.35">
      <c r="A35" s="33">
        <f t="shared" si="0"/>
        <v>25</v>
      </c>
      <c r="B35" s="34" t="s">
        <v>338</v>
      </c>
      <c r="E35" s="33" t="s">
        <v>520</v>
      </c>
      <c r="G35" s="92">
        <v>9066194.9820000008</v>
      </c>
      <c r="H35" s="308"/>
      <c r="I35" s="95"/>
      <c r="J35" s="33">
        <f t="shared" si="1"/>
        <v>25</v>
      </c>
      <c r="K35" s="41"/>
      <c r="L35" s="297"/>
    </row>
    <row r="36" spans="1:12" x14ac:dyDescent="0.35">
      <c r="A36" s="33">
        <f t="shared" si="0"/>
        <v>26</v>
      </c>
      <c r="B36" s="34" t="s">
        <v>339</v>
      </c>
      <c r="E36" s="33" t="s">
        <v>518</v>
      </c>
      <c r="G36" s="100">
        <v>0</v>
      </c>
      <c r="H36" s="100"/>
      <c r="I36" s="45" t="s">
        <v>527</v>
      </c>
      <c r="J36" s="33">
        <f t="shared" si="1"/>
        <v>26</v>
      </c>
    </row>
    <row r="37" spans="1:12" x14ac:dyDescent="0.35">
      <c r="A37" s="33">
        <f t="shared" si="0"/>
        <v>27</v>
      </c>
      <c r="B37" s="34" t="s">
        <v>340</v>
      </c>
      <c r="E37" s="33" t="s">
        <v>521</v>
      </c>
      <c r="G37" s="93">
        <v>0</v>
      </c>
      <c r="H37" s="308"/>
      <c r="I37" s="95"/>
      <c r="J37" s="33">
        <f t="shared" si="1"/>
        <v>27</v>
      </c>
    </row>
    <row r="38" spans="1:12" x14ac:dyDescent="0.35">
      <c r="A38" s="33">
        <f t="shared" si="0"/>
        <v>28</v>
      </c>
      <c r="B38" s="34" t="s">
        <v>341</v>
      </c>
      <c r="E38" s="33" t="s">
        <v>522</v>
      </c>
      <c r="G38" s="93">
        <v>7252.9960000000001</v>
      </c>
      <c r="H38" s="308"/>
      <c r="I38" s="95"/>
      <c r="J38" s="33">
        <f t="shared" si="1"/>
        <v>28</v>
      </c>
    </row>
    <row r="39" spans="1:12" ht="16" thickBot="1" x14ac:dyDescent="0.4">
      <c r="A39" s="33">
        <f t="shared" si="0"/>
        <v>29</v>
      </c>
      <c r="B39" s="34" t="s">
        <v>342</v>
      </c>
      <c r="G39" s="101">
        <f>SUM(G35:G38)</f>
        <v>9073447.9780000001</v>
      </c>
      <c r="H39" s="102"/>
      <c r="I39" s="45" t="s">
        <v>528</v>
      </c>
      <c r="J39" s="33">
        <f t="shared" si="1"/>
        <v>29</v>
      </c>
    </row>
    <row r="40" spans="1:12" ht="16.5" thickTop="1" thickBot="1" x14ac:dyDescent="0.4">
      <c r="A40" s="103">
        <f t="shared" si="0"/>
        <v>30</v>
      </c>
      <c r="B40" s="77"/>
      <c r="C40" s="77"/>
      <c r="D40" s="77"/>
      <c r="E40" s="77"/>
      <c r="F40" s="77"/>
      <c r="G40" s="77"/>
      <c r="H40" s="77"/>
      <c r="I40" s="104"/>
      <c r="J40" s="103">
        <f t="shared" si="1"/>
        <v>30</v>
      </c>
    </row>
    <row r="41" spans="1:12" x14ac:dyDescent="0.35">
      <c r="A41" s="33">
        <f>A40+1</f>
        <v>31</v>
      </c>
      <c r="I41" s="45"/>
      <c r="J41" s="33">
        <f>J40+1</f>
        <v>31</v>
      </c>
    </row>
    <row r="42" spans="1:12" ht="16" thickBot="1" x14ac:dyDescent="0.4">
      <c r="A42" s="33">
        <f>A41+1</f>
        <v>32</v>
      </c>
      <c r="B42" s="38" t="s">
        <v>343</v>
      </c>
      <c r="G42" s="105">
        <v>0.106</v>
      </c>
      <c r="H42" s="308"/>
      <c r="I42" s="33" t="s">
        <v>344</v>
      </c>
      <c r="J42" s="33">
        <f>J41+1</f>
        <v>32</v>
      </c>
    </row>
    <row r="43" spans="1:12" ht="16" thickTop="1" x14ac:dyDescent="0.35">
      <c r="A43" s="33">
        <f t="shared" si="0"/>
        <v>33</v>
      </c>
      <c r="C43" s="65" t="s">
        <v>254</v>
      </c>
      <c r="D43" s="65" t="s">
        <v>255</v>
      </c>
      <c r="E43" s="65" t="s">
        <v>345</v>
      </c>
      <c r="F43" s="65"/>
      <c r="G43" s="65" t="s">
        <v>346</v>
      </c>
      <c r="H43" s="65"/>
      <c r="I43" s="45"/>
      <c r="J43" s="33">
        <f t="shared" si="1"/>
        <v>33</v>
      </c>
    </row>
    <row r="44" spans="1:12" x14ac:dyDescent="0.35">
      <c r="A44" s="33">
        <f t="shared" si="0"/>
        <v>34</v>
      </c>
      <c r="D44" s="33" t="s">
        <v>347</v>
      </c>
      <c r="E44" s="33" t="s">
        <v>348</v>
      </c>
      <c r="F44" s="33"/>
      <c r="G44" s="33" t="s">
        <v>349</v>
      </c>
      <c r="H44" s="33"/>
      <c r="I44" s="45"/>
      <c r="J44" s="33">
        <f t="shared" si="1"/>
        <v>34</v>
      </c>
    </row>
    <row r="45" spans="1:12" ht="18" x14ac:dyDescent="0.35">
      <c r="A45" s="33">
        <f t="shared" si="0"/>
        <v>35</v>
      </c>
      <c r="B45" s="38" t="s">
        <v>350</v>
      </c>
      <c r="C45" s="555" t="s">
        <v>351</v>
      </c>
      <c r="D45" s="555" t="s">
        <v>352</v>
      </c>
      <c r="E45" s="555" t="s">
        <v>353</v>
      </c>
      <c r="F45" s="555"/>
      <c r="G45" s="555" t="s">
        <v>354</v>
      </c>
      <c r="H45" s="33"/>
      <c r="I45" s="45"/>
      <c r="J45" s="33">
        <f t="shared" si="1"/>
        <v>35</v>
      </c>
    </row>
    <row r="46" spans="1:12" x14ac:dyDescent="0.35">
      <c r="A46" s="33">
        <f t="shared" si="0"/>
        <v>36</v>
      </c>
      <c r="I46" s="45"/>
      <c r="J46" s="33">
        <f t="shared" si="1"/>
        <v>36</v>
      </c>
    </row>
    <row r="47" spans="1:12" x14ac:dyDescent="0.35">
      <c r="A47" s="33">
        <f t="shared" si="0"/>
        <v>37</v>
      </c>
      <c r="B47" s="34" t="s">
        <v>355</v>
      </c>
      <c r="C47" s="57">
        <f>G17</f>
        <v>7780098.5659999996</v>
      </c>
      <c r="D47" s="106">
        <f>C47/C$50</f>
        <v>0.46162975523806166</v>
      </c>
      <c r="E47" s="107">
        <f>G27</f>
        <v>3.6611019459930061E-2</v>
      </c>
      <c r="G47" s="108">
        <f>D47*E47</f>
        <v>1.6900735952303427E-2</v>
      </c>
      <c r="H47" s="108"/>
      <c r="I47" s="45" t="s">
        <v>529</v>
      </c>
      <c r="J47" s="33">
        <f t="shared" si="1"/>
        <v>37</v>
      </c>
    </row>
    <row r="48" spans="1:12" x14ac:dyDescent="0.35">
      <c r="A48" s="33">
        <f t="shared" si="0"/>
        <v>38</v>
      </c>
      <c r="B48" s="34" t="s">
        <v>356</v>
      </c>
      <c r="C48" s="109">
        <f>G30</f>
        <v>0</v>
      </c>
      <c r="D48" s="106">
        <f>C48/C$50</f>
        <v>0</v>
      </c>
      <c r="E48" s="107">
        <f>G32</f>
        <v>0</v>
      </c>
      <c r="G48" s="108">
        <f>D48*E48</f>
        <v>0</v>
      </c>
      <c r="H48" s="108"/>
      <c r="I48" s="45" t="s">
        <v>530</v>
      </c>
      <c r="J48" s="33">
        <f t="shared" si="1"/>
        <v>38</v>
      </c>
    </row>
    <row r="49" spans="1:10" x14ac:dyDescent="0.35">
      <c r="A49" s="33">
        <f t="shared" si="0"/>
        <v>39</v>
      </c>
      <c r="B49" s="34" t="s">
        <v>357</v>
      </c>
      <c r="C49" s="109">
        <f>G39</f>
        <v>9073447.9780000001</v>
      </c>
      <c r="D49" s="570">
        <f>C49/C$50</f>
        <v>0.5383702447619384</v>
      </c>
      <c r="E49" s="110">
        <f>G42</f>
        <v>0.106</v>
      </c>
      <c r="G49" s="571">
        <f>D49*E49</f>
        <v>5.706724594476547E-2</v>
      </c>
      <c r="H49" s="99"/>
      <c r="I49" s="45" t="s">
        <v>531</v>
      </c>
      <c r="J49" s="33">
        <f t="shared" si="1"/>
        <v>39</v>
      </c>
    </row>
    <row r="50" spans="1:10" ht="16" thickBot="1" x14ac:dyDescent="0.4">
      <c r="A50" s="33">
        <f t="shared" si="0"/>
        <v>40</v>
      </c>
      <c r="B50" s="34" t="s">
        <v>358</v>
      </c>
      <c r="C50" s="111">
        <f>SUM(C47:C49)</f>
        <v>16853546.544</v>
      </c>
      <c r="D50" s="112">
        <f>SUM(D47:D49)</f>
        <v>1</v>
      </c>
      <c r="G50" s="98">
        <f>SUM(G47:G49)</f>
        <v>7.3967981897068893E-2</v>
      </c>
      <c r="H50" s="99"/>
      <c r="I50" s="45" t="s">
        <v>532</v>
      </c>
      <c r="J50" s="33">
        <f t="shared" si="1"/>
        <v>40</v>
      </c>
    </row>
    <row r="51" spans="1:10" ht="16" thickTop="1" x14ac:dyDescent="0.35">
      <c r="A51" s="33">
        <f t="shared" si="0"/>
        <v>41</v>
      </c>
      <c r="I51" s="45"/>
      <c r="J51" s="33">
        <f t="shared" si="1"/>
        <v>41</v>
      </c>
    </row>
    <row r="52" spans="1:10" ht="16" thickBot="1" x14ac:dyDescent="0.4">
      <c r="A52" s="33">
        <f t="shared" si="0"/>
        <v>42</v>
      </c>
      <c r="B52" s="38" t="s">
        <v>359</v>
      </c>
      <c r="G52" s="98">
        <f>G48+G49</f>
        <v>5.706724594476547E-2</v>
      </c>
      <c r="H52" s="99"/>
      <c r="I52" s="45" t="s">
        <v>533</v>
      </c>
      <c r="J52" s="33">
        <f t="shared" si="1"/>
        <v>42</v>
      </c>
    </row>
    <row r="53" spans="1:10" ht="16.5" thickTop="1" thickBot="1" x14ac:dyDescent="0.4">
      <c r="A53" s="103">
        <f t="shared" si="0"/>
        <v>43</v>
      </c>
      <c r="B53" s="116"/>
      <c r="C53" s="77"/>
      <c r="D53" s="77"/>
      <c r="E53" s="77"/>
      <c r="F53" s="77"/>
      <c r="G53" s="298"/>
      <c r="H53" s="298"/>
      <c r="I53" s="104"/>
      <c r="J53" s="103">
        <f t="shared" si="1"/>
        <v>43</v>
      </c>
    </row>
    <row r="54" spans="1:10" x14ac:dyDescent="0.35">
      <c r="A54" s="33">
        <f t="shared" si="0"/>
        <v>44</v>
      </c>
      <c r="B54" s="38"/>
      <c r="G54" s="110"/>
      <c r="H54" s="110"/>
      <c r="I54" s="45"/>
      <c r="J54" s="33">
        <f t="shared" si="1"/>
        <v>44</v>
      </c>
    </row>
    <row r="55" spans="1:10" ht="16" thickBot="1" x14ac:dyDescent="0.4">
      <c r="A55" s="33">
        <f t="shared" si="0"/>
        <v>45</v>
      </c>
      <c r="B55" s="38" t="s">
        <v>360</v>
      </c>
      <c r="G55" s="299">
        <v>0</v>
      </c>
      <c r="H55" s="110"/>
      <c r="I55" s="45" t="s">
        <v>232</v>
      </c>
      <c r="J55" s="33">
        <f t="shared" si="1"/>
        <v>45</v>
      </c>
    </row>
    <row r="56" spans="1:10" ht="16" thickTop="1" x14ac:dyDescent="0.35">
      <c r="A56" s="33">
        <f t="shared" si="0"/>
        <v>46</v>
      </c>
      <c r="C56" s="65" t="s">
        <v>254</v>
      </c>
      <c r="D56" s="65" t="s">
        <v>255</v>
      </c>
      <c r="E56" s="65" t="s">
        <v>345</v>
      </c>
      <c r="F56" s="65"/>
      <c r="G56" s="65" t="s">
        <v>346</v>
      </c>
      <c r="H56" s="110"/>
      <c r="I56" s="45"/>
      <c r="J56" s="33">
        <f t="shared" si="1"/>
        <v>46</v>
      </c>
    </row>
    <row r="57" spans="1:10" x14ac:dyDescent="0.35">
      <c r="A57" s="33">
        <f t="shared" si="0"/>
        <v>47</v>
      </c>
      <c r="D57" s="33" t="s">
        <v>347</v>
      </c>
      <c r="E57" s="33" t="s">
        <v>348</v>
      </c>
      <c r="F57" s="33"/>
      <c r="G57" s="33" t="s">
        <v>349</v>
      </c>
      <c r="H57" s="110"/>
      <c r="I57" s="45"/>
      <c r="J57" s="33">
        <f t="shared" si="1"/>
        <v>47</v>
      </c>
    </row>
    <row r="58" spans="1:10" ht="18" x14ac:dyDescent="0.35">
      <c r="A58" s="33">
        <f t="shared" si="0"/>
        <v>48</v>
      </c>
      <c r="B58" s="38" t="s">
        <v>361</v>
      </c>
      <c r="C58" s="555" t="s">
        <v>351</v>
      </c>
      <c r="D58" s="555" t="s">
        <v>352</v>
      </c>
      <c r="E58" s="555" t="s">
        <v>353</v>
      </c>
      <c r="F58" s="555"/>
      <c r="G58" s="555" t="s">
        <v>354</v>
      </c>
      <c r="H58" s="110"/>
      <c r="I58" s="45"/>
      <c r="J58" s="33">
        <f t="shared" si="1"/>
        <v>48</v>
      </c>
    </row>
    <row r="59" spans="1:10" x14ac:dyDescent="0.35">
      <c r="A59" s="33">
        <f t="shared" si="0"/>
        <v>49</v>
      </c>
      <c r="G59" s="110"/>
      <c r="H59" s="110"/>
      <c r="I59" s="45"/>
      <c r="J59" s="33">
        <f t="shared" si="1"/>
        <v>49</v>
      </c>
    </row>
    <row r="60" spans="1:10" x14ac:dyDescent="0.35">
      <c r="A60" s="33">
        <f t="shared" si="0"/>
        <v>50</v>
      </c>
      <c r="B60" s="34" t="s">
        <v>355</v>
      </c>
      <c r="C60" s="300">
        <v>0</v>
      </c>
      <c r="D60" s="301">
        <v>0</v>
      </c>
      <c r="E60" s="113">
        <v>0</v>
      </c>
      <c r="G60" s="108">
        <f>D60*E60</f>
        <v>0</v>
      </c>
      <c r="H60" s="110"/>
      <c r="I60" s="45" t="s">
        <v>232</v>
      </c>
      <c r="J60" s="33">
        <f t="shared" si="1"/>
        <v>50</v>
      </c>
    </row>
    <row r="61" spans="1:10" x14ac:dyDescent="0.35">
      <c r="A61" s="33">
        <f t="shared" si="0"/>
        <v>51</v>
      </c>
      <c r="B61" s="34" t="s">
        <v>356</v>
      </c>
      <c r="C61" s="302">
        <v>0</v>
      </c>
      <c r="D61" s="301">
        <v>0</v>
      </c>
      <c r="E61" s="113">
        <v>0</v>
      </c>
      <c r="G61" s="108">
        <f>D61*E61</f>
        <v>0</v>
      </c>
      <c r="H61" s="110"/>
      <c r="I61" s="45" t="s">
        <v>232</v>
      </c>
      <c r="J61" s="33">
        <f t="shared" si="1"/>
        <v>51</v>
      </c>
    </row>
    <row r="62" spans="1:10" x14ac:dyDescent="0.35">
      <c r="A62" s="33">
        <f t="shared" si="0"/>
        <v>52</v>
      </c>
      <c r="B62" s="34" t="s">
        <v>357</v>
      </c>
      <c r="C62" s="302">
        <v>0</v>
      </c>
      <c r="D62" s="572">
        <v>0</v>
      </c>
      <c r="E62" s="303">
        <v>0</v>
      </c>
      <c r="G62" s="571">
        <f>D62*E62</f>
        <v>0</v>
      </c>
      <c r="H62" s="110"/>
      <c r="I62" s="45" t="s">
        <v>232</v>
      </c>
      <c r="J62" s="33">
        <f t="shared" si="1"/>
        <v>52</v>
      </c>
    </row>
    <row r="63" spans="1:10" ht="16" thickBot="1" x14ac:dyDescent="0.4">
      <c r="A63" s="33">
        <f t="shared" si="0"/>
        <v>53</v>
      </c>
      <c r="B63" s="34" t="s">
        <v>358</v>
      </c>
      <c r="C63" s="111">
        <f>SUM(C60:C62)</f>
        <v>0</v>
      </c>
      <c r="D63" s="98">
        <f>SUM(D60:D62)</f>
        <v>0</v>
      </c>
      <c r="G63" s="98">
        <f>SUM(G60:G62)</f>
        <v>0</v>
      </c>
      <c r="H63" s="110"/>
      <c r="I63" s="45" t="s">
        <v>534</v>
      </c>
      <c r="J63" s="33">
        <f t="shared" si="1"/>
        <v>53</v>
      </c>
    </row>
    <row r="64" spans="1:10" ht="16" thickTop="1" x14ac:dyDescent="0.35">
      <c r="A64" s="33">
        <f t="shared" si="0"/>
        <v>54</v>
      </c>
      <c r="H64" s="110"/>
      <c r="I64" s="45"/>
      <c r="J64" s="33">
        <f t="shared" si="1"/>
        <v>54</v>
      </c>
    </row>
    <row r="65" spans="1:10" ht="16" thickBot="1" x14ac:dyDescent="0.4">
      <c r="A65" s="33">
        <f t="shared" si="0"/>
        <v>55</v>
      </c>
      <c r="B65" s="38" t="s">
        <v>362</v>
      </c>
      <c r="G65" s="98">
        <f>G61+G62</f>
        <v>0</v>
      </c>
      <c r="H65" s="110"/>
      <c r="I65" s="45" t="s">
        <v>535</v>
      </c>
      <c r="J65" s="33">
        <f t="shared" si="1"/>
        <v>55</v>
      </c>
    </row>
    <row r="66" spans="1:10" ht="16" thickTop="1" x14ac:dyDescent="0.35">
      <c r="B66" s="38"/>
      <c r="G66" s="110"/>
      <c r="H66" s="110"/>
      <c r="I66" s="45"/>
      <c r="J66" s="33"/>
    </row>
    <row r="67" spans="1:10" x14ac:dyDescent="0.35">
      <c r="B67" s="38"/>
      <c r="G67" s="110"/>
      <c r="H67" s="110"/>
      <c r="I67" s="45"/>
      <c r="J67" s="33"/>
    </row>
    <row r="68" spans="1:10" ht="18" x14ac:dyDescent="0.35">
      <c r="A68" s="64">
        <v>1</v>
      </c>
      <c r="B68" s="17" t="s">
        <v>363</v>
      </c>
      <c r="G68" s="60"/>
      <c r="H68" s="60"/>
      <c r="J68" s="33" t="s">
        <v>207</v>
      </c>
    </row>
    <row r="69" spans="1:10" ht="18" x14ac:dyDescent="0.35">
      <c r="A69" s="64"/>
      <c r="B69" s="17"/>
      <c r="G69" s="60"/>
      <c r="H69" s="60"/>
      <c r="J69" s="33"/>
    </row>
    <row r="70" spans="1:10" ht="18" x14ac:dyDescent="0.35">
      <c r="A70" s="64"/>
      <c r="B70" s="17"/>
      <c r="D70" s="33"/>
      <c r="G70" s="60"/>
      <c r="H70" s="60"/>
      <c r="J70" s="33"/>
    </row>
    <row r="71" spans="1:10" x14ac:dyDescent="0.35">
      <c r="B71" s="906" t="s">
        <v>315</v>
      </c>
      <c r="C71" s="906"/>
      <c r="D71" s="906"/>
      <c r="E71" s="906"/>
      <c r="F71" s="906"/>
      <c r="G71" s="906"/>
      <c r="H71" s="906"/>
      <c r="I71" s="906"/>
      <c r="J71" s="33"/>
    </row>
    <row r="72" spans="1:10" x14ac:dyDescent="0.35">
      <c r="B72" s="906" t="s">
        <v>316</v>
      </c>
      <c r="C72" s="906"/>
      <c r="D72" s="906"/>
      <c r="E72" s="906"/>
      <c r="F72" s="906"/>
      <c r="G72" s="906"/>
      <c r="H72" s="906"/>
      <c r="I72" s="906"/>
      <c r="J72" s="33"/>
    </row>
    <row r="73" spans="1:10" x14ac:dyDescent="0.35">
      <c r="B73" s="906" t="s">
        <v>317</v>
      </c>
      <c r="C73" s="906"/>
      <c r="D73" s="906"/>
      <c r="E73" s="906"/>
      <c r="F73" s="906"/>
      <c r="G73" s="906"/>
      <c r="H73" s="906"/>
      <c r="I73" s="906"/>
      <c r="J73" s="33"/>
    </row>
    <row r="74" spans="1:10" x14ac:dyDescent="0.35">
      <c r="B74" s="907" t="str">
        <f>B5</f>
        <v>Base Period &amp; True-Up Period 12 - Months Ending December 31, 2022</v>
      </c>
      <c r="C74" s="907"/>
      <c r="D74" s="907"/>
      <c r="E74" s="907"/>
      <c r="F74" s="907"/>
      <c r="G74" s="907"/>
      <c r="H74" s="907"/>
      <c r="I74" s="907"/>
      <c r="J74" s="33"/>
    </row>
    <row r="75" spans="1:10" x14ac:dyDescent="0.35">
      <c r="B75" s="904" t="s">
        <v>2</v>
      </c>
      <c r="C75" s="908"/>
      <c r="D75" s="908"/>
      <c r="E75" s="908"/>
      <c r="F75" s="908"/>
      <c r="G75" s="908"/>
      <c r="H75" s="908"/>
      <c r="I75" s="908"/>
      <c r="J75" s="33"/>
    </row>
    <row r="76" spans="1:10" x14ac:dyDescent="0.35">
      <c r="B76" s="33"/>
      <c r="C76" s="33"/>
      <c r="D76" s="33"/>
      <c r="E76" s="33"/>
      <c r="F76" s="33"/>
      <c r="G76" s="33"/>
      <c r="H76" s="33"/>
      <c r="I76" s="45"/>
      <c r="J76" s="33"/>
    </row>
    <row r="77" spans="1:10" x14ac:dyDescent="0.35">
      <c r="A77" s="33" t="s">
        <v>3</v>
      </c>
      <c r="B77" s="308"/>
      <c r="C77" s="308"/>
      <c r="D77" s="308"/>
      <c r="E77" s="308"/>
      <c r="F77" s="308"/>
      <c r="G77" s="308"/>
      <c r="H77" s="308"/>
      <c r="I77" s="45"/>
      <c r="J77" s="33" t="s">
        <v>3</v>
      </c>
    </row>
    <row r="78" spans="1:10" x14ac:dyDescent="0.35">
      <c r="A78" s="33" t="s">
        <v>4</v>
      </c>
      <c r="B78" s="33"/>
      <c r="C78" s="33"/>
      <c r="D78" s="33"/>
      <c r="E78" s="33"/>
      <c r="F78" s="33"/>
      <c r="G78" s="555" t="s">
        <v>6</v>
      </c>
      <c r="H78" s="308"/>
      <c r="I78" s="568" t="s">
        <v>7</v>
      </c>
      <c r="J78" s="33" t="s">
        <v>4</v>
      </c>
    </row>
    <row r="79" spans="1:10" x14ac:dyDescent="0.35">
      <c r="G79" s="33"/>
      <c r="H79" s="33"/>
      <c r="I79" s="45"/>
      <c r="J79" s="33"/>
    </row>
    <row r="80" spans="1:10" ht="17.5" x14ac:dyDescent="0.35">
      <c r="A80" s="33">
        <v>1</v>
      </c>
      <c r="B80" s="38" t="s">
        <v>364</v>
      </c>
      <c r="E80" s="308"/>
      <c r="F80" s="308"/>
      <c r="G80" s="117"/>
      <c r="H80" s="117"/>
      <c r="I80" s="45"/>
      <c r="J80" s="33">
        <v>1</v>
      </c>
    </row>
    <row r="81" spans="1:13" x14ac:dyDescent="0.35">
      <c r="A81" s="33">
        <f>A80+1</f>
        <v>2</v>
      </c>
      <c r="B81" s="118"/>
      <c r="E81" s="308"/>
      <c r="F81" s="308"/>
      <c r="G81" s="117"/>
      <c r="H81" s="117"/>
      <c r="I81" s="45"/>
      <c r="J81" s="33">
        <f>J80+1</f>
        <v>2</v>
      </c>
    </row>
    <row r="82" spans="1:13" x14ac:dyDescent="0.35">
      <c r="A82" s="33">
        <f>A81+1</f>
        <v>3</v>
      </c>
      <c r="B82" s="38" t="s">
        <v>365</v>
      </c>
      <c r="E82" s="308"/>
      <c r="F82" s="308"/>
      <c r="G82" s="117"/>
      <c r="H82" s="117"/>
      <c r="I82" s="45"/>
      <c r="J82" s="33">
        <f>J81+1</f>
        <v>3</v>
      </c>
    </row>
    <row r="83" spans="1:13" x14ac:dyDescent="0.35">
      <c r="A83" s="33">
        <f>A82+1</f>
        <v>4</v>
      </c>
      <c r="B83" s="308"/>
      <c r="C83" s="308"/>
      <c r="D83" s="308"/>
      <c r="E83" s="308"/>
      <c r="F83" s="308"/>
      <c r="G83" s="117"/>
      <c r="H83" s="117"/>
      <c r="I83" s="45"/>
      <c r="J83" s="33">
        <f>J82+1</f>
        <v>4</v>
      </c>
    </row>
    <row r="84" spans="1:13" x14ac:dyDescent="0.35">
      <c r="A84" s="33">
        <f t="shared" ref="A84:A110" si="2">A83+1</f>
        <v>5</v>
      </c>
      <c r="B84" s="40" t="s">
        <v>366</v>
      </c>
      <c r="C84" s="308"/>
      <c r="D84" s="308"/>
      <c r="E84" s="308"/>
      <c r="F84" s="308"/>
      <c r="G84" s="117"/>
      <c r="H84" s="117"/>
      <c r="I84" s="119"/>
      <c r="J84" s="33">
        <f t="shared" ref="J84:J110" si="3">J83+1</f>
        <v>5</v>
      </c>
    </row>
    <row r="85" spans="1:13" x14ac:dyDescent="0.35">
      <c r="A85" s="33">
        <f t="shared" si="2"/>
        <v>6</v>
      </c>
      <c r="B85" s="34" t="s">
        <v>367</v>
      </c>
      <c r="D85" s="308"/>
      <c r="E85" s="308"/>
      <c r="F85" s="308"/>
      <c r="G85" s="120">
        <f>G52</f>
        <v>5.706724594476547E-2</v>
      </c>
      <c r="H85" s="308"/>
      <c r="I85" s="45" t="s">
        <v>368</v>
      </c>
      <c r="J85" s="33">
        <f t="shared" si="3"/>
        <v>6</v>
      </c>
      <c r="L85" s="33"/>
    </row>
    <row r="86" spans="1:13" x14ac:dyDescent="0.35">
      <c r="A86" s="33">
        <f t="shared" si="2"/>
        <v>7</v>
      </c>
      <c r="B86" s="34" t="s">
        <v>369</v>
      </c>
      <c r="D86" s="308"/>
      <c r="E86" s="308"/>
      <c r="F86" s="308"/>
      <c r="G86" s="121">
        <v>3865.5825668843963</v>
      </c>
      <c r="H86" s="308"/>
      <c r="I86" s="45" t="s">
        <v>370</v>
      </c>
      <c r="J86" s="33">
        <f t="shared" si="3"/>
        <v>7</v>
      </c>
      <c r="L86" s="33"/>
    </row>
    <row r="87" spans="1:13" ht="18" x14ac:dyDescent="0.35">
      <c r="A87" s="33">
        <f t="shared" si="2"/>
        <v>8</v>
      </c>
      <c r="B87" s="34" t="s">
        <v>371</v>
      </c>
      <c r="D87" s="308"/>
      <c r="E87" s="308"/>
      <c r="F87" s="308"/>
      <c r="G87" s="122">
        <v>10188.034820000003</v>
      </c>
      <c r="H87" s="308"/>
      <c r="I87" s="115" t="s">
        <v>536</v>
      </c>
      <c r="J87" s="33">
        <f t="shared" si="3"/>
        <v>8</v>
      </c>
      <c r="L87" s="308"/>
    </row>
    <row r="88" spans="1:13" x14ac:dyDescent="0.35">
      <c r="A88" s="33">
        <f t="shared" si="2"/>
        <v>9</v>
      </c>
      <c r="B88" s="34" t="s">
        <v>372</v>
      </c>
      <c r="D88" s="308"/>
      <c r="E88" s="123"/>
      <c r="F88" s="308"/>
      <c r="G88" s="124">
        <f>'Pg13 Rev AV-4'!C36</f>
        <v>4958065.5871460875</v>
      </c>
      <c r="H88" s="23" t="s">
        <v>27</v>
      </c>
      <c r="I88" s="115" t="s">
        <v>794</v>
      </c>
      <c r="J88" s="33">
        <f t="shared" si="3"/>
        <v>9</v>
      </c>
    </row>
    <row r="89" spans="1:13" x14ac:dyDescent="0.35">
      <c r="A89" s="33">
        <f t="shared" si="2"/>
        <v>10</v>
      </c>
      <c r="B89" s="34" t="s">
        <v>374</v>
      </c>
      <c r="D89" s="125"/>
      <c r="E89" s="308"/>
      <c r="F89" s="308"/>
      <c r="G89" s="573">
        <v>0.21</v>
      </c>
      <c r="H89" s="308"/>
      <c r="I89" s="45" t="s">
        <v>375</v>
      </c>
      <c r="J89" s="33">
        <f t="shared" si="3"/>
        <v>10</v>
      </c>
      <c r="M89" s="126"/>
    </row>
    <row r="90" spans="1:13" x14ac:dyDescent="0.35">
      <c r="A90" s="33">
        <f t="shared" si="2"/>
        <v>11</v>
      </c>
      <c r="G90" s="33"/>
      <c r="H90" s="33"/>
      <c r="J90" s="33">
        <f t="shared" si="3"/>
        <v>11</v>
      </c>
    </row>
    <row r="91" spans="1:13" x14ac:dyDescent="0.35">
      <c r="A91" s="33">
        <f t="shared" si="2"/>
        <v>12</v>
      </c>
      <c r="B91" s="34" t="s">
        <v>376</v>
      </c>
      <c r="D91" s="308"/>
      <c r="E91" s="308"/>
      <c r="F91" s="308"/>
      <c r="G91" s="127">
        <f>(((G85)+(G87/G88))*G89-(G86/G88))/(1-G89)</f>
        <v>1.4729092149121013E-2</v>
      </c>
      <c r="H91" s="127"/>
      <c r="I91" s="45" t="s">
        <v>377</v>
      </c>
      <c r="J91" s="33">
        <f t="shared" si="3"/>
        <v>12</v>
      </c>
      <c r="M91" s="128"/>
    </row>
    <row r="92" spans="1:13" x14ac:dyDescent="0.35">
      <c r="A92" s="33">
        <f t="shared" si="2"/>
        <v>13</v>
      </c>
      <c r="B92" s="129" t="s">
        <v>378</v>
      </c>
      <c r="G92" s="33"/>
      <c r="H92" s="33"/>
      <c r="J92" s="33">
        <f t="shared" si="3"/>
        <v>13</v>
      </c>
    </row>
    <row r="93" spans="1:13" x14ac:dyDescent="0.35">
      <c r="A93" s="33">
        <f t="shared" si="2"/>
        <v>14</v>
      </c>
      <c r="G93" s="33"/>
      <c r="H93" s="33"/>
      <c r="J93" s="33">
        <f t="shared" si="3"/>
        <v>14</v>
      </c>
    </row>
    <row r="94" spans="1:13" x14ac:dyDescent="0.35">
      <c r="A94" s="33">
        <f t="shared" si="2"/>
        <v>15</v>
      </c>
      <c r="B94" s="38" t="s">
        <v>379</v>
      </c>
      <c r="C94" s="308"/>
      <c r="D94" s="308"/>
      <c r="E94" s="308"/>
      <c r="F94" s="308"/>
      <c r="G94" s="130"/>
      <c r="H94" s="130"/>
      <c r="I94" s="131"/>
      <c r="J94" s="33">
        <f t="shared" si="3"/>
        <v>15</v>
      </c>
      <c r="L94" s="132"/>
    </row>
    <row r="95" spans="1:13" x14ac:dyDescent="0.35">
      <c r="A95" s="33">
        <f t="shared" si="2"/>
        <v>16</v>
      </c>
      <c r="B95" s="50"/>
      <c r="C95" s="308"/>
      <c r="D95" s="308"/>
      <c r="E95" s="308"/>
      <c r="F95" s="308"/>
      <c r="G95" s="130"/>
      <c r="H95" s="130"/>
      <c r="I95" s="133"/>
      <c r="J95" s="33">
        <f t="shared" si="3"/>
        <v>16</v>
      </c>
      <c r="L95" s="308"/>
    </row>
    <row r="96" spans="1:13" x14ac:dyDescent="0.35">
      <c r="A96" s="33">
        <f t="shared" si="2"/>
        <v>17</v>
      </c>
      <c r="B96" s="40" t="s">
        <v>366</v>
      </c>
      <c r="C96" s="308"/>
      <c r="D96" s="308"/>
      <c r="E96" s="308"/>
      <c r="F96" s="308"/>
      <c r="G96" s="130"/>
      <c r="H96" s="130"/>
      <c r="I96" s="133"/>
      <c r="J96" s="33">
        <f t="shared" si="3"/>
        <v>17</v>
      </c>
      <c r="L96" s="308"/>
    </row>
    <row r="97" spans="1:13" x14ac:dyDescent="0.35">
      <c r="A97" s="33">
        <f t="shared" si="2"/>
        <v>18</v>
      </c>
      <c r="B97" s="34" t="s">
        <v>367</v>
      </c>
      <c r="D97" s="308"/>
      <c r="E97" s="308"/>
      <c r="F97" s="308"/>
      <c r="G97" s="106">
        <f>G85</f>
        <v>5.706724594476547E-2</v>
      </c>
      <c r="H97" s="106"/>
      <c r="I97" s="45" t="s">
        <v>537</v>
      </c>
      <c r="J97" s="33">
        <f t="shared" si="3"/>
        <v>18</v>
      </c>
      <c r="L97" s="33"/>
    </row>
    <row r="98" spans="1:13" x14ac:dyDescent="0.35">
      <c r="A98" s="33">
        <f t="shared" si="2"/>
        <v>19</v>
      </c>
      <c r="B98" s="34" t="s">
        <v>380</v>
      </c>
      <c r="D98" s="308"/>
      <c r="E98" s="308"/>
      <c r="F98" s="308"/>
      <c r="G98" s="134">
        <f>G87</f>
        <v>10188.034820000003</v>
      </c>
      <c r="H98" s="134"/>
      <c r="I98" s="45" t="s">
        <v>538</v>
      </c>
      <c r="J98" s="33">
        <f t="shared" si="3"/>
        <v>19</v>
      </c>
      <c r="L98" s="33"/>
    </row>
    <row r="99" spans="1:13" x14ac:dyDescent="0.35">
      <c r="A99" s="33">
        <f t="shared" si="2"/>
        <v>20</v>
      </c>
      <c r="B99" s="34" t="s">
        <v>381</v>
      </c>
      <c r="D99" s="308"/>
      <c r="E99" s="308"/>
      <c r="F99" s="308"/>
      <c r="G99" s="135">
        <f>G88</f>
        <v>4958065.5871460875</v>
      </c>
      <c r="H99" s="23" t="s">
        <v>27</v>
      </c>
      <c r="I99" s="45" t="s">
        <v>539</v>
      </c>
      <c r="J99" s="33">
        <f t="shared" si="3"/>
        <v>20</v>
      </c>
      <c r="L99" s="33"/>
    </row>
    <row r="100" spans="1:13" x14ac:dyDescent="0.35">
      <c r="A100" s="33">
        <f t="shared" si="2"/>
        <v>21</v>
      </c>
      <c r="B100" s="34" t="s">
        <v>382</v>
      </c>
      <c r="D100" s="308"/>
      <c r="E100" s="308"/>
      <c r="F100" s="308"/>
      <c r="G100" s="136">
        <f>G91</f>
        <v>1.4729092149121013E-2</v>
      </c>
      <c r="H100" s="136"/>
      <c r="I100" s="45" t="s">
        <v>540</v>
      </c>
      <c r="J100" s="33">
        <f t="shared" si="3"/>
        <v>21</v>
      </c>
    </row>
    <row r="101" spans="1:13" x14ac:dyDescent="0.35">
      <c r="A101" s="33">
        <f t="shared" si="2"/>
        <v>22</v>
      </c>
      <c r="B101" s="34" t="s">
        <v>383</v>
      </c>
      <c r="D101" s="308"/>
      <c r="E101" s="308"/>
      <c r="F101" s="308"/>
      <c r="G101" s="574">
        <v>8.8400000000000006E-2</v>
      </c>
      <c r="H101" s="308"/>
      <c r="I101" s="45" t="s">
        <v>384</v>
      </c>
      <c r="J101" s="33">
        <f t="shared" si="3"/>
        <v>22</v>
      </c>
    </row>
    <row r="102" spans="1:13" x14ac:dyDescent="0.35">
      <c r="A102" s="33">
        <f t="shared" si="2"/>
        <v>23</v>
      </c>
      <c r="B102" s="506"/>
      <c r="D102" s="308"/>
      <c r="E102" s="308"/>
      <c r="F102" s="308"/>
      <c r="G102" s="137"/>
      <c r="H102" s="137"/>
      <c r="I102" s="133"/>
      <c r="J102" s="33">
        <f t="shared" si="3"/>
        <v>23</v>
      </c>
    </row>
    <row r="103" spans="1:13" x14ac:dyDescent="0.35">
      <c r="A103" s="33">
        <f t="shared" si="2"/>
        <v>24</v>
      </c>
      <c r="B103" s="34" t="s">
        <v>385</v>
      </c>
      <c r="C103" s="33"/>
      <c r="D103" s="33"/>
      <c r="E103" s="308"/>
      <c r="F103" s="308"/>
      <c r="G103" s="578">
        <f>((G97)+(G98/G99)+G91)*G101/(1-G101)</f>
        <v>7.1615228201540784E-3</v>
      </c>
      <c r="H103" s="138"/>
      <c r="I103" s="45" t="s">
        <v>386</v>
      </c>
      <c r="J103" s="33">
        <f t="shared" si="3"/>
        <v>24</v>
      </c>
    </row>
    <row r="104" spans="1:13" x14ac:dyDescent="0.35">
      <c r="A104" s="33">
        <f t="shared" si="2"/>
        <v>25</v>
      </c>
      <c r="B104" s="129" t="s">
        <v>387</v>
      </c>
      <c r="G104" s="33"/>
      <c r="H104" s="33"/>
      <c r="I104" s="45"/>
      <c r="J104" s="33">
        <f t="shared" si="3"/>
        <v>25</v>
      </c>
      <c r="L104" s="33"/>
    </row>
    <row r="105" spans="1:13" x14ac:dyDescent="0.35">
      <c r="A105" s="33">
        <f t="shared" si="2"/>
        <v>26</v>
      </c>
      <c r="G105" s="33"/>
      <c r="H105" s="33"/>
      <c r="I105" s="45"/>
      <c r="J105" s="33">
        <f t="shared" si="3"/>
        <v>26</v>
      </c>
      <c r="L105" s="33"/>
    </row>
    <row r="106" spans="1:13" x14ac:dyDescent="0.35">
      <c r="A106" s="33">
        <f t="shared" si="2"/>
        <v>27</v>
      </c>
      <c r="B106" s="38" t="s">
        <v>388</v>
      </c>
      <c r="G106" s="127">
        <f>G103+G91</f>
        <v>2.1890614969275093E-2</v>
      </c>
      <c r="H106" s="127"/>
      <c r="I106" s="45" t="s">
        <v>541</v>
      </c>
      <c r="J106" s="33">
        <f t="shared" si="3"/>
        <v>27</v>
      </c>
      <c r="L106" s="33"/>
    </row>
    <row r="107" spans="1:13" x14ac:dyDescent="0.35">
      <c r="A107" s="33">
        <f t="shared" si="2"/>
        <v>28</v>
      </c>
      <c r="G107" s="33"/>
      <c r="H107" s="33"/>
      <c r="I107" s="45"/>
      <c r="J107" s="33">
        <f t="shared" si="3"/>
        <v>28</v>
      </c>
      <c r="L107" s="33"/>
    </row>
    <row r="108" spans="1:13" x14ac:dyDescent="0.35">
      <c r="A108" s="33">
        <f t="shared" si="2"/>
        <v>29</v>
      </c>
      <c r="B108" s="38" t="s">
        <v>389</v>
      </c>
      <c r="G108" s="575">
        <f>G50</f>
        <v>7.3967981897068893E-2</v>
      </c>
      <c r="H108" s="308"/>
      <c r="I108" s="45" t="s">
        <v>542</v>
      </c>
      <c r="J108" s="33">
        <f t="shared" si="3"/>
        <v>29</v>
      </c>
      <c r="L108" s="33"/>
    </row>
    <row r="109" spans="1:13" x14ac:dyDescent="0.35">
      <c r="A109" s="33">
        <f t="shared" si="2"/>
        <v>30</v>
      </c>
      <c r="G109" s="106"/>
      <c r="H109" s="106"/>
      <c r="I109" s="45"/>
      <c r="J109" s="33">
        <f t="shared" si="3"/>
        <v>30</v>
      </c>
      <c r="L109" s="33"/>
    </row>
    <row r="110" spans="1:13" ht="18" thickBot="1" x14ac:dyDescent="0.4">
      <c r="A110" s="33">
        <f t="shared" si="2"/>
        <v>31</v>
      </c>
      <c r="B110" s="38" t="s">
        <v>390</v>
      </c>
      <c r="G110" s="139">
        <f>G106+G108</f>
        <v>9.5858596866343987E-2</v>
      </c>
      <c r="H110" s="138"/>
      <c r="I110" s="45" t="s">
        <v>543</v>
      </c>
      <c r="J110" s="33">
        <f t="shared" si="3"/>
        <v>31</v>
      </c>
      <c r="L110" s="140"/>
      <c r="M110" s="128"/>
    </row>
    <row r="111" spans="1:13" ht="16" thickTop="1" x14ac:dyDescent="0.35">
      <c r="B111" s="38"/>
      <c r="G111" s="142"/>
      <c r="H111" s="142"/>
      <c r="I111" s="45"/>
      <c r="J111" s="33"/>
      <c r="L111" s="140"/>
      <c r="M111" s="128"/>
    </row>
    <row r="112" spans="1:13" x14ac:dyDescent="0.35">
      <c r="B112" s="38"/>
      <c r="G112" s="142"/>
      <c r="H112" s="142"/>
      <c r="I112" s="45"/>
      <c r="J112" s="33"/>
      <c r="L112" s="140"/>
      <c r="M112" s="128"/>
    </row>
    <row r="113" spans="1:13" x14ac:dyDescent="0.35">
      <c r="A113" s="23" t="s">
        <v>27</v>
      </c>
      <c r="B113" s="588" t="s">
        <v>813</v>
      </c>
      <c r="G113" s="142"/>
      <c r="H113" s="142"/>
      <c r="I113" s="45"/>
      <c r="J113" s="33"/>
      <c r="L113" s="140"/>
      <c r="M113" s="128"/>
    </row>
    <row r="114" spans="1:13" x14ac:dyDescent="0.35">
      <c r="A114" s="23"/>
      <c r="B114" s="588" t="s">
        <v>819</v>
      </c>
      <c r="G114" s="142"/>
      <c r="H114" s="142"/>
      <c r="I114" s="45"/>
      <c r="J114" s="33"/>
      <c r="L114" s="140"/>
      <c r="M114" s="128"/>
    </row>
    <row r="115" spans="1:13" x14ac:dyDescent="0.35">
      <c r="A115" s="23"/>
      <c r="B115" s="21" t="s">
        <v>820</v>
      </c>
      <c r="G115" s="142"/>
      <c r="H115" s="142"/>
      <c r="I115" s="45"/>
      <c r="J115" s="33"/>
      <c r="L115" s="140"/>
      <c r="M115" s="128"/>
    </row>
    <row r="116" spans="1:13" ht="18.5" x14ac:dyDescent="0.35">
      <c r="A116" s="304">
        <v>1</v>
      </c>
      <c r="B116" s="17" t="s">
        <v>391</v>
      </c>
      <c r="G116" s="142"/>
      <c r="H116" s="142"/>
      <c r="I116" s="45"/>
      <c r="J116" s="33"/>
      <c r="L116" s="140"/>
      <c r="M116" s="128"/>
    </row>
    <row r="117" spans="1:13" ht="18.5" x14ac:dyDescent="0.35">
      <c r="A117" s="304"/>
      <c r="B117" s="17"/>
      <c r="G117" s="142"/>
      <c r="H117" s="142"/>
      <c r="I117" s="45"/>
      <c r="J117" s="33"/>
      <c r="L117" s="140"/>
      <c r="M117" s="128"/>
    </row>
    <row r="118" spans="1:13" x14ac:dyDescent="0.35">
      <c r="A118" s="143"/>
      <c r="B118" s="506"/>
      <c r="C118" s="35"/>
      <c r="D118" s="35"/>
      <c r="E118" s="35"/>
      <c r="F118" s="35"/>
      <c r="G118" s="144"/>
      <c r="H118" s="144"/>
      <c r="I118" s="305"/>
      <c r="J118" s="33"/>
    </row>
    <row r="119" spans="1:13" x14ac:dyDescent="0.35">
      <c r="B119" s="906" t="s">
        <v>16</v>
      </c>
      <c r="C119" s="906"/>
      <c r="D119" s="906"/>
      <c r="E119" s="906"/>
      <c r="F119" s="906"/>
      <c r="G119" s="906"/>
      <c r="H119" s="906"/>
      <c r="I119" s="906"/>
    </row>
    <row r="120" spans="1:13" x14ac:dyDescent="0.35">
      <c r="B120" s="906" t="s">
        <v>316</v>
      </c>
      <c r="C120" s="906"/>
      <c r="D120" s="906"/>
      <c r="E120" s="906"/>
      <c r="F120" s="906"/>
      <c r="G120" s="906"/>
      <c r="H120" s="906"/>
      <c r="I120" s="906"/>
    </row>
    <row r="121" spans="1:13" x14ac:dyDescent="0.35">
      <c r="B121" s="906" t="s">
        <v>317</v>
      </c>
      <c r="C121" s="906"/>
      <c r="D121" s="906"/>
      <c r="E121" s="906"/>
      <c r="F121" s="906"/>
      <c r="G121" s="906"/>
      <c r="H121" s="906"/>
      <c r="I121" s="906"/>
    </row>
    <row r="122" spans="1:13" x14ac:dyDescent="0.35">
      <c r="B122" s="907" t="str">
        <f>B5</f>
        <v>Base Period &amp; True-Up Period 12 - Months Ending December 31, 2022</v>
      </c>
      <c r="C122" s="907"/>
      <c r="D122" s="907"/>
      <c r="E122" s="907"/>
      <c r="F122" s="907"/>
      <c r="G122" s="907"/>
      <c r="H122" s="907"/>
      <c r="I122" s="907"/>
    </row>
    <row r="123" spans="1:13" x14ac:dyDescent="0.35">
      <c r="B123" s="904" t="s">
        <v>2</v>
      </c>
      <c r="C123" s="908"/>
      <c r="D123" s="908"/>
      <c r="E123" s="908"/>
      <c r="F123" s="908"/>
      <c r="G123" s="908"/>
      <c r="H123" s="908"/>
      <c r="I123" s="908"/>
    </row>
    <row r="125" spans="1:13" x14ac:dyDescent="0.35">
      <c r="A125" s="33" t="s">
        <v>3</v>
      </c>
      <c r="B125" s="308"/>
      <c r="C125" s="308"/>
      <c r="D125" s="308"/>
      <c r="E125" s="308"/>
      <c r="F125" s="308"/>
      <c r="G125" s="308"/>
      <c r="H125" s="308"/>
      <c r="I125" s="45"/>
      <c r="J125" s="33" t="s">
        <v>3</v>
      </c>
    </row>
    <row r="126" spans="1:13" x14ac:dyDescent="0.35">
      <c r="A126" s="33" t="s">
        <v>4</v>
      </c>
      <c r="B126" s="33"/>
      <c r="C126" s="33"/>
      <c r="D126" s="33"/>
      <c r="E126" s="33"/>
      <c r="F126" s="33"/>
      <c r="G126" s="555" t="s">
        <v>6</v>
      </c>
      <c r="H126" s="308"/>
      <c r="I126" s="568" t="s">
        <v>7</v>
      </c>
      <c r="J126" s="33" t="s">
        <v>4</v>
      </c>
    </row>
    <row r="128" spans="1:13" ht="17.5" x14ac:dyDescent="0.35">
      <c r="A128" s="33">
        <v>1</v>
      </c>
      <c r="B128" s="38" t="s">
        <v>392</v>
      </c>
      <c r="J128" s="33">
        <v>1</v>
      </c>
    </row>
    <row r="129" spans="1:10" x14ac:dyDescent="0.35">
      <c r="A129" s="33">
        <f>A128+1</f>
        <v>2</v>
      </c>
      <c r="B129" s="118"/>
      <c r="J129" s="33">
        <f>J128+1</f>
        <v>2</v>
      </c>
    </row>
    <row r="130" spans="1:10" x14ac:dyDescent="0.35">
      <c r="A130" s="33">
        <f>A129+1</f>
        <v>3</v>
      </c>
      <c r="B130" s="38" t="s">
        <v>365</v>
      </c>
      <c r="J130" s="33">
        <f>J129+1</f>
        <v>3</v>
      </c>
    </row>
    <row r="131" spans="1:10" x14ac:dyDescent="0.35">
      <c r="A131" s="33">
        <f>A130+1</f>
        <v>4</v>
      </c>
      <c r="B131" s="308"/>
      <c r="J131" s="33">
        <f>J130+1</f>
        <v>4</v>
      </c>
    </row>
    <row r="132" spans="1:10" x14ac:dyDescent="0.35">
      <c r="A132" s="33">
        <f t="shared" ref="A132:A158" si="4">A131+1</f>
        <v>5</v>
      </c>
      <c r="B132" s="40" t="s">
        <v>366</v>
      </c>
      <c r="J132" s="33">
        <f t="shared" ref="J132:J158" si="5">J131+1</f>
        <v>5</v>
      </c>
    </row>
    <row r="133" spans="1:10" x14ac:dyDescent="0.35">
      <c r="A133" s="33">
        <f t="shared" si="4"/>
        <v>6</v>
      </c>
      <c r="B133" s="34" t="str">
        <f>B85</f>
        <v xml:space="preserve">     A = Sum of Preferred Stock and Return on Equity Component</v>
      </c>
      <c r="G133" s="120">
        <f>G65</f>
        <v>0</v>
      </c>
      <c r="I133" s="45" t="s">
        <v>544</v>
      </c>
      <c r="J133" s="33">
        <f t="shared" si="5"/>
        <v>6</v>
      </c>
    </row>
    <row r="134" spans="1:10" x14ac:dyDescent="0.35">
      <c r="A134" s="33">
        <f t="shared" si="4"/>
        <v>7</v>
      </c>
      <c r="B134" s="34" t="str">
        <f>B86</f>
        <v xml:space="preserve">     B = Transmission Total Federal Tax Adjustments</v>
      </c>
      <c r="G134" s="141">
        <v>0</v>
      </c>
      <c r="I134" s="115" t="s">
        <v>232</v>
      </c>
      <c r="J134" s="33">
        <f t="shared" si="5"/>
        <v>7</v>
      </c>
    </row>
    <row r="135" spans="1:10" x14ac:dyDescent="0.35">
      <c r="A135" s="33">
        <f t="shared" si="4"/>
        <v>8</v>
      </c>
      <c r="B135" s="34" t="s">
        <v>393</v>
      </c>
      <c r="G135" s="306">
        <v>0</v>
      </c>
      <c r="I135" s="115" t="s">
        <v>232</v>
      </c>
      <c r="J135" s="33">
        <f t="shared" si="5"/>
        <v>8</v>
      </c>
    </row>
    <row r="136" spans="1:10" x14ac:dyDescent="0.35">
      <c r="A136" s="33">
        <f t="shared" si="4"/>
        <v>9</v>
      </c>
      <c r="B136" s="34" t="s">
        <v>394</v>
      </c>
      <c r="G136" s="306">
        <v>0</v>
      </c>
      <c r="I136" s="115" t="s">
        <v>232</v>
      </c>
      <c r="J136" s="33">
        <f t="shared" si="5"/>
        <v>9</v>
      </c>
    </row>
    <row r="137" spans="1:10" x14ac:dyDescent="0.35">
      <c r="A137" s="33">
        <f t="shared" si="4"/>
        <v>10</v>
      </c>
      <c r="B137" s="34" t="str">
        <f>B89</f>
        <v xml:space="preserve">     FT = Federal Income Tax Rate for Rate Effective Period</v>
      </c>
      <c r="G137" s="576">
        <f>G89</f>
        <v>0.21</v>
      </c>
      <c r="I137" s="45" t="s">
        <v>545</v>
      </c>
      <c r="J137" s="33">
        <f t="shared" si="5"/>
        <v>10</v>
      </c>
    </row>
    <row r="138" spans="1:10" x14ac:dyDescent="0.35">
      <c r="A138" s="33">
        <f t="shared" si="4"/>
        <v>11</v>
      </c>
      <c r="G138" s="33"/>
      <c r="J138" s="33">
        <f t="shared" si="5"/>
        <v>11</v>
      </c>
    </row>
    <row r="139" spans="1:10" x14ac:dyDescent="0.35">
      <c r="A139" s="33">
        <f t="shared" si="4"/>
        <v>12</v>
      </c>
      <c r="B139" s="34" t="s">
        <v>395</v>
      </c>
      <c r="G139" s="127">
        <f>IFERROR((((G133)+(G135/G136))*G137-(G134/G136))/(1-G137),0)</f>
        <v>0</v>
      </c>
      <c r="I139" s="45" t="s">
        <v>396</v>
      </c>
      <c r="J139" s="33">
        <f t="shared" si="5"/>
        <v>12</v>
      </c>
    </row>
    <row r="140" spans="1:10" x14ac:dyDescent="0.35">
      <c r="A140" s="33">
        <f t="shared" si="4"/>
        <v>13</v>
      </c>
      <c r="B140" s="129" t="s">
        <v>378</v>
      </c>
      <c r="G140" s="114"/>
      <c r="J140" s="33">
        <f t="shared" si="5"/>
        <v>13</v>
      </c>
    </row>
    <row r="141" spans="1:10" x14ac:dyDescent="0.35">
      <c r="A141" s="33">
        <f t="shared" si="4"/>
        <v>14</v>
      </c>
      <c r="G141" s="33"/>
      <c r="J141" s="33">
        <f t="shared" si="5"/>
        <v>14</v>
      </c>
    </row>
    <row r="142" spans="1:10" x14ac:dyDescent="0.35">
      <c r="A142" s="33">
        <f t="shared" si="4"/>
        <v>15</v>
      </c>
      <c r="B142" s="38" t="s">
        <v>379</v>
      </c>
      <c r="G142" s="130"/>
      <c r="I142" s="131"/>
      <c r="J142" s="33">
        <f t="shared" si="5"/>
        <v>15</v>
      </c>
    </row>
    <row r="143" spans="1:10" x14ac:dyDescent="0.35">
      <c r="A143" s="33">
        <f t="shared" si="4"/>
        <v>16</v>
      </c>
      <c r="B143" s="50"/>
      <c r="G143" s="130"/>
      <c r="I143" s="119"/>
      <c r="J143" s="33">
        <f t="shared" si="5"/>
        <v>16</v>
      </c>
    </row>
    <row r="144" spans="1:10" x14ac:dyDescent="0.35">
      <c r="A144" s="33">
        <f t="shared" si="4"/>
        <v>17</v>
      </c>
      <c r="B144" s="40" t="s">
        <v>366</v>
      </c>
      <c r="G144" s="130"/>
      <c r="I144" s="119"/>
      <c r="J144" s="33">
        <f t="shared" si="5"/>
        <v>17</v>
      </c>
    </row>
    <row r="145" spans="1:10" x14ac:dyDescent="0.35">
      <c r="A145" s="33">
        <f t="shared" si="4"/>
        <v>18</v>
      </c>
      <c r="B145" s="34" t="str">
        <f>B97</f>
        <v xml:space="preserve">     A = Sum of Preferred Stock and Return on Equity Component</v>
      </c>
      <c r="G145" s="106">
        <f>G133</f>
        <v>0</v>
      </c>
      <c r="I145" s="45" t="s">
        <v>537</v>
      </c>
      <c r="J145" s="33">
        <f t="shared" si="5"/>
        <v>18</v>
      </c>
    </row>
    <row r="146" spans="1:10" x14ac:dyDescent="0.35">
      <c r="A146" s="33">
        <f t="shared" si="4"/>
        <v>19</v>
      </c>
      <c r="B146" s="34" t="str">
        <f>B98</f>
        <v xml:space="preserve">     B = Equity AFUDC Component of Transmission Depreciation Expense</v>
      </c>
      <c r="G146" s="134">
        <f>G135</f>
        <v>0</v>
      </c>
      <c r="I146" s="45" t="s">
        <v>538</v>
      </c>
      <c r="J146" s="33">
        <f t="shared" si="5"/>
        <v>19</v>
      </c>
    </row>
    <row r="147" spans="1:10" x14ac:dyDescent="0.35">
      <c r="A147" s="33">
        <f t="shared" si="4"/>
        <v>20</v>
      </c>
      <c r="B147" s="34" t="s">
        <v>397</v>
      </c>
      <c r="G147" s="134">
        <f>G136</f>
        <v>0</v>
      </c>
      <c r="I147" s="45" t="s">
        <v>539</v>
      </c>
      <c r="J147" s="33">
        <f t="shared" si="5"/>
        <v>20</v>
      </c>
    </row>
    <row r="148" spans="1:10" x14ac:dyDescent="0.35">
      <c r="A148" s="33">
        <f t="shared" si="4"/>
        <v>21</v>
      </c>
      <c r="B148" s="34" t="str">
        <f>B100</f>
        <v xml:space="preserve">     FT = Federal Income Tax Expense</v>
      </c>
      <c r="G148" s="136">
        <f>G139</f>
        <v>0</v>
      </c>
      <c r="I148" s="45" t="s">
        <v>540</v>
      </c>
      <c r="J148" s="33">
        <f t="shared" si="5"/>
        <v>21</v>
      </c>
    </row>
    <row r="149" spans="1:10" x14ac:dyDescent="0.35">
      <c r="A149" s="33">
        <f t="shared" si="4"/>
        <v>22</v>
      </c>
      <c r="B149" s="34" t="str">
        <f>B101</f>
        <v xml:space="preserve">     ST = State Income Tax Rate for Rate Effective Period</v>
      </c>
      <c r="G149" s="577">
        <f>G101</f>
        <v>8.8400000000000006E-2</v>
      </c>
      <c r="I149" s="45" t="s">
        <v>546</v>
      </c>
      <c r="J149" s="33">
        <f t="shared" si="5"/>
        <v>22</v>
      </c>
    </row>
    <row r="150" spans="1:10" x14ac:dyDescent="0.35">
      <c r="A150" s="33">
        <f t="shared" si="4"/>
        <v>23</v>
      </c>
      <c r="B150" s="506"/>
      <c r="G150" s="137"/>
      <c r="I150" s="133"/>
      <c r="J150" s="33">
        <f t="shared" si="5"/>
        <v>23</v>
      </c>
    </row>
    <row r="151" spans="1:10" x14ac:dyDescent="0.35">
      <c r="A151" s="33">
        <f t="shared" si="4"/>
        <v>24</v>
      </c>
      <c r="B151" s="34" t="s">
        <v>385</v>
      </c>
      <c r="G151" s="578">
        <f>IFERROR(((G145)+(G146/G147)+G139)*G149/(1-G149),0)</f>
        <v>0</v>
      </c>
      <c r="I151" s="45" t="s">
        <v>386</v>
      </c>
      <c r="J151" s="33">
        <f t="shared" si="5"/>
        <v>24</v>
      </c>
    </row>
    <row r="152" spans="1:10" x14ac:dyDescent="0.35">
      <c r="A152" s="33">
        <f t="shared" si="4"/>
        <v>25</v>
      </c>
      <c r="B152" s="129" t="s">
        <v>387</v>
      </c>
      <c r="G152" s="33"/>
      <c r="I152" s="45"/>
      <c r="J152" s="33">
        <f t="shared" si="5"/>
        <v>25</v>
      </c>
    </row>
    <row r="153" spans="1:10" x14ac:dyDescent="0.35">
      <c r="A153" s="33">
        <f t="shared" si="4"/>
        <v>26</v>
      </c>
      <c r="G153" s="33"/>
      <c r="I153" s="45"/>
      <c r="J153" s="33">
        <f t="shared" si="5"/>
        <v>26</v>
      </c>
    </row>
    <row r="154" spans="1:10" x14ac:dyDescent="0.35">
      <c r="A154" s="33">
        <f t="shared" si="4"/>
        <v>27</v>
      </c>
      <c r="B154" s="38" t="s">
        <v>388</v>
      </c>
      <c r="G154" s="127">
        <f>G151+G139</f>
        <v>0</v>
      </c>
      <c r="I154" s="45" t="s">
        <v>541</v>
      </c>
      <c r="J154" s="33">
        <f t="shared" si="5"/>
        <v>27</v>
      </c>
    </row>
    <row r="155" spans="1:10" x14ac:dyDescent="0.35">
      <c r="A155" s="33">
        <f t="shared" si="4"/>
        <v>28</v>
      </c>
      <c r="G155" s="33"/>
      <c r="I155" s="45"/>
      <c r="J155" s="33">
        <f t="shared" si="5"/>
        <v>28</v>
      </c>
    </row>
    <row r="156" spans="1:10" x14ac:dyDescent="0.35">
      <c r="A156" s="33">
        <f t="shared" si="4"/>
        <v>29</v>
      </c>
      <c r="B156" s="38" t="s">
        <v>398</v>
      </c>
      <c r="G156" s="579">
        <f>G63</f>
        <v>0</v>
      </c>
      <c r="I156" s="45" t="s">
        <v>547</v>
      </c>
      <c r="J156" s="33">
        <f t="shared" si="5"/>
        <v>29</v>
      </c>
    </row>
    <row r="157" spans="1:10" x14ac:dyDescent="0.35">
      <c r="A157" s="33">
        <f t="shared" si="4"/>
        <v>30</v>
      </c>
      <c r="G157" s="33"/>
      <c r="I157" s="45"/>
      <c r="J157" s="33">
        <f t="shared" si="5"/>
        <v>30</v>
      </c>
    </row>
    <row r="158" spans="1:10" ht="18" thickBot="1" x14ac:dyDescent="0.4">
      <c r="A158" s="33">
        <f t="shared" si="4"/>
        <v>31</v>
      </c>
      <c r="B158" s="38" t="s">
        <v>399</v>
      </c>
      <c r="G158" s="145">
        <f>G154+G156</f>
        <v>0</v>
      </c>
      <c r="I158" s="45" t="s">
        <v>543</v>
      </c>
      <c r="J158" s="33">
        <f t="shared" si="5"/>
        <v>31</v>
      </c>
    </row>
    <row r="159" spans="1:10" ht="16" thickTop="1" x14ac:dyDescent="0.35"/>
    <row r="161" spans="1:2" ht="18" x14ac:dyDescent="0.35">
      <c r="A161" s="64"/>
      <c r="B161" s="17"/>
    </row>
  </sheetData>
  <mergeCells count="15">
    <mergeCell ref="B2:I2"/>
    <mergeCell ref="B3:I3"/>
    <mergeCell ref="B4:I4"/>
    <mergeCell ref="B5:I5"/>
    <mergeCell ref="B6:I6"/>
    <mergeCell ref="B121:I121"/>
    <mergeCell ref="B122:I122"/>
    <mergeCell ref="B123:I123"/>
    <mergeCell ref="B71:I71"/>
    <mergeCell ref="B72:I72"/>
    <mergeCell ref="B73:I73"/>
    <mergeCell ref="B75:I75"/>
    <mergeCell ref="B119:I119"/>
    <mergeCell ref="B120:I120"/>
    <mergeCell ref="B74:I74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Roman,Bold"&amp;7REVISED</oddHeader>
    <oddFooter>&amp;L&amp;F&amp;CPage 11.&amp;P&amp;R&amp;A</oddFooter>
  </headerFooter>
  <rowBreaks count="2" manualBreakCount="2">
    <brk id="69" max="16383" man="1"/>
    <brk id="117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59"/>
  <sheetViews>
    <sheetView zoomScale="80" zoomScaleNormal="80" workbookViewId="0"/>
  </sheetViews>
  <sheetFormatPr defaultColWidth="8.90625" defaultRowHeight="15.5" x14ac:dyDescent="0.35"/>
  <cols>
    <col min="1" max="1" width="5.36328125" style="33" customWidth="1"/>
    <col min="2" max="2" width="55.453125" style="34" customWidth="1"/>
    <col min="3" max="5" width="15.54296875" style="34" customWidth="1"/>
    <col min="6" max="6" width="1.54296875" style="34" customWidth="1"/>
    <col min="7" max="7" width="16.90625" style="34" customWidth="1"/>
    <col min="8" max="8" width="1.54296875" style="34" customWidth="1"/>
    <col min="9" max="9" width="38.6328125" style="91" customWidth="1"/>
    <col min="10" max="10" width="5.36328125" style="34" customWidth="1"/>
    <col min="11" max="11" width="27" style="34" bestFit="1" customWidth="1"/>
    <col min="12" max="12" width="15" style="34" bestFit="1" customWidth="1"/>
    <col min="13" max="13" width="10.453125" style="34" bestFit="1" customWidth="1"/>
    <col min="14" max="16384" width="8.90625" style="34"/>
  </cols>
  <sheetData>
    <row r="1" spans="1:10" x14ac:dyDescent="0.35">
      <c r="A1" s="554" t="s">
        <v>630</v>
      </c>
    </row>
    <row r="2" spans="1:10" x14ac:dyDescent="0.35">
      <c r="A2" s="296"/>
      <c r="G2" s="60"/>
      <c r="H2" s="60"/>
      <c r="I2" s="115"/>
      <c r="J2" s="33"/>
    </row>
    <row r="3" spans="1:10" x14ac:dyDescent="0.35">
      <c r="B3" s="906" t="s">
        <v>315</v>
      </c>
      <c r="C3" s="906"/>
      <c r="D3" s="906"/>
      <c r="E3" s="906"/>
      <c r="F3" s="906"/>
      <c r="G3" s="906"/>
      <c r="H3" s="906"/>
      <c r="I3" s="906"/>
      <c r="J3" s="33"/>
    </row>
    <row r="4" spans="1:10" x14ac:dyDescent="0.35">
      <c r="B4" s="906" t="s">
        <v>316</v>
      </c>
      <c r="C4" s="906"/>
      <c r="D4" s="906"/>
      <c r="E4" s="906"/>
      <c r="F4" s="906"/>
      <c r="G4" s="906"/>
      <c r="H4" s="906"/>
      <c r="I4" s="906"/>
      <c r="J4" s="33"/>
    </row>
    <row r="5" spans="1:10" x14ac:dyDescent="0.35">
      <c r="B5" s="906" t="s">
        <v>317</v>
      </c>
      <c r="C5" s="906"/>
      <c r="D5" s="906"/>
      <c r="E5" s="906"/>
      <c r="F5" s="906"/>
      <c r="G5" s="906"/>
      <c r="H5" s="906"/>
      <c r="I5" s="906"/>
      <c r="J5" s="33"/>
    </row>
    <row r="6" spans="1:10" x14ac:dyDescent="0.35">
      <c r="B6" s="907" t="s">
        <v>596</v>
      </c>
      <c r="C6" s="907"/>
      <c r="D6" s="907"/>
      <c r="E6" s="907"/>
      <c r="F6" s="907"/>
      <c r="G6" s="907"/>
      <c r="H6" s="907"/>
      <c r="I6" s="907"/>
      <c r="J6" s="33"/>
    </row>
    <row r="7" spans="1:10" x14ac:dyDescent="0.35">
      <c r="B7" s="904" t="s">
        <v>2</v>
      </c>
      <c r="C7" s="908"/>
      <c r="D7" s="908"/>
      <c r="E7" s="908"/>
      <c r="F7" s="908"/>
      <c r="G7" s="908"/>
      <c r="H7" s="908"/>
      <c r="I7" s="908"/>
      <c r="J7" s="33"/>
    </row>
    <row r="8" spans="1:10" x14ac:dyDescent="0.35">
      <c r="B8" s="33"/>
      <c r="C8" s="33"/>
      <c r="D8" s="33"/>
      <c r="E8" s="33"/>
      <c r="F8" s="33"/>
      <c r="G8" s="33"/>
      <c r="H8" s="33"/>
      <c r="I8" s="45"/>
      <c r="J8" s="33"/>
    </row>
    <row r="9" spans="1:10" x14ac:dyDescent="0.35">
      <c r="A9" s="33" t="s">
        <v>3</v>
      </c>
      <c r="B9" s="308"/>
      <c r="C9" s="308"/>
      <c r="D9" s="308"/>
      <c r="E9" s="33" t="s">
        <v>182</v>
      </c>
      <c r="F9" s="308"/>
      <c r="G9" s="308"/>
      <c r="H9" s="308"/>
      <c r="I9" s="45"/>
      <c r="J9" s="33" t="s">
        <v>3</v>
      </c>
    </row>
    <row r="10" spans="1:10" x14ac:dyDescent="0.35">
      <c r="A10" s="33" t="s">
        <v>4</v>
      </c>
      <c r="B10" s="33"/>
      <c r="C10" s="33"/>
      <c r="D10" s="33"/>
      <c r="E10" s="555" t="s">
        <v>183</v>
      </c>
      <c r="F10" s="33"/>
      <c r="G10" s="556" t="s">
        <v>6</v>
      </c>
      <c r="H10" s="308"/>
      <c r="I10" s="568" t="s">
        <v>7</v>
      </c>
      <c r="J10" s="33" t="s">
        <v>4</v>
      </c>
    </row>
    <row r="11" spans="1:10" x14ac:dyDescent="0.35">
      <c r="B11" s="33"/>
      <c r="C11" s="33"/>
      <c r="D11" s="33"/>
      <c r="E11" s="33"/>
      <c r="F11" s="33"/>
      <c r="G11" s="33"/>
      <c r="H11" s="33"/>
      <c r="I11" s="45"/>
      <c r="J11" s="33"/>
    </row>
    <row r="12" spans="1:10" x14ac:dyDescent="0.35">
      <c r="A12" s="33">
        <v>1</v>
      </c>
      <c r="B12" s="38" t="s">
        <v>318</v>
      </c>
      <c r="I12" s="45"/>
      <c r="J12" s="33">
        <f>A12</f>
        <v>1</v>
      </c>
    </row>
    <row r="13" spans="1:10" x14ac:dyDescent="0.35">
      <c r="A13" s="33">
        <f>A12+1</f>
        <v>2</v>
      </c>
      <c r="B13" s="34" t="s">
        <v>319</v>
      </c>
      <c r="E13" s="33" t="s">
        <v>508</v>
      </c>
      <c r="G13" s="92">
        <v>7400000</v>
      </c>
      <c r="H13" s="308"/>
      <c r="I13" s="95"/>
      <c r="J13" s="33">
        <f>J12+1</f>
        <v>2</v>
      </c>
    </row>
    <row r="14" spans="1:10" x14ac:dyDescent="0.35">
      <c r="A14" s="33">
        <f t="shared" ref="A14:A66" si="0">A13+1</f>
        <v>3</v>
      </c>
      <c r="B14" s="34" t="s">
        <v>320</v>
      </c>
      <c r="E14" s="33" t="s">
        <v>509</v>
      </c>
      <c r="G14" s="93">
        <v>0</v>
      </c>
      <c r="H14" s="308"/>
      <c r="I14" s="95"/>
      <c r="J14" s="33">
        <f t="shared" ref="J14:J66" si="1">J13+1</f>
        <v>3</v>
      </c>
    </row>
    <row r="15" spans="1:10" x14ac:dyDescent="0.35">
      <c r="A15" s="33">
        <f t="shared" si="0"/>
        <v>4</v>
      </c>
      <c r="B15" s="34" t="s">
        <v>321</v>
      </c>
      <c r="E15" s="33" t="s">
        <v>510</v>
      </c>
      <c r="G15" s="93">
        <v>400000</v>
      </c>
      <c r="H15" s="308"/>
      <c r="I15" s="95"/>
      <c r="J15" s="33">
        <f t="shared" si="1"/>
        <v>4</v>
      </c>
    </row>
    <row r="16" spans="1:10" x14ac:dyDescent="0.35">
      <c r="A16" s="33">
        <f t="shared" si="0"/>
        <v>5</v>
      </c>
      <c r="B16" s="34" t="s">
        <v>322</v>
      </c>
      <c r="E16" s="33" t="s">
        <v>511</v>
      </c>
      <c r="G16" s="93">
        <v>0</v>
      </c>
      <c r="H16" s="308"/>
      <c r="I16" s="95"/>
      <c r="J16" s="33">
        <f t="shared" si="1"/>
        <v>5</v>
      </c>
    </row>
    <row r="17" spans="1:10" x14ac:dyDescent="0.35">
      <c r="A17" s="33">
        <f t="shared" si="0"/>
        <v>6</v>
      </c>
      <c r="B17" s="34" t="s">
        <v>323</v>
      </c>
      <c r="E17" s="33" t="s">
        <v>512</v>
      </c>
      <c r="G17" s="93">
        <v>-19901.434000000001</v>
      </c>
      <c r="H17" s="308"/>
      <c r="I17" s="95"/>
      <c r="J17" s="33">
        <f t="shared" si="1"/>
        <v>6</v>
      </c>
    </row>
    <row r="18" spans="1:10" x14ac:dyDescent="0.35">
      <c r="A18" s="33">
        <f t="shared" si="0"/>
        <v>7</v>
      </c>
      <c r="B18" s="34" t="s">
        <v>324</v>
      </c>
      <c r="G18" s="94">
        <f>SUM(G13:G17)</f>
        <v>7780098.5659999996</v>
      </c>
      <c r="H18" s="88"/>
      <c r="I18" s="45" t="s">
        <v>523</v>
      </c>
      <c r="J18" s="33">
        <f t="shared" si="1"/>
        <v>7</v>
      </c>
    </row>
    <row r="19" spans="1:10" x14ac:dyDescent="0.35">
      <c r="A19" s="33">
        <f t="shared" si="0"/>
        <v>8</v>
      </c>
      <c r="I19" s="45"/>
      <c r="J19" s="33">
        <f t="shared" si="1"/>
        <v>8</v>
      </c>
    </row>
    <row r="20" spans="1:10" x14ac:dyDescent="0.35">
      <c r="A20" s="33">
        <f t="shared" si="0"/>
        <v>9</v>
      </c>
      <c r="B20" s="38" t="s">
        <v>325</v>
      </c>
      <c r="G20" s="32"/>
      <c r="H20" s="32"/>
      <c r="I20" s="45"/>
      <c r="J20" s="33">
        <f t="shared" si="1"/>
        <v>9</v>
      </c>
    </row>
    <row r="21" spans="1:10" x14ac:dyDescent="0.35">
      <c r="A21" s="33">
        <f t="shared" si="0"/>
        <v>10</v>
      </c>
      <c r="B21" s="34" t="s">
        <v>326</v>
      </c>
      <c r="E21" s="33" t="s">
        <v>513</v>
      </c>
      <c r="G21" s="92">
        <v>279208.77100000001</v>
      </c>
      <c r="H21" s="308"/>
      <c r="I21" s="95"/>
      <c r="J21" s="33">
        <f t="shared" si="1"/>
        <v>10</v>
      </c>
    </row>
    <row r="22" spans="1:10" x14ac:dyDescent="0.35">
      <c r="A22" s="33">
        <f t="shared" si="0"/>
        <v>11</v>
      </c>
      <c r="B22" s="34" t="s">
        <v>327</v>
      </c>
      <c r="E22" s="33" t="s">
        <v>514</v>
      </c>
      <c r="G22" s="93">
        <v>4856.66</v>
      </c>
      <c r="H22" s="308"/>
      <c r="I22" s="95"/>
      <c r="J22" s="33">
        <f t="shared" si="1"/>
        <v>11</v>
      </c>
    </row>
    <row r="23" spans="1:10" x14ac:dyDescent="0.35">
      <c r="A23" s="33">
        <f t="shared" si="0"/>
        <v>12</v>
      </c>
      <c r="B23" s="34" t="s">
        <v>328</v>
      </c>
      <c r="E23" s="33" t="s">
        <v>515</v>
      </c>
      <c r="G23" s="93">
        <v>771.90899999999999</v>
      </c>
      <c r="H23" s="308"/>
      <c r="I23" s="95"/>
      <c r="J23" s="33">
        <f t="shared" si="1"/>
        <v>12</v>
      </c>
    </row>
    <row r="24" spans="1:10" x14ac:dyDescent="0.35">
      <c r="A24" s="33">
        <f t="shared" si="0"/>
        <v>13</v>
      </c>
      <c r="B24" s="34" t="s">
        <v>329</v>
      </c>
      <c r="E24" s="33" t="s">
        <v>516</v>
      </c>
      <c r="G24" s="93">
        <v>0</v>
      </c>
      <c r="H24" s="308"/>
      <c r="I24" s="95"/>
      <c r="J24" s="33">
        <f t="shared" si="1"/>
        <v>13</v>
      </c>
    </row>
    <row r="25" spans="1:10" x14ac:dyDescent="0.35">
      <c r="A25" s="33">
        <f t="shared" si="0"/>
        <v>14</v>
      </c>
      <c r="B25" s="34" t="s">
        <v>330</v>
      </c>
      <c r="E25" s="33" t="s">
        <v>517</v>
      </c>
      <c r="G25" s="93">
        <v>0</v>
      </c>
      <c r="H25" s="308"/>
      <c r="I25" s="95"/>
      <c r="J25" s="33">
        <f t="shared" si="1"/>
        <v>14</v>
      </c>
    </row>
    <row r="26" spans="1:10" x14ac:dyDescent="0.35">
      <c r="A26" s="33">
        <f t="shared" si="0"/>
        <v>15</v>
      </c>
      <c r="B26" s="34" t="s">
        <v>331</v>
      </c>
      <c r="G26" s="96">
        <f>SUM(G21:G25)</f>
        <v>284837.33999999997</v>
      </c>
      <c r="H26" s="97"/>
      <c r="I26" s="45" t="s">
        <v>524</v>
      </c>
      <c r="J26" s="33">
        <f t="shared" si="1"/>
        <v>15</v>
      </c>
    </row>
    <row r="27" spans="1:10" x14ac:dyDescent="0.35">
      <c r="A27" s="33">
        <f t="shared" si="0"/>
        <v>16</v>
      </c>
      <c r="I27" s="45"/>
      <c r="J27" s="33">
        <f t="shared" si="1"/>
        <v>16</v>
      </c>
    </row>
    <row r="28" spans="1:10" ht="16" thickBot="1" x14ac:dyDescent="0.4">
      <c r="A28" s="33">
        <f t="shared" si="0"/>
        <v>17</v>
      </c>
      <c r="B28" s="38" t="s">
        <v>332</v>
      </c>
      <c r="G28" s="98">
        <f>G26/G18</f>
        <v>3.6611019459930061E-2</v>
      </c>
      <c r="H28" s="99"/>
      <c r="I28" s="45" t="s">
        <v>525</v>
      </c>
      <c r="J28" s="33">
        <f t="shared" si="1"/>
        <v>17</v>
      </c>
    </row>
    <row r="29" spans="1:10" ht="16" thickTop="1" x14ac:dyDescent="0.35">
      <c r="A29" s="33">
        <f t="shared" si="0"/>
        <v>18</v>
      </c>
      <c r="I29" s="45"/>
      <c r="J29" s="33">
        <f t="shared" si="1"/>
        <v>18</v>
      </c>
    </row>
    <row r="30" spans="1:10" x14ac:dyDescent="0.35">
      <c r="A30" s="33">
        <f t="shared" si="0"/>
        <v>19</v>
      </c>
      <c r="B30" s="38" t="s">
        <v>333</v>
      </c>
      <c r="I30" s="45"/>
      <c r="J30" s="33">
        <f t="shared" si="1"/>
        <v>19</v>
      </c>
    </row>
    <row r="31" spans="1:10" x14ac:dyDescent="0.35">
      <c r="A31" s="33">
        <f t="shared" si="0"/>
        <v>20</v>
      </c>
      <c r="B31" s="34" t="s">
        <v>334</v>
      </c>
      <c r="E31" s="33" t="s">
        <v>518</v>
      </c>
      <c r="G31" s="92">
        <v>0</v>
      </c>
      <c r="H31" s="308"/>
      <c r="I31" s="95"/>
      <c r="J31" s="33">
        <f t="shared" si="1"/>
        <v>20</v>
      </c>
    </row>
    <row r="32" spans="1:10" x14ac:dyDescent="0.35">
      <c r="A32" s="33">
        <f t="shared" si="0"/>
        <v>21</v>
      </c>
      <c r="B32" s="34" t="s">
        <v>335</v>
      </c>
      <c r="E32" s="33" t="s">
        <v>519</v>
      </c>
      <c r="G32" s="569">
        <v>0</v>
      </c>
      <c r="H32" s="308"/>
      <c r="I32" s="95"/>
      <c r="J32" s="33">
        <f t="shared" si="1"/>
        <v>21</v>
      </c>
    </row>
    <row r="33" spans="1:12" ht="16" thickBot="1" x14ac:dyDescent="0.4">
      <c r="A33" s="33">
        <f t="shared" si="0"/>
        <v>22</v>
      </c>
      <c r="B33" s="34" t="s">
        <v>336</v>
      </c>
      <c r="G33" s="98">
        <f>IFERROR((G32/G31),0)</f>
        <v>0</v>
      </c>
      <c r="H33" s="99"/>
      <c r="I33" s="45" t="s">
        <v>526</v>
      </c>
      <c r="J33" s="33">
        <f t="shared" si="1"/>
        <v>22</v>
      </c>
    </row>
    <row r="34" spans="1:12" ht="16" thickTop="1" x14ac:dyDescent="0.35">
      <c r="A34" s="33">
        <f t="shared" si="0"/>
        <v>23</v>
      </c>
      <c r="I34" s="45"/>
      <c r="J34" s="33">
        <f t="shared" si="1"/>
        <v>23</v>
      </c>
    </row>
    <row r="35" spans="1:12" x14ac:dyDescent="0.35">
      <c r="A35" s="33">
        <f t="shared" si="0"/>
        <v>24</v>
      </c>
      <c r="B35" s="38" t="s">
        <v>337</v>
      </c>
      <c r="I35" s="45"/>
      <c r="J35" s="33">
        <f t="shared" si="1"/>
        <v>24</v>
      </c>
    </row>
    <row r="36" spans="1:12" x14ac:dyDescent="0.35">
      <c r="A36" s="33">
        <f t="shared" si="0"/>
        <v>25</v>
      </c>
      <c r="B36" s="34" t="s">
        <v>338</v>
      </c>
      <c r="E36" s="33" t="s">
        <v>520</v>
      </c>
      <c r="G36" s="92">
        <v>9066194.9820000008</v>
      </c>
      <c r="H36" s="308"/>
      <c r="I36" s="95"/>
      <c r="J36" s="33">
        <f t="shared" si="1"/>
        <v>25</v>
      </c>
      <c r="K36" s="41"/>
      <c r="L36" s="297"/>
    </row>
    <row r="37" spans="1:12" x14ac:dyDescent="0.35">
      <c r="A37" s="33">
        <f t="shared" si="0"/>
        <v>26</v>
      </c>
      <c r="B37" s="34" t="s">
        <v>339</v>
      </c>
      <c r="E37" s="33" t="s">
        <v>518</v>
      </c>
      <c r="G37" s="100">
        <v>0</v>
      </c>
      <c r="H37" s="100"/>
      <c r="I37" s="45" t="s">
        <v>527</v>
      </c>
      <c r="J37" s="33">
        <f t="shared" si="1"/>
        <v>26</v>
      </c>
    </row>
    <row r="38" spans="1:12" x14ac:dyDescent="0.35">
      <c r="A38" s="33">
        <f t="shared" si="0"/>
        <v>27</v>
      </c>
      <c r="B38" s="34" t="s">
        <v>340</v>
      </c>
      <c r="E38" s="33" t="s">
        <v>521</v>
      </c>
      <c r="G38" s="93">
        <v>0</v>
      </c>
      <c r="H38" s="308"/>
      <c r="I38" s="95"/>
      <c r="J38" s="33">
        <f t="shared" si="1"/>
        <v>27</v>
      </c>
    </row>
    <row r="39" spans="1:12" x14ac:dyDescent="0.35">
      <c r="A39" s="33">
        <f t="shared" si="0"/>
        <v>28</v>
      </c>
      <c r="B39" s="34" t="s">
        <v>341</v>
      </c>
      <c r="E39" s="33" t="s">
        <v>522</v>
      </c>
      <c r="G39" s="93">
        <v>7252.9960000000001</v>
      </c>
      <c r="H39" s="308"/>
      <c r="I39" s="95"/>
      <c r="J39" s="33">
        <f t="shared" si="1"/>
        <v>28</v>
      </c>
    </row>
    <row r="40" spans="1:12" ht="16" thickBot="1" x14ac:dyDescent="0.4">
      <c r="A40" s="33">
        <f t="shared" si="0"/>
        <v>29</v>
      </c>
      <c r="B40" s="34" t="s">
        <v>342</v>
      </c>
      <c r="G40" s="101">
        <f>SUM(G36:G39)</f>
        <v>9073447.9780000001</v>
      </c>
      <c r="H40" s="102"/>
      <c r="I40" s="45" t="s">
        <v>528</v>
      </c>
      <c r="J40" s="33">
        <f t="shared" si="1"/>
        <v>29</v>
      </c>
    </row>
    <row r="41" spans="1:12" ht="16.5" thickTop="1" thickBot="1" x14ac:dyDescent="0.4">
      <c r="A41" s="103">
        <f t="shared" si="0"/>
        <v>30</v>
      </c>
      <c r="B41" s="77"/>
      <c r="C41" s="77"/>
      <c r="D41" s="77"/>
      <c r="E41" s="77"/>
      <c r="F41" s="77"/>
      <c r="G41" s="77"/>
      <c r="H41" s="77"/>
      <c r="I41" s="104"/>
      <c r="J41" s="103">
        <f t="shared" si="1"/>
        <v>30</v>
      </c>
    </row>
    <row r="42" spans="1:12" x14ac:dyDescent="0.35">
      <c r="A42" s="33">
        <f>A41+1</f>
        <v>31</v>
      </c>
      <c r="I42" s="45"/>
      <c r="J42" s="33">
        <f>J41+1</f>
        <v>31</v>
      </c>
    </row>
    <row r="43" spans="1:12" ht="16" thickBot="1" x14ac:dyDescent="0.4">
      <c r="A43" s="33">
        <f>A42+1</f>
        <v>32</v>
      </c>
      <c r="B43" s="38" t="s">
        <v>343</v>
      </c>
      <c r="G43" s="105">
        <v>0.106</v>
      </c>
      <c r="H43" s="308"/>
      <c r="I43" s="33" t="s">
        <v>344</v>
      </c>
      <c r="J43" s="33">
        <f>J42+1</f>
        <v>32</v>
      </c>
    </row>
    <row r="44" spans="1:12" ht="16" thickTop="1" x14ac:dyDescent="0.35">
      <c r="A44" s="33">
        <f t="shared" si="0"/>
        <v>33</v>
      </c>
      <c r="C44" s="65" t="s">
        <v>254</v>
      </c>
      <c r="D44" s="65" t="s">
        <v>255</v>
      </c>
      <c r="E44" s="65" t="s">
        <v>345</v>
      </c>
      <c r="F44" s="65"/>
      <c r="G44" s="65" t="s">
        <v>346</v>
      </c>
      <c r="H44" s="65"/>
      <c r="I44" s="45"/>
      <c r="J44" s="33">
        <f t="shared" si="1"/>
        <v>33</v>
      </c>
    </row>
    <row r="45" spans="1:12" x14ac:dyDescent="0.35">
      <c r="A45" s="33">
        <f t="shared" si="0"/>
        <v>34</v>
      </c>
      <c r="D45" s="33" t="s">
        <v>347</v>
      </c>
      <c r="E45" s="33" t="s">
        <v>348</v>
      </c>
      <c r="F45" s="33"/>
      <c r="G45" s="33" t="s">
        <v>349</v>
      </c>
      <c r="H45" s="33"/>
      <c r="I45" s="45"/>
      <c r="J45" s="33">
        <f t="shared" si="1"/>
        <v>34</v>
      </c>
    </row>
    <row r="46" spans="1:12" ht="18" x14ac:dyDescent="0.35">
      <c r="A46" s="33">
        <f t="shared" si="0"/>
        <v>35</v>
      </c>
      <c r="B46" s="38" t="s">
        <v>350</v>
      </c>
      <c r="C46" s="555" t="s">
        <v>351</v>
      </c>
      <c r="D46" s="555" t="s">
        <v>352</v>
      </c>
      <c r="E46" s="555" t="s">
        <v>353</v>
      </c>
      <c r="F46" s="555"/>
      <c r="G46" s="555" t="s">
        <v>354</v>
      </c>
      <c r="H46" s="33"/>
      <c r="I46" s="45"/>
      <c r="J46" s="33">
        <f t="shared" si="1"/>
        <v>35</v>
      </c>
    </row>
    <row r="47" spans="1:12" x14ac:dyDescent="0.35">
      <c r="A47" s="33">
        <f t="shared" si="0"/>
        <v>36</v>
      </c>
      <c r="I47" s="45"/>
      <c r="J47" s="33">
        <f t="shared" si="1"/>
        <v>36</v>
      </c>
    </row>
    <row r="48" spans="1:12" x14ac:dyDescent="0.35">
      <c r="A48" s="33">
        <f t="shared" si="0"/>
        <v>37</v>
      </c>
      <c r="B48" s="34" t="s">
        <v>355</v>
      </c>
      <c r="C48" s="57">
        <f>G18</f>
        <v>7780098.5659999996</v>
      </c>
      <c r="D48" s="106">
        <f>C48/C$51</f>
        <v>0.46162975523806166</v>
      </c>
      <c r="E48" s="107">
        <f>G28</f>
        <v>3.6611019459930061E-2</v>
      </c>
      <c r="G48" s="108">
        <f>D48*E48</f>
        <v>1.6900735952303427E-2</v>
      </c>
      <c r="H48" s="108"/>
      <c r="I48" s="45" t="s">
        <v>529</v>
      </c>
      <c r="J48" s="33">
        <f t="shared" si="1"/>
        <v>37</v>
      </c>
    </row>
    <row r="49" spans="1:10" x14ac:dyDescent="0.35">
      <c r="A49" s="33">
        <f t="shared" si="0"/>
        <v>38</v>
      </c>
      <c r="B49" s="34" t="s">
        <v>356</v>
      </c>
      <c r="C49" s="109">
        <f>G31</f>
        <v>0</v>
      </c>
      <c r="D49" s="106">
        <f>C49/C$51</f>
        <v>0</v>
      </c>
      <c r="E49" s="107">
        <f>G33</f>
        <v>0</v>
      </c>
      <c r="G49" s="108">
        <f>D49*E49</f>
        <v>0</v>
      </c>
      <c r="H49" s="108"/>
      <c r="I49" s="45" t="s">
        <v>530</v>
      </c>
      <c r="J49" s="33">
        <f t="shared" si="1"/>
        <v>38</v>
      </c>
    </row>
    <row r="50" spans="1:10" x14ac:dyDescent="0.35">
      <c r="A50" s="33">
        <f t="shared" si="0"/>
        <v>39</v>
      </c>
      <c r="B50" s="34" t="s">
        <v>357</v>
      </c>
      <c r="C50" s="109">
        <f>G40</f>
        <v>9073447.9780000001</v>
      </c>
      <c r="D50" s="570">
        <f>C50/C$51</f>
        <v>0.5383702447619384</v>
      </c>
      <c r="E50" s="110">
        <f>G43</f>
        <v>0.106</v>
      </c>
      <c r="G50" s="571">
        <f>D50*E50</f>
        <v>5.706724594476547E-2</v>
      </c>
      <c r="H50" s="99"/>
      <c r="I50" s="45" t="s">
        <v>531</v>
      </c>
      <c r="J50" s="33">
        <f t="shared" si="1"/>
        <v>39</v>
      </c>
    </row>
    <row r="51" spans="1:10" ht="16" thickBot="1" x14ac:dyDescent="0.4">
      <c r="A51" s="33">
        <f t="shared" si="0"/>
        <v>40</v>
      </c>
      <c r="B51" s="34" t="s">
        <v>358</v>
      </c>
      <c r="C51" s="111">
        <f>SUM(C48:C50)</f>
        <v>16853546.544</v>
      </c>
      <c r="D51" s="112">
        <f>SUM(D48:D50)</f>
        <v>1</v>
      </c>
      <c r="G51" s="98">
        <f>SUM(G48:G50)</f>
        <v>7.3967981897068893E-2</v>
      </c>
      <c r="H51" s="99"/>
      <c r="I51" s="45" t="s">
        <v>532</v>
      </c>
      <c r="J51" s="33">
        <f t="shared" si="1"/>
        <v>40</v>
      </c>
    </row>
    <row r="52" spans="1:10" ht="16" thickTop="1" x14ac:dyDescent="0.35">
      <c r="A52" s="33">
        <f t="shared" si="0"/>
        <v>41</v>
      </c>
      <c r="I52" s="45"/>
      <c r="J52" s="33">
        <f t="shared" si="1"/>
        <v>41</v>
      </c>
    </row>
    <row r="53" spans="1:10" ht="16" thickBot="1" x14ac:dyDescent="0.4">
      <c r="A53" s="33">
        <f t="shared" si="0"/>
        <v>42</v>
      </c>
      <c r="B53" s="38" t="s">
        <v>359</v>
      </c>
      <c r="G53" s="98">
        <f>G49+G50</f>
        <v>5.706724594476547E-2</v>
      </c>
      <c r="H53" s="99"/>
      <c r="I53" s="45" t="s">
        <v>533</v>
      </c>
      <c r="J53" s="33">
        <f t="shared" si="1"/>
        <v>42</v>
      </c>
    </row>
    <row r="54" spans="1:10" ht="16.5" thickTop="1" thickBot="1" x14ac:dyDescent="0.4">
      <c r="A54" s="103">
        <f t="shared" si="0"/>
        <v>43</v>
      </c>
      <c r="B54" s="116"/>
      <c r="C54" s="77"/>
      <c r="D54" s="77"/>
      <c r="E54" s="77"/>
      <c r="F54" s="77"/>
      <c r="G54" s="298"/>
      <c r="H54" s="298"/>
      <c r="I54" s="104"/>
      <c r="J54" s="103">
        <f t="shared" si="1"/>
        <v>43</v>
      </c>
    </row>
    <row r="55" spans="1:10" x14ac:dyDescent="0.35">
      <c r="A55" s="33">
        <f t="shared" si="0"/>
        <v>44</v>
      </c>
      <c r="B55" s="38"/>
      <c r="G55" s="110"/>
      <c r="H55" s="110"/>
      <c r="I55" s="45"/>
      <c r="J55" s="33">
        <f t="shared" si="1"/>
        <v>44</v>
      </c>
    </row>
    <row r="56" spans="1:10" ht="16" thickBot="1" x14ac:dyDescent="0.4">
      <c r="A56" s="33">
        <f t="shared" si="0"/>
        <v>45</v>
      </c>
      <c r="B56" s="38" t="s">
        <v>360</v>
      </c>
      <c r="G56" s="299">
        <v>0</v>
      </c>
      <c r="H56" s="110"/>
      <c r="I56" s="45" t="s">
        <v>232</v>
      </c>
      <c r="J56" s="33">
        <f t="shared" si="1"/>
        <v>45</v>
      </c>
    </row>
    <row r="57" spans="1:10" ht="16" thickTop="1" x14ac:dyDescent="0.35">
      <c r="A57" s="33">
        <f t="shared" si="0"/>
        <v>46</v>
      </c>
      <c r="C57" s="65" t="s">
        <v>254</v>
      </c>
      <c r="D57" s="65" t="s">
        <v>255</v>
      </c>
      <c r="E57" s="65" t="s">
        <v>345</v>
      </c>
      <c r="F57" s="65"/>
      <c r="G57" s="65" t="s">
        <v>346</v>
      </c>
      <c r="H57" s="110"/>
      <c r="I57" s="45"/>
      <c r="J57" s="33">
        <f t="shared" si="1"/>
        <v>46</v>
      </c>
    </row>
    <row r="58" spans="1:10" x14ac:dyDescent="0.35">
      <c r="A58" s="33">
        <f t="shared" si="0"/>
        <v>47</v>
      </c>
      <c r="D58" s="33" t="s">
        <v>347</v>
      </c>
      <c r="E58" s="33" t="s">
        <v>348</v>
      </c>
      <c r="F58" s="33"/>
      <c r="G58" s="33" t="s">
        <v>349</v>
      </c>
      <c r="H58" s="110"/>
      <c r="I58" s="45"/>
      <c r="J58" s="33">
        <f t="shared" si="1"/>
        <v>47</v>
      </c>
    </row>
    <row r="59" spans="1:10" ht="18" x14ac:dyDescent="0.35">
      <c r="A59" s="33">
        <f t="shared" si="0"/>
        <v>48</v>
      </c>
      <c r="B59" s="38" t="s">
        <v>361</v>
      </c>
      <c r="C59" s="555" t="s">
        <v>351</v>
      </c>
      <c r="D59" s="555" t="s">
        <v>352</v>
      </c>
      <c r="E59" s="555" t="s">
        <v>353</v>
      </c>
      <c r="F59" s="555"/>
      <c r="G59" s="555" t="s">
        <v>354</v>
      </c>
      <c r="H59" s="110"/>
      <c r="I59" s="45"/>
      <c r="J59" s="33">
        <f t="shared" si="1"/>
        <v>48</v>
      </c>
    </row>
    <row r="60" spans="1:10" x14ac:dyDescent="0.35">
      <c r="A60" s="33">
        <f t="shared" si="0"/>
        <v>49</v>
      </c>
      <c r="G60" s="110"/>
      <c r="H60" s="110"/>
      <c r="I60" s="45"/>
      <c r="J60" s="33">
        <f t="shared" si="1"/>
        <v>49</v>
      </c>
    </row>
    <row r="61" spans="1:10" x14ac:dyDescent="0.35">
      <c r="A61" s="33">
        <f t="shared" si="0"/>
        <v>50</v>
      </c>
      <c r="B61" s="34" t="s">
        <v>355</v>
      </c>
      <c r="C61" s="300">
        <v>0</v>
      </c>
      <c r="D61" s="301">
        <v>0</v>
      </c>
      <c r="E61" s="113">
        <v>0</v>
      </c>
      <c r="G61" s="108">
        <f>D61*E61</f>
        <v>0</v>
      </c>
      <c r="H61" s="110"/>
      <c r="I61" s="45" t="s">
        <v>232</v>
      </c>
      <c r="J61" s="33">
        <f t="shared" si="1"/>
        <v>50</v>
      </c>
    </row>
    <row r="62" spans="1:10" x14ac:dyDescent="0.35">
      <c r="A62" s="33">
        <f t="shared" si="0"/>
        <v>51</v>
      </c>
      <c r="B62" s="34" t="s">
        <v>356</v>
      </c>
      <c r="C62" s="302">
        <v>0</v>
      </c>
      <c r="D62" s="301">
        <v>0</v>
      </c>
      <c r="E62" s="113">
        <v>0</v>
      </c>
      <c r="G62" s="108">
        <f>D62*E62</f>
        <v>0</v>
      </c>
      <c r="H62" s="110"/>
      <c r="I62" s="45" t="s">
        <v>232</v>
      </c>
      <c r="J62" s="33">
        <f t="shared" si="1"/>
        <v>51</v>
      </c>
    </row>
    <row r="63" spans="1:10" x14ac:dyDescent="0.35">
      <c r="A63" s="33">
        <f t="shared" si="0"/>
        <v>52</v>
      </c>
      <c r="B63" s="34" t="s">
        <v>357</v>
      </c>
      <c r="C63" s="302">
        <v>0</v>
      </c>
      <c r="D63" s="572">
        <v>0</v>
      </c>
      <c r="E63" s="303">
        <v>0</v>
      </c>
      <c r="G63" s="571">
        <f>D63*E63</f>
        <v>0</v>
      </c>
      <c r="H63" s="110"/>
      <c r="I63" s="45" t="s">
        <v>232</v>
      </c>
      <c r="J63" s="33">
        <f t="shared" si="1"/>
        <v>52</v>
      </c>
    </row>
    <row r="64" spans="1:10" ht="16" thickBot="1" x14ac:dyDescent="0.4">
      <c r="A64" s="33">
        <f t="shared" si="0"/>
        <v>53</v>
      </c>
      <c r="B64" s="34" t="s">
        <v>358</v>
      </c>
      <c r="C64" s="111">
        <f>SUM(C61:C63)</f>
        <v>0</v>
      </c>
      <c r="D64" s="98">
        <f>SUM(D61:D63)</f>
        <v>0</v>
      </c>
      <c r="G64" s="98">
        <f>SUM(G61:G63)</f>
        <v>0</v>
      </c>
      <c r="H64" s="110"/>
      <c r="I64" s="45" t="s">
        <v>534</v>
      </c>
      <c r="J64" s="33">
        <f t="shared" si="1"/>
        <v>53</v>
      </c>
    </row>
    <row r="65" spans="1:10" ht="16" thickTop="1" x14ac:dyDescent="0.35">
      <c r="A65" s="33">
        <f t="shared" si="0"/>
        <v>54</v>
      </c>
      <c r="H65" s="110"/>
      <c r="I65" s="45"/>
      <c r="J65" s="33">
        <f t="shared" si="1"/>
        <v>54</v>
      </c>
    </row>
    <row r="66" spans="1:10" ht="16" thickBot="1" x14ac:dyDescent="0.4">
      <c r="A66" s="33">
        <f t="shared" si="0"/>
        <v>55</v>
      </c>
      <c r="B66" s="38" t="s">
        <v>362</v>
      </c>
      <c r="G66" s="98">
        <f>G62+G63</f>
        <v>0</v>
      </c>
      <c r="H66" s="110"/>
      <c r="I66" s="45" t="s">
        <v>535</v>
      </c>
      <c r="J66" s="33">
        <f t="shared" si="1"/>
        <v>55</v>
      </c>
    </row>
    <row r="67" spans="1:10" ht="16" thickTop="1" x14ac:dyDescent="0.35">
      <c r="B67" s="38"/>
      <c r="G67" s="110"/>
      <c r="H67" s="110"/>
      <c r="I67" s="45"/>
      <c r="J67" s="33"/>
    </row>
    <row r="68" spans="1:10" x14ac:dyDescent="0.35">
      <c r="B68" s="38"/>
      <c r="G68" s="110"/>
      <c r="H68" s="110"/>
      <c r="I68" s="45"/>
      <c r="J68" s="33"/>
    </row>
    <row r="69" spans="1:10" ht="18" x14ac:dyDescent="0.35">
      <c r="A69" s="64">
        <v>1</v>
      </c>
      <c r="B69" s="17" t="s">
        <v>363</v>
      </c>
      <c r="G69" s="60"/>
      <c r="H69" s="60"/>
      <c r="J69" s="33" t="s">
        <v>207</v>
      </c>
    </row>
    <row r="70" spans="1:10" ht="18" x14ac:dyDescent="0.35">
      <c r="A70" s="64"/>
      <c r="B70" s="17"/>
      <c r="G70" s="60"/>
      <c r="H70" s="60"/>
      <c r="J70" s="33"/>
    </row>
    <row r="71" spans="1:10" ht="18" x14ac:dyDescent="0.35">
      <c r="A71" s="64"/>
      <c r="B71" s="17"/>
      <c r="D71" s="33"/>
      <c r="G71" s="60"/>
      <c r="H71" s="60"/>
      <c r="J71" s="33"/>
    </row>
    <row r="72" spans="1:10" x14ac:dyDescent="0.35">
      <c r="B72" s="906" t="s">
        <v>315</v>
      </c>
      <c r="C72" s="906"/>
      <c r="D72" s="906"/>
      <c r="E72" s="906"/>
      <c r="F72" s="906"/>
      <c r="G72" s="906"/>
      <c r="H72" s="906"/>
      <c r="I72" s="906"/>
      <c r="J72" s="33"/>
    </row>
    <row r="73" spans="1:10" x14ac:dyDescent="0.35">
      <c r="B73" s="906" t="s">
        <v>316</v>
      </c>
      <c r="C73" s="906"/>
      <c r="D73" s="906"/>
      <c r="E73" s="906"/>
      <c r="F73" s="906"/>
      <c r="G73" s="906"/>
      <c r="H73" s="906"/>
      <c r="I73" s="906"/>
      <c r="J73" s="33"/>
    </row>
    <row r="74" spans="1:10" x14ac:dyDescent="0.35">
      <c r="B74" s="906" t="s">
        <v>317</v>
      </c>
      <c r="C74" s="906"/>
      <c r="D74" s="906"/>
      <c r="E74" s="906"/>
      <c r="F74" s="906"/>
      <c r="G74" s="906"/>
      <c r="H74" s="906"/>
      <c r="I74" s="906"/>
      <c r="J74" s="33"/>
    </row>
    <row r="75" spans="1:10" x14ac:dyDescent="0.35">
      <c r="B75" s="907" t="str">
        <f>B6</f>
        <v>Base Period &amp; True-Up Period 12 - Months Ending December 31, 2022</v>
      </c>
      <c r="C75" s="907"/>
      <c r="D75" s="907"/>
      <c r="E75" s="907"/>
      <c r="F75" s="907"/>
      <c r="G75" s="907"/>
      <c r="H75" s="907"/>
      <c r="I75" s="907"/>
      <c r="J75" s="33"/>
    </row>
    <row r="76" spans="1:10" x14ac:dyDescent="0.35">
      <c r="B76" s="904" t="s">
        <v>2</v>
      </c>
      <c r="C76" s="908"/>
      <c r="D76" s="908"/>
      <c r="E76" s="908"/>
      <c r="F76" s="908"/>
      <c r="G76" s="908"/>
      <c r="H76" s="908"/>
      <c r="I76" s="908"/>
      <c r="J76" s="33"/>
    </row>
    <row r="77" spans="1:10" x14ac:dyDescent="0.35">
      <c r="B77" s="33"/>
      <c r="C77" s="33"/>
      <c r="D77" s="33"/>
      <c r="E77" s="33"/>
      <c r="F77" s="33"/>
      <c r="G77" s="33"/>
      <c r="H77" s="33"/>
      <c r="I77" s="45"/>
      <c r="J77" s="33"/>
    </row>
    <row r="78" spans="1:10" x14ac:dyDescent="0.35">
      <c r="A78" s="33" t="s">
        <v>3</v>
      </c>
      <c r="B78" s="308"/>
      <c r="C78" s="308"/>
      <c r="D78" s="308"/>
      <c r="E78" s="308"/>
      <c r="F78" s="308"/>
      <c r="G78" s="308"/>
      <c r="H78" s="308"/>
      <c r="I78" s="45"/>
      <c r="J78" s="33" t="s">
        <v>3</v>
      </c>
    </row>
    <row r="79" spans="1:10" x14ac:dyDescent="0.35">
      <c r="A79" s="33" t="s">
        <v>4</v>
      </c>
      <c r="B79" s="33"/>
      <c r="C79" s="33"/>
      <c r="D79" s="33"/>
      <c r="E79" s="33"/>
      <c r="F79" s="33"/>
      <c r="G79" s="555" t="s">
        <v>6</v>
      </c>
      <c r="H79" s="308"/>
      <c r="I79" s="568" t="s">
        <v>7</v>
      </c>
      <c r="J79" s="33" t="s">
        <v>4</v>
      </c>
    </row>
    <row r="80" spans="1:10" x14ac:dyDescent="0.35">
      <c r="G80" s="33"/>
      <c r="H80" s="33"/>
      <c r="I80" s="45"/>
      <c r="J80" s="33"/>
    </row>
    <row r="81" spans="1:13" ht="17.5" x14ac:dyDescent="0.35">
      <c r="A81" s="33">
        <v>1</v>
      </c>
      <c r="B81" s="38" t="s">
        <v>364</v>
      </c>
      <c r="E81" s="308"/>
      <c r="F81" s="308"/>
      <c r="G81" s="117"/>
      <c r="H81" s="117"/>
      <c r="I81" s="45"/>
      <c r="J81" s="33">
        <v>1</v>
      </c>
    </row>
    <row r="82" spans="1:13" x14ac:dyDescent="0.35">
      <c r="A82" s="33">
        <f>A81+1</f>
        <v>2</v>
      </c>
      <c r="B82" s="118"/>
      <c r="E82" s="308"/>
      <c r="F82" s="308"/>
      <c r="G82" s="117"/>
      <c r="H82" s="117"/>
      <c r="I82" s="45"/>
      <c r="J82" s="33">
        <f>J81+1</f>
        <v>2</v>
      </c>
    </row>
    <row r="83" spans="1:13" x14ac:dyDescent="0.35">
      <c r="A83" s="33">
        <f>A82+1</f>
        <v>3</v>
      </c>
      <c r="B83" s="38" t="s">
        <v>365</v>
      </c>
      <c r="E83" s="308"/>
      <c r="F83" s="308"/>
      <c r="G83" s="117"/>
      <c r="H83" s="117"/>
      <c r="I83" s="45"/>
      <c r="J83" s="33">
        <f>J82+1</f>
        <v>3</v>
      </c>
    </row>
    <row r="84" spans="1:13" x14ac:dyDescent="0.35">
      <c r="A84" s="33">
        <f>A83+1</f>
        <v>4</v>
      </c>
      <c r="B84" s="308"/>
      <c r="C84" s="308"/>
      <c r="D84" s="308"/>
      <c r="E84" s="308"/>
      <c r="F84" s="308"/>
      <c r="G84" s="117"/>
      <c r="H84" s="117"/>
      <c r="I84" s="45"/>
      <c r="J84" s="33">
        <f>J83+1</f>
        <v>4</v>
      </c>
    </row>
    <row r="85" spans="1:13" x14ac:dyDescent="0.35">
      <c r="A85" s="33">
        <f t="shared" ref="A85:A111" si="2">A84+1</f>
        <v>5</v>
      </c>
      <c r="B85" s="40" t="s">
        <v>366</v>
      </c>
      <c r="C85" s="308"/>
      <c r="D85" s="308"/>
      <c r="E85" s="308"/>
      <c r="F85" s="308"/>
      <c r="G85" s="117"/>
      <c r="H85" s="117"/>
      <c r="I85" s="119"/>
      <c r="J85" s="33">
        <f t="shared" ref="J85:J111" si="3">J84+1</f>
        <v>5</v>
      </c>
    </row>
    <row r="86" spans="1:13" x14ac:dyDescent="0.35">
      <c r="A86" s="33">
        <f t="shared" si="2"/>
        <v>6</v>
      </c>
      <c r="B86" s="34" t="s">
        <v>367</v>
      </c>
      <c r="D86" s="308"/>
      <c r="E86" s="308"/>
      <c r="F86" s="308"/>
      <c r="G86" s="120">
        <f>G53</f>
        <v>5.706724594476547E-2</v>
      </c>
      <c r="H86" s="308"/>
      <c r="I86" s="45" t="s">
        <v>368</v>
      </c>
      <c r="J86" s="33">
        <f t="shared" si="3"/>
        <v>6</v>
      </c>
      <c r="L86" s="33"/>
    </row>
    <row r="87" spans="1:13" x14ac:dyDescent="0.35">
      <c r="A87" s="33">
        <f t="shared" si="2"/>
        <v>7</v>
      </c>
      <c r="B87" s="34" t="s">
        <v>369</v>
      </c>
      <c r="D87" s="308"/>
      <c r="E87" s="308"/>
      <c r="F87" s="308"/>
      <c r="G87" s="121">
        <v>3865.5825668843963</v>
      </c>
      <c r="H87" s="308"/>
      <c r="I87" s="45" t="s">
        <v>370</v>
      </c>
      <c r="J87" s="33">
        <f t="shared" si="3"/>
        <v>7</v>
      </c>
      <c r="L87" s="33"/>
    </row>
    <row r="88" spans="1:13" ht="18" x14ac:dyDescent="0.35">
      <c r="A88" s="33">
        <f t="shared" si="2"/>
        <v>8</v>
      </c>
      <c r="B88" s="34" t="s">
        <v>371</v>
      </c>
      <c r="D88" s="308"/>
      <c r="E88" s="308"/>
      <c r="F88" s="308"/>
      <c r="G88" s="122">
        <v>10188.034820000003</v>
      </c>
      <c r="H88" s="308"/>
      <c r="I88" s="115" t="s">
        <v>536</v>
      </c>
      <c r="J88" s="33">
        <f t="shared" si="3"/>
        <v>8</v>
      </c>
      <c r="L88" s="308"/>
    </row>
    <row r="89" spans="1:13" x14ac:dyDescent="0.35">
      <c r="A89" s="33">
        <f t="shared" si="2"/>
        <v>9</v>
      </c>
      <c r="B89" s="34" t="s">
        <v>372</v>
      </c>
      <c r="D89" s="308"/>
      <c r="E89" s="123"/>
      <c r="F89" s="308"/>
      <c r="G89" s="29">
        <v>4958246.809351502</v>
      </c>
      <c r="H89" s="308"/>
      <c r="I89" s="115" t="s">
        <v>373</v>
      </c>
      <c r="J89" s="33">
        <f t="shared" si="3"/>
        <v>9</v>
      </c>
    </row>
    <row r="90" spans="1:13" x14ac:dyDescent="0.35">
      <c r="A90" s="33">
        <f t="shared" si="2"/>
        <v>10</v>
      </c>
      <c r="B90" s="34" t="s">
        <v>374</v>
      </c>
      <c r="D90" s="125"/>
      <c r="E90" s="308"/>
      <c r="F90" s="308"/>
      <c r="G90" s="573">
        <v>0.21</v>
      </c>
      <c r="H90" s="308"/>
      <c r="I90" s="45" t="s">
        <v>375</v>
      </c>
      <c r="J90" s="33">
        <f t="shared" si="3"/>
        <v>10</v>
      </c>
      <c r="M90" s="126"/>
    </row>
    <row r="91" spans="1:13" x14ac:dyDescent="0.35">
      <c r="A91" s="33">
        <f t="shared" si="2"/>
        <v>11</v>
      </c>
      <c r="G91" s="33"/>
      <c r="H91" s="33"/>
      <c r="J91" s="33">
        <f t="shared" si="3"/>
        <v>11</v>
      </c>
    </row>
    <row r="92" spans="1:13" x14ac:dyDescent="0.35">
      <c r="A92" s="33">
        <f t="shared" si="2"/>
        <v>12</v>
      </c>
      <c r="B92" s="34" t="s">
        <v>376</v>
      </c>
      <c r="D92" s="308"/>
      <c r="E92" s="308"/>
      <c r="F92" s="308"/>
      <c r="G92" s="127">
        <f>(((G86)+(G88/G89))*G90-(G87/G89))/(1-G90)</f>
        <v>1.4729108255898913E-2</v>
      </c>
      <c r="H92" s="127"/>
      <c r="I92" s="45" t="s">
        <v>377</v>
      </c>
      <c r="J92" s="33">
        <f t="shared" si="3"/>
        <v>12</v>
      </c>
      <c r="M92" s="128"/>
    </row>
    <row r="93" spans="1:13" x14ac:dyDescent="0.35">
      <c r="A93" s="33">
        <f t="shared" si="2"/>
        <v>13</v>
      </c>
      <c r="B93" s="129" t="s">
        <v>378</v>
      </c>
      <c r="G93" s="33"/>
      <c r="H93" s="33"/>
      <c r="J93" s="33">
        <f t="shared" si="3"/>
        <v>13</v>
      </c>
    </row>
    <row r="94" spans="1:13" x14ac:dyDescent="0.35">
      <c r="A94" s="33">
        <f t="shared" si="2"/>
        <v>14</v>
      </c>
      <c r="G94" s="33"/>
      <c r="H94" s="33"/>
      <c r="J94" s="33">
        <f t="shared" si="3"/>
        <v>14</v>
      </c>
    </row>
    <row r="95" spans="1:13" x14ac:dyDescent="0.35">
      <c r="A95" s="33">
        <f t="shared" si="2"/>
        <v>15</v>
      </c>
      <c r="B95" s="38" t="s">
        <v>379</v>
      </c>
      <c r="C95" s="308"/>
      <c r="D95" s="308"/>
      <c r="E95" s="308"/>
      <c r="F95" s="308"/>
      <c r="G95" s="130"/>
      <c r="H95" s="130"/>
      <c r="I95" s="131"/>
      <c r="J95" s="33">
        <f t="shared" si="3"/>
        <v>15</v>
      </c>
      <c r="L95" s="132"/>
    </row>
    <row r="96" spans="1:13" x14ac:dyDescent="0.35">
      <c r="A96" s="33">
        <f t="shared" si="2"/>
        <v>16</v>
      </c>
      <c r="B96" s="50"/>
      <c r="C96" s="308"/>
      <c r="D96" s="308"/>
      <c r="E96" s="308"/>
      <c r="F96" s="308"/>
      <c r="G96" s="130"/>
      <c r="H96" s="130"/>
      <c r="I96" s="133"/>
      <c r="J96" s="33">
        <f t="shared" si="3"/>
        <v>16</v>
      </c>
      <c r="L96" s="308"/>
    </row>
    <row r="97" spans="1:13" x14ac:dyDescent="0.35">
      <c r="A97" s="33">
        <f t="shared" si="2"/>
        <v>17</v>
      </c>
      <c r="B97" s="40" t="s">
        <v>366</v>
      </c>
      <c r="C97" s="308"/>
      <c r="D97" s="308"/>
      <c r="E97" s="308"/>
      <c r="F97" s="308"/>
      <c r="G97" s="130"/>
      <c r="H97" s="130"/>
      <c r="I97" s="133"/>
      <c r="J97" s="33">
        <f t="shared" si="3"/>
        <v>17</v>
      </c>
      <c r="L97" s="308"/>
    </row>
    <row r="98" spans="1:13" x14ac:dyDescent="0.35">
      <c r="A98" s="33">
        <f t="shared" si="2"/>
        <v>18</v>
      </c>
      <c r="B98" s="34" t="s">
        <v>367</v>
      </c>
      <c r="D98" s="308"/>
      <c r="E98" s="308"/>
      <c r="F98" s="308"/>
      <c r="G98" s="106">
        <f>G86</f>
        <v>5.706724594476547E-2</v>
      </c>
      <c r="H98" s="106"/>
      <c r="I98" s="45" t="s">
        <v>537</v>
      </c>
      <c r="J98" s="33">
        <f t="shared" si="3"/>
        <v>18</v>
      </c>
      <c r="L98" s="33"/>
    </row>
    <row r="99" spans="1:13" x14ac:dyDescent="0.35">
      <c r="A99" s="33">
        <f t="shared" si="2"/>
        <v>19</v>
      </c>
      <c r="B99" s="34" t="s">
        <v>380</v>
      </c>
      <c r="D99" s="308"/>
      <c r="E99" s="308"/>
      <c r="F99" s="308"/>
      <c r="G99" s="134">
        <f>G88</f>
        <v>10188.034820000003</v>
      </c>
      <c r="H99" s="134"/>
      <c r="I99" s="45" t="s">
        <v>538</v>
      </c>
      <c r="J99" s="33">
        <f t="shared" si="3"/>
        <v>19</v>
      </c>
      <c r="L99" s="33"/>
    </row>
    <row r="100" spans="1:13" x14ac:dyDescent="0.35">
      <c r="A100" s="33">
        <f t="shared" si="2"/>
        <v>20</v>
      </c>
      <c r="B100" s="34" t="s">
        <v>381</v>
      </c>
      <c r="D100" s="308"/>
      <c r="E100" s="308"/>
      <c r="F100" s="308"/>
      <c r="G100" s="648">
        <f>G89</f>
        <v>4958246.809351502</v>
      </c>
      <c r="H100" s="648"/>
      <c r="I100" s="45" t="s">
        <v>539</v>
      </c>
      <c r="J100" s="33">
        <f t="shared" si="3"/>
        <v>20</v>
      </c>
      <c r="L100" s="33"/>
    </row>
    <row r="101" spans="1:13" x14ac:dyDescent="0.35">
      <c r="A101" s="33">
        <f t="shared" si="2"/>
        <v>21</v>
      </c>
      <c r="B101" s="34" t="s">
        <v>382</v>
      </c>
      <c r="D101" s="308"/>
      <c r="E101" s="308"/>
      <c r="F101" s="308"/>
      <c r="G101" s="136">
        <f>G92</f>
        <v>1.4729108255898913E-2</v>
      </c>
      <c r="H101" s="136"/>
      <c r="I101" s="45" t="s">
        <v>540</v>
      </c>
      <c r="J101" s="33">
        <f t="shared" si="3"/>
        <v>21</v>
      </c>
    </row>
    <row r="102" spans="1:13" x14ac:dyDescent="0.35">
      <c r="A102" s="33">
        <f t="shared" si="2"/>
        <v>22</v>
      </c>
      <c r="B102" s="34" t="s">
        <v>383</v>
      </c>
      <c r="D102" s="308"/>
      <c r="E102" s="308"/>
      <c r="F102" s="308"/>
      <c r="G102" s="574">
        <v>8.8400000000000006E-2</v>
      </c>
      <c r="H102" s="308"/>
      <c r="I102" s="45" t="s">
        <v>384</v>
      </c>
      <c r="J102" s="33">
        <f t="shared" si="3"/>
        <v>22</v>
      </c>
    </row>
    <row r="103" spans="1:13" x14ac:dyDescent="0.35">
      <c r="A103" s="33">
        <f t="shared" si="2"/>
        <v>23</v>
      </c>
      <c r="B103" s="506"/>
      <c r="D103" s="308"/>
      <c r="E103" s="308"/>
      <c r="F103" s="308"/>
      <c r="G103" s="137"/>
      <c r="H103" s="137"/>
      <c r="I103" s="133"/>
      <c r="J103" s="33">
        <f t="shared" si="3"/>
        <v>23</v>
      </c>
    </row>
    <row r="104" spans="1:13" x14ac:dyDescent="0.35">
      <c r="A104" s="33">
        <f t="shared" si="2"/>
        <v>24</v>
      </c>
      <c r="B104" s="34" t="s">
        <v>385</v>
      </c>
      <c r="C104" s="33"/>
      <c r="D104" s="33"/>
      <c r="E104" s="308"/>
      <c r="F104" s="308"/>
      <c r="G104" s="578">
        <f>((G98)+(G99/G100)+G92)*G102/(1-G102)</f>
        <v>7.1615170990820152E-3</v>
      </c>
      <c r="H104" s="138"/>
      <c r="I104" s="45" t="s">
        <v>386</v>
      </c>
      <c r="J104" s="33">
        <f t="shared" si="3"/>
        <v>24</v>
      </c>
    </row>
    <row r="105" spans="1:13" x14ac:dyDescent="0.35">
      <c r="A105" s="33">
        <f t="shared" si="2"/>
        <v>25</v>
      </c>
      <c r="B105" s="129" t="s">
        <v>387</v>
      </c>
      <c r="G105" s="33"/>
      <c r="H105" s="33"/>
      <c r="I105" s="45"/>
      <c r="J105" s="33">
        <f t="shared" si="3"/>
        <v>25</v>
      </c>
      <c r="L105" s="33"/>
    </row>
    <row r="106" spans="1:13" x14ac:dyDescent="0.35">
      <c r="A106" s="33">
        <f t="shared" si="2"/>
        <v>26</v>
      </c>
      <c r="G106" s="33"/>
      <c r="H106" s="33"/>
      <c r="I106" s="45"/>
      <c r="J106" s="33">
        <f t="shared" si="3"/>
        <v>26</v>
      </c>
      <c r="L106" s="33"/>
    </row>
    <row r="107" spans="1:13" x14ac:dyDescent="0.35">
      <c r="A107" s="33">
        <f t="shared" si="2"/>
        <v>27</v>
      </c>
      <c r="B107" s="38" t="s">
        <v>388</v>
      </c>
      <c r="G107" s="127">
        <f>G104+G92</f>
        <v>2.1890625354980927E-2</v>
      </c>
      <c r="H107" s="127"/>
      <c r="I107" s="45" t="s">
        <v>541</v>
      </c>
      <c r="J107" s="33">
        <f t="shared" si="3"/>
        <v>27</v>
      </c>
      <c r="L107" s="33"/>
    </row>
    <row r="108" spans="1:13" x14ac:dyDescent="0.35">
      <c r="A108" s="33">
        <f t="shared" si="2"/>
        <v>28</v>
      </c>
      <c r="G108" s="33"/>
      <c r="H108" s="33"/>
      <c r="I108" s="45"/>
      <c r="J108" s="33">
        <f t="shared" si="3"/>
        <v>28</v>
      </c>
      <c r="L108" s="33"/>
    </row>
    <row r="109" spans="1:13" x14ac:dyDescent="0.35">
      <c r="A109" s="33">
        <f t="shared" si="2"/>
        <v>29</v>
      </c>
      <c r="B109" s="38" t="s">
        <v>389</v>
      </c>
      <c r="G109" s="575">
        <f>G51</f>
        <v>7.3967981897068893E-2</v>
      </c>
      <c r="H109" s="308"/>
      <c r="I109" s="45" t="s">
        <v>542</v>
      </c>
      <c r="J109" s="33">
        <f t="shared" si="3"/>
        <v>29</v>
      </c>
      <c r="L109" s="33"/>
    </row>
    <row r="110" spans="1:13" x14ac:dyDescent="0.35">
      <c r="A110" s="33">
        <f t="shared" si="2"/>
        <v>30</v>
      </c>
      <c r="G110" s="106"/>
      <c r="H110" s="106"/>
      <c r="I110" s="45"/>
      <c r="J110" s="33">
        <f t="shared" si="3"/>
        <v>30</v>
      </c>
      <c r="L110" s="33"/>
    </row>
    <row r="111" spans="1:13" ht="18" thickBot="1" x14ac:dyDescent="0.4">
      <c r="A111" s="33">
        <f t="shared" si="2"/>
        <v>31</v>
      </c>
      <c r="B111" s="38" t="s">
        <v>390</v>
      </c>
      <c r="G111" s="139">
        <f>G107+G109</f>
        <v>9.5858607252049824E-2</v>
      </c>
      <c r="H111" s="138"/>
      <c r="I111" s="45" t="s">
        <v>543</v>
      </c>
      <c r="J111" s="33">
        <f t="shared" si="3"/>
        <v>31</v>
      </c>
      <c r="L111" s="140"/>
      <c r="M111" s="128"/>
    </row>
    <row r="112" spans="1:13" ht="16" thickTop="1" x14ac:dyDescent="0.35">
      <c r="B112" s="38"/>
      <c r="G112" s="142"/>
      <c r="H112" s="142"/>
      <c r="I112" s="45"/>
      <c r="J112" s="33"/>
      <c r="L112" s="140"/>
      <c r="M112" s="128"/>
    </row>
    <row r="113" spans="1:13" x14ac:dyDescent="0.35">
      <c r="B113" s="38"/>
      <c r="G113" s="142"/>
      <c r="H113" s="142"/>
      <c r="I113" s="45"/>
      <c r="J113" s="33"/>
      <c r="L113" s="140"/>
      <c r="M113" s="128"/>
    </row>
    <row r="114" spans="1:13" ht="18.5" x14ac:dyDescent="0.35">
      <c r="A114" s="304">
        <v>1</v>
      </c>
      <c r="B114" s="17" t="s">
        <v>391</v>
      </c>
      <c r="G114" s="142"/>
      <c r="H114" s="142"/>
      <c r="I114" s="45"/>
      <c r="J114" s="33"/>
      <c r="L114" s="140"/>
      <c r="M114" s="128"/>
    </row>
    <row r="115" spans="1:13" ht="18.5" x14ac:dyDescent="0.35">
      <c r="A115" s="304"/>
      <c r="B115" s="17"/>
      <c r="G115" s="142"/>
      <c r="H115" s="142"/>
      <c r="I115" s="45"/>
      <c r="J115" s="33"/>
      <c r="L115" s="140"/>
      <c r="M115" s="128"/>
    </row>
    <row r="116" spans="1:13" x14ac:dyDescent="0.35">
      <c r="A116" s="143"/>
      <c r="B116" s="506"/>
      <c r="C116" s="35"/>
      <c r="D116" s="35"/>
      <c r="E116" s="35"/>
      <c r="F116" s="35"/>
      <c r="G116" s="144"/>
      <c r="H116" s="144"/>
      <c r="I116" s="305"/>
      <c r="J116" s="33"/>
    </row>
    <row r="117" spans="1:13" x14ac:dyDescent="0.35">
      <c r="B117" s="906" t="s">
        <v>16</v>
      </c>
      <c r="C117" s="906"/>
      <c r="D117" s="906"/>
      <c r="E117" s="906"/>
      <c r="F117" s="906"/>
      <c r="G117" s="906"/>
      <c r="H117" s="906"/>
      <c r="I117" s="906"/>
    </row>
    <row r="118" spans="1:13" x14ac:dyDescent="0.35">
      <c r="B118" s="906" t="s">
        <v>316</v>
      </c>
      <c r="C118" s="906"/>
      <c r="D118" s="906"/>
      <c r="E118" s="906"/>
      <c r="F118" s="906"/>
      <c r="G118" s="906"/>
      <c r="H118" s="906"/>
      <c r="I118" s="906"/>
    </row>
    <row r="119" spans="1:13" x14ac:dyDescent="0.35">
      <c r="B119" s="906" t="s">
        <v>317</v>
      </c>
      <c r="C119" s="906"/>
      <c r="D119" s="906"/>
      <c r="E119" s="906"/>
      <c r="F119" s="906"/>
      <c r="G119" s="906"/>
      <c r="H119" s="906"/>
      <c r="I119" s="906"/>
    </row>
    <row r="120" spans="1:13" x14ac:dyDescent="0.35">
      <c r="B120" s="907" t="str">
        <f>B6</f>
        <v>Base Period &amp; True-Up Period 12 - Months Ending December 31, 2022</v>
      </c>
      <c r="C120" s="907"/>
      <c r="D120" s="907"/>
      <c r="E120" s="907"/>
      <c r="F120" s="907"/>
      <c r="G120" s="907"/>
      <c r="H120" s="907"/>
      <c r="I120" s="907"/>
    </row>
    <row r="121" spans="1:13" x14ac:dyDescent="0.35">
      <c r="B121" s="904" t="s">
        <v>2</v>
      </c>
      <c r="C121" s="908"/>
      <c r="D121" s="908"/>
      <c r="E121" s="908"/>
      <c r="F121" s="908"/>
      <c r="G121" s="908"/>
      <c r="H121" s="908"/>
      <c r="I121" s="908"/>
    </row>
    <row r="123" spans="1:13" x14ac:dyDescent="0.35">
      <c r="A123" s="33" t="s">
        <v>3</v>
      </c>
      <c r="B123" s="308"/>
      <c r="C123" s="308"/>
      <c r="D123" s="308"/>
      <c r="E123" s="308"/>
      <c r="F123" s="308"/>
      <c r="G123" s="308"/>
      <c r="H123" s="308"/>
      <c r="I123" s="45"/>
      <c r="J123" s="33" t="s">
        <v>3</v>
      </c>
    </row>
    <row r="124" spans="1:13" x14ac:dyDescent="0.35">
      <c r="A124" s="33" t="s">
        <v>4</v>
      </c>
      <c r="B124" s="33"/>
      <c r="C124" s="33"/>
      <c r="D124" s="33"/>
      <c r="E124" s="33"/>
      <c r="F124" s="33"/>
      <c r="G124" s="555" t="s">
        <v>6</v>
      </c>
      <c r="H124" s="308"/>
      <c r="I124" s="568" t="s">
        <v>7</v>
      </c>
      <c r="J124" s="33" t="s">
        <v>4</v>
      </c>
    </row>
    <row r="126" spans="1:13" ht="17.5" x14ac:dyDescent="0.35">
      <c r="A126" s="33">
        <v>1</v>
      </c>
      <c r="B126" s="38" t="s">
        <v>392</v>
      </c>
      <c r="J126" s="33">
        <v>1</v>
      </c>
    </row>
    <row r="127" spans="1:13" x14ac:dyDescent="0.35">
      <c r="A127" s="33">
        <f>A126+1</f>
        <v>2</v>
      </c>
      <c r="B127" s="118"/>
      <c r="J127" s="33">
        <f>J126+1</f>
        <v>2</v>
      </c>
    </row>
    <row r="128" spans="1:13" x14ac:dyDescent="0.35">
      <c r="A128" s="33">
        <f>A127+1</f>
        <v>3</v>
      </c>
      <c r="B128" s="38" t="s">
        <v>365</v>
      </c>
      <c r="J128" s="33">
        <f>J127+1</f>
        <v>3</v>
      </c>
    </row>
    <row r="129" spans="1:10" x14ac:dyDescent="0.35">
      <c r="A129" s="33">
        <f>A128+1</f>
        <v>4</v>
      </c>
      <c r="B129" s="308"/>
      <c r="J129" s="33">
        <f>J128+1</f>
        <v>4</v>
      </c>
    </row>
    <row r="130" spans="1:10" x14ac:dyDescent="0.35">
      <c r="A130" s="33">
        <f t="shared" ref="A130:A156" si="4">A129+1</f>
        <v>5</v>
      </c>
      <c r="B130" s="40" t="s">
        <v>366</v>
      </c>
      <c r="J130" s="33">
        <f t="shared" ref="J130:J156" si="5">J129+1</f>
        <v>5</v>
      </c>
    </row>
    <row r="131" spans="1:10" x14ac:dyDescent="0.35">
      <c r="A131" s="33">
        <f t="shared" si="4"/>
        <v>6</v>
      </c>
      <c r="B131" s="34" t="str">
        <f>B86</f>
        <v xml:space="preserve">     A = Sum of Preferred Stock and Return on Equity Component</v>
      </c>
      <c r="G131" s="120">
        <f>G66</f>
        <v>0</v>
      </c>
      <c r="I131" s="45" t="s">
        <v>544</v>
      </c>
      <c r="J131" s="33">
        <f t="shared" si="5"/>
        <v>6</v>
      </c>
    </row>
    <row r="132" spans="1:10" x14ac:dyDescent="0.35">
      <c r="A132" s="33">
        <f t="shared" si="4"/>
        <v>7</v>
      </c>
      <c r="B132" s="34" t="str">
        <f>B87</f>
        <v xml:space="preserve">     B = Transmission Total Federal Tax Adjustments</v>
      </c>
      <c r="G132" s="141">
        <v>0</v>
      </c>
      <c r="I132" s="115" t="s">
        <v>232</v>
      </c>
      <c r="J132" s="33">
        <f t="shared" si="5"/>
        <v>7</v>
      </c>
    </row>
    <row r="133" spans="1:10" x14ac:dyDescent="0.35">
      <c r="A133" s="33">
        <f t="shared" si="4"/>
        <v>8</v>
      </c>
      <c r="B133" s="34" t="s">
        <v>393</v>
      </c>
      <c r="G133" s="306">
        <v>0</v>
      </c>
      <c r="I133" s="115" t="s">
        <v>232</v>
      </c>
      <c r="J133" s="33">
        <f t="shared" si="5"/>
        <v>8</v>
      </c>
    </row>
    <row r="134" spans="1:10" x14ac:dyDescent="0.35">
      <c r="A134" s="33">
        <f t="shared" si="4"/>
        <v>9</v>
      </c>
      <c r="B134" s="34" t="s">
        <v>394</v>
      </c>
      <c r="G134" s="306">
        <v>0</v>
      </c>
      <c r="I134" s="115" t="s">
        <v>232</v>
      </c>
      <c r="J134" s="33">
        <f t="shared" si="5"/>
        <v>9</v>
      </c>
    </row>
    <row r="135" spans="1:10" x14ac:dyDescent="0.35">
      <c r="A135" s="33">
        <f t="shared" si="4"/>
        <v>10</v>
      </c>
      <c r="B135" s="34" t="str">
        <f>B90</f>
        <v xml:space="preserve">     FT = Federal Income Tax Rate for Rate Effective Period</v>
      </c>
      <c r="G135" s="576">
        <f>G90</f>
        <v>0.21</v>
      </c>
      <c r="I135" s="45" t="s">
        <v>545</v>
      </c>
      <c r="J135" s="33">
        <f t="shared" si="5"/>
        <v>10</v>
      </c>
    </row>
    <row r="136" spans="1:10" x14ac:dyDescent="0.35">
      <c r="A136" s="33">
        <f t="shared" si="4"/>
        <v>11</v>
      </c>
      <c r="G136" s="33"/>
      <c r="J136" s="33">
        <f t="shared" si="5"/>
        <v>11</v>
      </c>
    </row>
    <row r="137" spans="1:10" x14ac:dyDescent="0.35">
      <c r="A137" s="33">
        <f t="shared" si="4"/>
        <v>12</v>
      </c>
      <c r="B137" s="34" t="s">
        <v>395</v>
      </c>
      <c r="G137" s="127">
        <f>IFERROR((((G131)+(G133/G134))*G135-(G132/G134))/(1-G135),0)</f>
        <v>0</v>
      </c>
      <c r="I137" s="45" t="s">
        <v>396</v>
      </c>
      <c r="J137" s="33">
        <f t="shared" si="5"/>
        <v>12</v>
      </c>
    </row>
    <row r="138" spans="1:10" x14ac:dyDescent="0.35">
      <c r="A138" s="33">
        <f t="shared" si="4"/>
        <v>13</v>
      </c>
      <c r="B138" s="129" t="s">
        <v>378</v>
      </c>
      <c r="G138" s="114"/>
      <c r="J138" s="33">
        <f t="shared" si="5"/>
        <v>13</v>
      </c>
    </row>
    <row r="139" spans="1:10" x14ac:dyDescent="0.35">
      <c r="A139" s="33">
        <f t="shared" si="4"/>
        <v>14</v>
      </c>
      <c r="G139" s="33"/>
      <c r="J139" s="33">
        <f t="shared" si="5"/>
        <v>14</v>
      </c>
    </row>
    <row r="140" spans="1:10" x14ac:dyDescent="0.35">
      <c r="A140" s="33">
        <f t="shared" si="4"/>
        <v>15</v>
      </c>
      <c r="B140" s="38" t="s">
        <v>379</v>
      </c>
      <c r="G140" s="130"/>
      <c r="I140" s="131"/>
      <c r="J140" s="33">
        <f t="shared" si="5"/>
        <v>15</v>
      </c>
    </row>
    <row r="141" spans="1:10" x14ac:dyDescent="0.35">
      <c r="A141" s="33">
        <f t="shared" si="4"/>
        <v>16</v>
      </c>
      <c r="B141" s="50"/>
      <c r="G141" s="130"/>
      <c r="I141" s="119"/>
      <c r="J141" s="33">
        <f t="shared" si="5"/>
        <v>16</v>
      </c>
    </row>
    <row r="142" spans="1:10" x14ac:dyDescent="0.35">
      <c r="A142" s="33">
        <f t="shared" si="4"/>
        <v>17</v>
      </c>
      <c r="B142" s="40" t="s">
        <v>366</v>
      </c>
      <c r="G142" s="130"/>
      <c r="I142" s="119"/>
      <c r="J142" s="33">
        <f t="shared" si="5"/>
        <v>17</v>
      </c>
    </row>
    <row r="143" spans="1:10" x14ac:dyDescent="0.35">
      <c r="A143" s="33">
        <f t="shared" si="4"/>
        <v>18</v>
      </c>
      <c r="B143" s="34" t="str">
        <f>B98</f>
        <v xml:space="preserve">     A = Sum of Preferred Stock and Return on Equity Component</v>
      </c>
      <c r="G143" s="106">
        <f>G131</f>
        <v>0</v>
      </c>
      <c r="I143" s="45" t="s">
        <v>537</v>
      </c>
      <c r="J143" s="33">
        <f t="shared" si="5"/>
        <v>18</v>
      </c>
    </row>
    <row r="144" spans="1:10" x14ac:dyDescent="0.35">
      <c r="A144" s="33">
        <f t="shared" si="4"/>
        <v>19</v>
      </c>
      <c r="B144" s="34" t="str">
        <f>B99</f>
        <v xml:space="preserve">     B = Equity AFUDC Component of Transmission Depreciation Expense</v>
      </c>
      <c r="G144" s="134">
        <f>G133</f>
        <v>0</v>
      </c>
      <c r="I144" s="45" t="s">
        <v>538</v>
      </c>
      <c r="J144" s="33">
        <f t="shared" si="5"/>
        <v>19</v>
      </c>
    </row>
    <row r="145" spans="1:10" x14ac:dyDescent="0.35">
      <c r="A145" s="33">
        <f t="shared" si="4"/>
        <v>20</v>
      </c>
      <c r="B145" s="34" t="s">
        <v>397</v>
      </c>
      <c r="G145" s="134">
        <f>G134</f>
        <v>0</v>
      </c>
      <c r="I145" s="45" t="s">
        <v>539</v>
      </c>
      <c r="J145" s="33">
        <f t="shared" si="5"/>
        <v>20</v>
      </c>
    </row>
    <row r="146" spans="1:10" x14ac:dyDescent="0.35">
      <c r="A146" s="33">
        <f t="shared" si="4"/>
        <v>21</v>
      </c>
      <c r="B146" s="34" t="str">
        <f>B101</f>
        <v xml:space="preserve">     FT = Federal Income Tax Expense</v>
      </c>
      <c r="G146" s="136">
        <f>G137</f>
        <v>0</v>
      </c>
      <c r="I146" s="45" t="s">
        <v>540</v>
      </c>
      <c r="J146" s="33">
        <f t="shared" si="5"/>
        <v>21</v>
      </c>
    </row>
    <row r="147" spans="1:10" x14ac:dyDescent="0.35">
      <c r="A147" s="33">
        <f t="shared" si="4"/>
        <v>22</v>
      </c>
      <c r="B147" s="34" t="str">
        <f>B102</f>
        <v xml:space="preserve">     ST = State Income Tax Rate for Rate Effective Period</v>
      </c>
      <c r="G147" s="577">
        <f>G102</f>
        <v>8.8400000000000006E-2</v>
      </c>
      <c r="I147" s="45" t="s">
        <v>546</v>
      </c>
      <c r="J147" s="33">
        <f t="shared" si="5"/>
        <v>22</v>
      </c>
    </row>
    <row r="148" spans="1:10" x14ac:dyDescent="0.35">
      <c r="A148" s="33">
        <f t="shared" si="4"/>
        <v>23</v>
      </c>
      <c r="B148" s="506"/>
      <c r="G148" s="137"/>
      <c r="I148" s="133"/>
      <c r="J148" s="33">
        <f t="shared" si="5"/>
        <v>23</v>
      </c>
    </row>
    <row r="149" spans="1:10" x14ac:dyDescent="0.35">
      <c r="A149" s="33">
        <f t="shared" si="4"/>
        <v>24</v>
      </c>
      <c r="B149" s="34" t="s">
        <v>385</v>
      </c>
      <c r="G149" s="578">
        <f>IFERROR(((G143)+(G144/G145)+G137)*G147/(1-G147),0)</f>
        <v>0</v>
      </c>
      <c r="I149" s="45" t="s">
        <v>386</v>
      </c>
      <c r="J149" s="33">
        <f t="shared" si="5"/>
        <v>24</v>
      </c>
    </row>
    <row r="150" spans="1:10" x14ac:dyDescent="0.35">
      <c r="A150" s="33">
        <f t="shared" si="4"/>
        <v>25</v>
      </c>
      <c r="B150" s="129" t="s">
        <v>387</v>
      </c>
      <c r="G150" s="33"/>
      <c r="I150" s="45"/>
      <c r="J150" s="33">
        <f t="shared" si="5"/>
        <v>25</v>
      </c>
    </row>
    <row r="151" spans="1:10" x14ac:dyDescent="0.35">
      <c r="A151" s="33">
        <f t="shared" si="4"/>
        <v>26</v>
      </c>
      <c r="G151" s="33"/>
      <c r="I151" s="45"/>
      <c r="J151" s="33">
        <f t="shared" si="5"/>
        <v>26</v>
      </c>
    </row>
    <row r="152" spans="1:10" x14ac:dyDescent="0.35">
      <c r="A152" s="33">
        <f t="shared" si="4"/>
        <v>27</v>
      </c>
      <c r="B152" s="38" t="s">
        <v>388</v>
      </c>
      <c r="G152" s="127">
        <f>G149+G137</f>
        <v>0</v>
      </c>
      <c r="I152" s="45" t="s">
        <v>541</v>
      </c>
      <c r="J152" s="33">
        <f t="shared" si="5"/>
        <v>27</v>
      </c>
    </row>
    <row r="153" spans="1:10" x14ac:dyDescent="0.35">
      <c r="A153" s="33">
        <f t="shared" si="4"/>
        <v>28</v>
      </c>
      <c r="G153" s="33"/>
      <c r="I153" s="45"/>
      <c r="J153" s="33">
        <f t="shared" si="5"/>
        <v>28</v>
      </c>
    </row>
    <row r="154" spans="1:10" x14ac:dyDescent="0.35">
      <c r="A154" s="33">
        <f t="shared" si="4"/>
        <v>29</v>
      </c>
      <c r="B154" s="38" t="s">
        <v>398</v>
      </c>
      <c r="G154" s="579">
        <f>G64</f>
        <v>0</v>
      </c>
      <c r="I154" s="45" t="s">
        <v>547</v>
      </c>
      <c r="J154" s="33">
        <f t="shared" si="5"/>
        <v>29</v>
      </c>
    </row>
    <row r="155" spans="1:10" x14ac:dyDescent="0.35">
      <c r="A155" s="33">
        <f t="shared" si="4"/>
        <v>30</v>
      </c>
      <c r="G155" s="33"/>
      <c r="I155" s="45"/>
      <c r="J155" s="33">
        <f t="shared" si="5"/>
        <v>30</v>
      </c>
    </row>
    <row r="156" spans="1:10" ht="18" thickBot="1" x14ac:dyDescent="0.4">
      <c r="A156" s="33">
        <f t="shared" si="4"/>
        <v>31</v>
      </c>
      <c r="B156" s="38" t="s">
        <v>399</v>
      </c>
      <c r="G156" s="145">
        <f>G152+G154</f>
        <v>0</v>
      </c>
      <c r="I156" s="45" t="s">
        <v>543</v>
      </c>
      <c r="J156" s="33">
        <f t="shared" si="5"/>
        <v>31</v>
      </c>
    </row>
    <row r="157" spans="1:10" ht="16" thickTop="1" x14ac:dyDescent="0.35"/>
    <row r="159" spans="1:10" ht="18" x14ac:dyDescent="0.35">
      <c r="A159" s="64"/>
      <c r="B159" s="17"/>
    </row>
  </sheetData>
  <mergeCells count="15">
    <mergeCell ref="B119:I119"/>
    <mergeCell ref="B120:I120"/>
    <mergeCell ref="B121:I121"/>
    <mergeCell ref="B73:I73"/>
    <mergeCell ref="B74:I74"/>
    <mergeCell ref="B75:I75"/>
    <mergeCell ref="B76:I76"/>
    <mergeCell ref="B117:I117"/>
    <mergeCell ref="B118:I118"/>
    <mergeCell ref="B72:I72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12.&amp;P&amp;R&amp;A</oddFooter>
  </headerFooter>
  <rowBreaks count="2" manualBreakCount="2">
    <brk id="70" max="9" man="1"/>
    <brk id="115" max="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90"/>
  <sheetViews>
    <sheetView zoomScale="80" zoomScaleNormal="80" workbookViewId="0"/>
  </sheetViews>
  <sheetFormatPr defaultColWidth="8.6328125" defaultRowHeight="15.5" x14ac:dyDescent="0.35"/>
  <cols>
    <col min="1" max="1" width="5.08984375" style="443" customWidth="1"/>
    <col min="2" max="2" width="90.6328125" style="403" customWidth="1"/>
    <col min="3" max="3" width="18.1796875" style="403" customWidth="1"/>
    <col min="4" max="4" width="1.54296875" style="403" customWidth="1"/>
    <col min="5" max="5" width="45.81640625" style="403" customWidth="1"/>
    <col min="6" max="6" width="5.08984375" style="443" customWidth="1"/>
    <col min="7" max="16384" width="8.6328125" style="403"/>
  </cols>
  <sheetData>
    <row r="1" spans="1:8" x14ac:dyDescent="0.35">
      <c r="A1" s="152"/>
      <c r="B1" s="156"/>
      <c r="C1" s="402"/>
      <c r="D1" s="402"/>
      <c r="E1" s="155"/>
      <c r="F1" s="152"/>
    </row>
    <row r="2" spans="1:8" x14ac:dyDescent="0.35">
      <c r="A2" s="152"/>
      <c r="B2" s="897" t="s">
        <v>16</v>
      </c>
      <c r="C2" s="915"/>
      <c r="D2" s="915"/>
      <c r="E2" s="915"/>
      <c r="F2" s="152"/>
    </row>
    <row r="3" spans="1:8" x14ac:dyDescent="0.35">
      <c r="A3" s="152" t="s">
        <v>207</v>
      </c>
      <c r="B3" s="897" t="s">
        <v>400</v>
      </c>
      <c r="C3" s="915"/>
      <c r="D3" s="915"/>
      <c r="E3" s="915"/>
      <c r="F3" s="152" t="s">
        <v>207</v>
      </c>
    </row>
    <row r="4" spans="1:8" x14ac:dyDescent="0.35">
      <c r="A4" s="152"/>
      <c r="B4" s="916" t="s">
        <v>596</v>
      </c>
      <c r="C4" s="917"/>
      <c r="D4" s="917"/>
      <c r="E4" s="917"/>
      <c r="F4" s="152"/>
      <c r="H4" s="382"/>
    </row>
    <row r="5" spans="1:8" x14ac:dyDescent="0.35">
      <c r="A5" s="152"/>
      <c r="B5" s="918" t="s">
        <v>2</v>
      </c>
      <c r="C5" s="915"/>
      <c r="D5" s="915"/>
      <c r="E5" s="915"/>
      <c r="F5" s="152"/>
    </row>
    <row r="6" spans="1:8" x14ac:dyDescent="0.35">
      <c r="A6" s="152"/>
      <c r="B6" s="507"/>
      <c r="C6" s="156"/>
      <c r="D6" s="156"/>
      <c r="E6" s="156"/>
      <c r="F6" s="152"/>
    </row>
    <row r="7" spans="1:8" x14ac:dyDescent="0.35">
      <c r="A7" s="152" t="s">
        <v>3</v>
      </c>
      <c r="B7" s="156"/>
      <c r="C7" s="404"/>
      <c r="D7" s="404"/>
      <c r="E7" s="155"/>
      <c r="F7" s="152" t="s">
        <v>3</v>
      </c>
    </row>
    <row r="8" spans="1:8" x14ac:dyDescent="0.35">
      <c r="A8" s="152" t="s">
        <v>4</v>
      </c>
      <c r="B8" s="156" t="s">
        <v>207</v>
      </c>
      <c r="C8" s="580" t="s">
        <v>6</v>
      </c>
      <c r="D8" s="404"/>
      <c r="E8" s="581" t="s">
        <v>7</v>
      </c>
      <c r="F8" s="152" t="s">
        <v>4</v>
      </c>
    </row>
    <row r="9" spans="1:8" x14ac:dyDescent="0.35">
      <c r="A9" s="152"/>
      <c r="B9" s="279" t="s">
        <v>401</v>
      </c>
      <c r="C9" s="405"/>
      <c r="D9" s="404"/>
      <c r="E9" s="155"/>
      <c r="F9" s="152"/>
    </row>
    <row r="10" spans="1:8" x14ac:dyDescent="0.35">
      <c r="A10" s="152"/>
      <c r="B10" s="406"/>
      <c r="C10" s="405"/>
      <c r="D10" s="404"/>
      <c r="E10" s="155"/>
      <c r="F10" s="152"/>
    </row>
    <row r="11" spans="1:8" x14ac:dyDescent="0.35">
      <c r="A11" s="152">
        <v>1</v>
      </c>
      <c r="B11" s="279" t="s">
        <v>402</v>
      </c>
      <c r="C11" s="405"/>
      <c r="D11" s="405"/>
      <c r="E11" s="155"/>
      <c r="F11" s="152">
        <f>A11</f>
        <v>1</v>
      </c>
    </row>
    <row r="12" spans="1:8" x14ac:dyDescent="0.35">
      <c r="A12" s="152">
        <f>A11+1</f>
        <v>2</v>
      </c>
      <c r="B12" s="171" t="s">
        <v>403</v>
      </c>
      <c r="C12" s="407">
        <f>C80</f>
        <v>5797011.7024284611</v>
      </c>
      <c r="D12" s="649"/>
      <c r="E12" s="192" t="s">
        <v>404</v>
      </c>
      <c r="F12" s="152">
        <f>F11+1</f>
        <v>2</v>
      </c>
    </row>
    <row r="13" spans="1:8" x14ac:dyDescent="0.35">
      <c r="A13" s="152">
        <f t="shared" ref="A13:A48" si="0">A12+1</f>
        <v>3</v>
      </c>
      <c r="B13" s="171" t="s">
        <v>231</v>
      </c>
      <c r="C13" s="408">
        <f>C81</f>
        <v>3263.5350265371926</v>
      </c>
      <c r="D13" s="409"/>
      <c r="E13" s="192" t="s">
        <v>405</v>
      </c>
      <c r="F13" s="152">
        <f t="shared" ref="F13:F48" si="1">F12+1</f>
        <v>3</v>
      </c>
    </row>
    <row r="14" spans="1:8" x14ac:dyDescent="0.35">
      <c r="A14" s="152">
        <f t="shared" si="0"/>
        <v>4</v>
      </c>
      <c r="B14" s="171" t="s">
        <v>233</v>
      </c>
      <c r="C14" s="408">
        <f>C82</f>
        <v>33689.422074071481</v>
      </c>
      <c r="D14" s="409"/>
      <c r="E14" s="192" t="s">
        <v>406</v>
      </c>
      <c r="F14" s="152">
        <f t="shared" si="1"/>
        <v>4</v>
      </c>
    </row>
    <row r="15" spans="1:8" x14ac:dyDescent="0.35">
      <c r="A15" s="152">
        <f t="shared" si="0"/>
        <v>5</v>
      </c>
      <c r="B15" s="171" t="s">
        <v>407</v>
      </c>
      <c r="C15" s="582">
        <f>C83</f>
        <v>95078.209743511849</v>
      </c>
      <c r="D15" s="409"/>
      <c r="E15" s="192" t="s">
        <v>408</v>
      </c>
      <c r="F15" s="152">
        <f t="shared" si="1"/>
        <v>5</v>
      </c>
    </row>
    <row r="16" spans="1:8" x14ac:dyDescent="0.35">
      <c r="A16" s="152">
        <f t="shared" si="0"/>
        <v>6</v>
      </c>
      <c r="B16" s="171" t="s">
        <v>409</v>
      </c>
      <c r="C16" s="410">
        <f>SUM(C12:C15)</f>
        <v>5929042.8692725813</v>
      </c>
      <c r="D16" s="411"/>
      <c r="E16" s="192" t="s">
        <v>410</v>
      </c>
      <c r="F16" s="152">
        <f t="shared" si="1"/>
        <v>6</v>
      </c>
    </row>
    <row r="17" spans="1:6" x14ac:dyDescent="0.35">
      <c r="A17" s="152">
        <f t="shared" si="0"/>
        <v>7</v>
      </c>
      <c r="B17" s="244"/>
      <c r="C17" s="412"/>
      <c r="D17" s="413"/>
      <c r="E17" s="155"/>
      <c r="F17" s="152">
        <f t="shared" si="1"/>
        <v>7</v>
      </c>
    </row>
    <row r="18" spans="1:6" x14ac:dyDescent="0.35">
      <c r="A18" s="152">
        <f t="shared" si="0"/>
        <v>8</v>
      </c>
      <c r="B18" s="279" t="s">
        <v>411</v>
      </c>
      <c r="C18" s="412"/>
      <c r="D18" s="413"/>
      <c r="E18" s="155"/>
      <c r="F18" s="152">
        <f t="shared" si="1"/>
        <v>8</v>
      </c>
    </row>
    <row r="19" spans="1:6" x14ac:dyDescent="0.35">
      <c r="A19" s="152">
        <f t="shared" si="0"/>
        <v>9</v>
      </c>
      <c r="B19" s="171" t="s">
        <v>412</v>
      </c>
      <c r="C19" s="414">
        <v>0</v>
      </c>
      <c r="D19" s="404"/>
      <c r="E19" s="192" t="s">
        <v>413</v>
      </c>
      <c r="F19" s="152">
        <f t="shared" si="1"/>
        <v>9</v>
      </c>
    </row>
    <row r="20" spans="1:6" x14ac:dyDescent="0.35">
      <c r="A20" s="152">
        <f t="shared" si="0"/>
        <v>10</v>
      </c>
      <c r="B20" s="171" t="s">
        <v>414</v>
      </c>
      <c r="C20" s="415">
        <v>0</v>
      </c>
      <c r="D20" s="404"/>
      <c r="E20" s="192" t="s">
        <v>415</v>
      </c>
      <c r="F20" s="152">
        <f t="shared" si="1"/>
        <v>10</v>
      </c>
    </row>
    <row r="21" spans="1:6" x14ac:dyDescent="0.35">
      <c r="A21" s="152">
        <f t="shared" si="0"/>
        <v>11</v>
      </c>
      <c r="B21" s="171" t="s">
        <v>416</v>
      </c>
      <c r="C21" s="416">
        <f>C19+C20</f>
        <v>0</v>
      </c>
      <c r="D21" s="417"/>
      <c r="E21" s="192" t="s">
        <v>417</v>
      </c>
      <c r="F21" s="152">
        <f t="shared" si="1"/>
        <v>11</v>
      </c>
    </row>
    <row r="22" spans="1:6" x14ac:dyDescent="0.35">
      <c r="A22" s="152">
        <f t="shared" si="0"/>
        <v>12</v>
      </c>
      <c r="B22" s="171"/>
      <c r="C22" s="418"/>
      <c r="D22" s="402"/>
      <c r="E22" s="155"/>
      <c r="F22" s="152">
        <f t="shared" si="1"/>
        <v>12</v>
      </c>
    </row>
    <row r="23" spans="1:6" x14ac:dyDescent="0.35">
      <c r="A23" s="152">
        <f t="shared" si="0"/>
        <v>13</v>
      </c>
      <c r="B23" s="279" t="s">
        <v>418</v>
      </c>
      <c r="C23" s="412"/>
      <c r="D23" s="413"/>
      <c r="E23" s="155"/>
      <c r="F23" s="152">
        <f t="shared" si="1"/>
        <v>13</v>
      </c>
    </row>
    <row r="24" spans="1:6" x14ac:dyDescent="0.35">
      <c r="A24" s="152">
        <f t="shared" si="0"/>
        <v>14</v>
      </c>
      <c r="B24" s="244" t="s">
        <v>419</v>
      </c>
      <c r="C24" s="717">
        <f>'Pg8 Rev Stmt AF'!I17</f>
        <v>-1073957.9241705043</v>
      </c>
      <c r="D24" s="23" t="s">
        <v>27</v>
      </c>
      <c r="E24" s="192" t="s">
        <v>792</v>
      </c>
      <c r="F24" s="152">
        <f t="shared" si="1"/>
        <v>14</v>
      </c>
    </row>
    <row r="25" spans="1:6" x14ac:dyDescent="0.35">
      <c r="A25" s="152">
        <f t="shared" si="0"/>
        <v>15</v>
      </c>
      <c r="B25" s="244" t="s">
        <v>421</v>
      </c>
      <c r="C25" s="420">
        <v>0</v>
      </c>
      <c r="D25" s="404"/>
      <c r="E25" s="192" t="s">
        <v>422</v>
      </c>
      <c r="F25" s="152">
        <f t="shared" si="1"/>
        <v>15</v>
      </c>
    </row>
    <row r="26" spans="1:6" x14ac:dyDescent="0.35">
      <c r="A26" s="152">
        <f t="shared" si="0"/>
        <v>16</v>
      </c>
      <c r="B26" s="171" t="s">
        <v>423</v>
      </c>
      <c r="C26" s="423">
        <f>SUM(C24:C25)</f>
        <v>-1073957.9241705043</v>
      </c>
      <c r="D26" s="23" t="s">
        <v>27</v>
      </c>
      <c r="E26" s="192" t="s">
        <v>424</v>
      </c>
      <c r="F26" s="152">
        <f t="shared" si="1"/>
        <v>16</v>
      </c>
    </row>
    <row r="27" spans="1:6" x14ac:dyDescent="0.35">
      <c r="A27" s="152">
        <f t="shared" si="0"/>
        <v>17</v>
      </c>
      <c r="B27" s="156"/>
      <c r="C27" s="421"/>
      <c r="D27" s="422"/>
      <c r="E27" s="155"/>
      <c r="F27" s="152">
        <f t="shared" si="1"/>
        <v>17</v>
      </c>
    </row>
    <row r="28" spans="1:6" x14ac:dyDescent="0.35">
      <c r="A28" s="152">
        <f t="shared" si="0"/>
        <v>18</v>
      </c>
      <c r="B28" s="279" t="s">
        <v>425</v>
      </c>
      <c r="C28" s="421"/>
      <c r="D28" s="422"/>
      <c r="E28" s="155"/>
      <c r="F28" s="152">
        <f t="shared" si="1"/>
        <v>18</v>
      </c>
    </row>
    <row r="29" spans="1:6" x14ac:dyDescent="0.35">
      <c r="A29" s="152">
        <f t="shared" si="0"/>
        <v>19</v>
      </c>
      <c r="B29" s="171" t="s">
        <v>426</v>
      </c>
      <c r="C29" s="407">
        <v>45902.493837903698</v>
      </c>
      <c r="D29" s="404"/>
      <c r="E29" s="192" t="s">
        <v>99</v>
      </c>
      <c r="F29" s="152">
        <f t="shared" si="1"/>
        <v>19</v>
      </c>
    </row>
    <row r="30" spans="1:6" x14ac:dyDescent="0.35">
      <c r="A30" s="152">
        <f t="shared" si="0"/>
        <v>20</v>
      </c>
      <c r="B30" s="171" t="s">
        <v>427</v>
      </c>
      <c r="C30" s="408">
        <v>44016.025239812618</v>
      </c>
      <c r="D30" s="404"/>
      <c r="E30" s="192" t="s">
        <v>101</v>
      </c>
      <c r="F30" s="152">
        <f t="shared" si="1"/>
        <v>20</v>
      </c>
    </row>
    <row r="31" spans="1:6" x14ac:dyDescent="0.35">
      <c r="A31" s="152">
        <f t="shared" si="0"/>
        <v>21</v>
      </c>
      <c r="B31" s="171" t="s">
        <v>428</v>
      </c>
      <c r="C31" s="583">
        <f>'Pg10 Rev Stmt AL'!E29</f>
        <v>13062.122966294421</v>
      </c>
      <c r="D31" s="23" t="s">
        <v>27</v>
      </c>
      <c r="E31" s="192" t="s">
        <v>793</v>
      </c>
      <c r="F31" s="152">
        <f t="shared" si="1"/>
        <v>21</v>
      </c>
    </row>
    <row r="32" spans="1:6" x14ac:dyDescent="0.35">
      <c r="A32" s="152">
        <f t="shared" si="0"/>
        <v>22</v>
      </c>
      <c r="B32" s="171" t="s">
        <v>429</v>
      </c>
      <c r="C32" s="423">
        <f>SUM(C29:C31)</f>
        <v>102980.64204401073</v>
      </c>
      <c r="D32" s="23" t="s">
        <v>27</v>
      </c>
      <c r="E32" s="192" t="s">
        <v>430</v>
      </c>
      <c r="F32" s="152">
        <f t="shared" si="1"/>
        <v>22</v>
      </c>
    </row>
    <row r="33" spans="1:6" x14ac:dyDescent="0.35">
      <c r="A33" s="152">
        <f t="shared" si="0"/>
        <v>23</v>
      </c>
      <c r="B33" s="173"/>
      <c r="C33" s="424"/>
      <c r="D33" s="425"/>
      <c r="E33" s="155"/>
      <c r="F33" s="152">
        <f t="shared" si="1"/>
        <v>23</v>
      </c>
    </row>
    <row r="34" spans="1:6" x14ac:dyDescent="0.35">
      <c r="A34" s="152">
        <f t="shared" si="0"/>
        <v>24</v>
      </c>
      <c r="B34" s="171" t="s">
        <v>431</v>
      </c>
      <c r="C34" s="584">
        <v>0</v>
      </c>
      <c r="D34" s="404"/>
      <c r="E34" s="192" t="s">
        <v>432</v>
      </c>
      <c r="F34" s="152">
        <f t="shared" si="1"/>
        <v>24</v>
      </c>
    </row>
    <row r="35" spans="1:6" x14ac:dyDescent="0.35">
      <c r="A35" s="152">
        <f t="shared" si="0"/>
        <v>25</v>
      </c>
      <c r="B35" s="171"/>
      <c r="C35" s="424"/>
      <c r="D35" s="425"/>
      <c r="E35" s="155"/>
      <c r="F35" s="152">
        <f t="shared" si="1"/>
        <v>25</v>
      </c>
    </row>
    <row r="36" spans="1:6" ht="16" thickBot="1" x14ac:dyDescent="0.4">
      <c r="A36" s="152">
        <f t="shared" si="0"/>
        <v>26</v>
      </c>
      <c r="B36" s="171" t="s">
        <v>433</v>
      </c>
      <c r="C36" s="426">
        <f>C16+C21+C26+C32+C34</f>
        <v>4958065.5871460875</v>
      </c>
      <c r="D36" s="23" t="s">
        <v>27</v>
      </c>
      <c r="E36" s="192" t="s">
        <v>434</v>
      </c>
      <c r="F36" s="152">
        <f t="shared" si="1"/>
        <v>26</v>
      </c>
    </row>
    <row r="37" spans="1:6" ht="16" thickTop="1" x14ac:dyDescent="0.35">
      <c r="A37" s="152">
        <f t="shared" si="0"/>
        <v>27</v>
      </c>
      <c r="B37" s="173"/>
      <c r="C37" s="427"/>
      <c r="D37" s="411"/>
      <c r="E37" s="155"/>
      <c r="F37" s="152">
        <f t="shared" si="1"/>
        <v>27</v>
      </c>
    </row>
    <row r="38" spans="1:6" x14ac:dyDescent="0.35">
      <c r="A38" s="152">
        <f t="shared" si="0"/>
        <v>28</v>
      </c>
      <c r="B38" s="279" t="s">
        <v>435</v>
      </c>
      <c r="C38" s="427"/>
      <c r="D38" s="411"/>
      <c r="E38" s="155"/>
      <c r="F38" s="152">
        <f t="shared" si="1"/>
        <v>28</v>
      </c>
    </row>
    <row r="39" spans="1:6" x14ac:dyDescent="0.35">
      <c r="A39" s="152">
        <f t="shared" si="0"/>
        <v>29</v>
      </c>
      <c r="B39" s="171" t="s">
        <v>436</v>
      </c>
      <c r="C39" s="428">
        <v>0</v>
      </c>
      <c r="D39" s="429"/>
      <c r="E39" s="192" t="s">
        <v>232</v>
      </c>
      <c r="F39" s="152">
        <f t="shared" si="1"/>
        <v>29</v>
      </c>
    </row>
    <row r="40" spans="1:6" x14ac:dyDescent="0.35">
      <c r="A40" s="152">
        <f t="shared" si="0"/>
        <v>30</v>
      </c>
      <c r="B40" s="171" t="s">
        <v>437</v>
      </c>
      <c r="C40" s="430">
        <v>0</v>
      </c>
      <c r="D40" s="404"/>
      <c r="E40" s="192" t="s">
        <v>232</v>
      </c>
      <c r="F40" s="152">
        <f t="shared" si="1"/>
        <v>30</v>
      </c>
    </row>
    <row r="41" spans="1:6" x14ac:dyDescent="0.35">
      <c r="A41" s="152">
        <f t="shared" si="0"/>
        <v>31</v>
      </c>
      <c r="B41" s="244" t="s">
        <v>438</v>
      </c>
      <c r="C41" s="423">
        <f>C39+C40</f>
        <v>0</v>
      </c>
      <c r="D41" s="411"/>
      <c r="E41" s="192" t="s">
        <v>439</v>
      </c>
      <c r="F41" s="152">
        <f t="shared" si="1"/>
        <v>31</v>
      </c>
    </row>
    <row r="42" spans="1:6" x14ac:dyDescent="0.35">
      <c r="A42" s="152">
        <f t="shared" si="0"/>
        <v>32</v>
      </c>
      <c r="B42" s="173"/>
      <c r="C42" s="427"/>
      <c r="D42" s="411"/>
      <c r="E42" s="155"/>
      <c r="F42" s="152">
        <f t="shared" si="1"/>
        <v>32</v>
      </c>
    </row>
    <row r="43" spans="1:6" x14ac:dyDescent="0.35">
      <c r="A43" s="152">
        <f t="shared" si="0"/>
        <v>33</v>
      </c>
      <c r="B43" s="279" t="s">
        <v>440</v>
      </c>
      <c r="C43" s="427"/>
      <c r="D43" s="411"/>
      <c r="E43" s="155"/>
      <c r="F43" s="152">
        <f t="shared" si="1"/>
        <v>33</v>
      </c>
    </row>
    <row r="44" spans="1:6" x14ac:dyDescent="0.35">
      <c r="A44" s="152">
        <f t="shared" si="0"/>
        <v>34</v>
      </c>
      <c r="B44" s="171" t="s">
        <v>441</v>
      </c>
      <c r="C44" s="428">
        <v>0</v>
      </c>
      <c r="D44" s="404"/>
      <c r="E44" s="192" t="s">
        <v>232</v>
      </c>
      <c r="F44" s="152">
        <f t="shared" si="1"/>
        <v>34</v>
      </c>
    </row>
    <row r="45" spans="1:6" x14ac:dyDescent="0.35">
      <c r="A45" s="152">
        <f t="shared" si="0"/>
        <v>35</v>
      </c>
      <c r="B45" s="244" t="s">
        <v>442</v>
      </c>
      <c r="C45" s="585">
        <v>0</v>
      </c>
      <c r="D45" s="404"/>
      <c r="E45" s="192" t="s">
        <v>232</v>
      </c>
      <c r="F45" s="152">
        <f t="shared" si="1"/>
        <v>35</v>
      </c>
    </row>
    <row r="46" spans="1:6" x14ac:dyDescent="0.35">
      <c r="A46" s="152">
        <f t="shared" si="0"/>
        <v>36</v>
      </c>
      <c r="B46" s="244" t="s">
        <v>443</v>
      </c>
      <c r="C46" s="423">
        <f>C44+C45</f>
        <v>0</v>
      </c>
      <c r="D46" s="411"/>
      <c r="E46" s="192" t="s">
        <v>444</v>
      </c>
      <c r="F46" s="152">
        <f t="shared" si="1"/>
        <v>36</v>
      </c>
    </row>
    <row r="47" spans="1:6" x14ac:dyDescent="0.35">
      <c r="A47" s="152">
        <f t="shared" si="0"/>
        <v>37</v>
      </c>
      <c r="B47" s="173"/>
      <c r="C47" s="427"/>
      <c r="D47" s="411"/>
      <c r="E47" s="155"/>
      <c r="F47" s="152">
        <f t="shared" si="1"/>
        <v>37</v>
      </c>
    </row>
    <row r="48" spans="1:6" ht="16" thickBot="1" x14ac:dyDescent="0.4">
      <c r="A48" s="152">
        <f t="shared" si="0"/>
        <v>38</v>
      </c>
      <c r="B48" s="279" t="s">
        <v>445</v>
      </c>
      <c r="C48" s="431">
        <v>0</v>
      </c>
      <c r="D48" s="404"/>
      <c r="E48" s="192" t="s">
        <v>232</v>
      </c>
      <c r="F48" s="152">
        <f t="shared" si="1"/>
        <v>38</v>
      </c>
    </row>
    <row r="49" spans="1:6" ht="16" thickTop="1" x14ac:dyDescent="0.35">
      <c r="A49" s="152"/>
      <c r="B49" s="173"/>
      <c r="C49" s="427"/>
      <c r="D49" s="411"/>
      <c r="E49" s="155"/>
      <c r="F49" s="152"/>
    </row>
    <row r="50" spans="1:6" x14ac:dyDescent="0.35">
      <c r="A50" s="152"/>
      <c r="B50" s="173"/>
      <c r="C50" s="427"/>
      <c r="D50" s="411"/>
      <c r="E50" s="155"/>
      <c r="F50" s="152"/>
    </row>
    <row r="51" spans="1:6" x14ac:dyDescent="0.35">
      <c r="A51" s="23" t="s">
        <v>27</v>
      </c>
      <c r="B51" s="588" t="s">
        <v>821</v>
      </c>
      <c r="C51" s="427"/>
      <c r="D51" s="411"/>
      <c r="E51" s="155"/>
      <c r="F51" s="152"/>
    </row>
    <row r="52" spans="1:6" x14ac:dyDescent="0.35">
      <c r="A52" s="23"/>
      <c r="B52" s="588" t="s">
        <v>822</v>
      </c>
      <c r="C52" s="427"/>
      <c r="D52" s="411"/>
      <c r="E52" s="155"/>
      <c r="F52" s="152"/>
    </row>
    <row r="53" spans="1:6" x14ac:dyDescent="0.35">
      <c r="A53" s="23"/>
      <c r="B53" s="21" t="s">
        <v>823</v>
      </c>
      <c r="C53" s="427"/>
      <c r="D53" s="411"/>
      <c r="E53" s="155"/>
      <c r="F53" s="152"/>
    </row>
    <row r="54" spans="1:6" x14ac:dyDescent="0.35">
      <c r="A54" s="23"/>
      <c r="B54" s="588"/>
      <c r="C54" s="427"/>
      <c r="D54" s="411"/>
      <c r="E54" s="155"/>
      <c r="F54" s="152"/>
    </row>
    <row r="55" spans="1:6" x14ac:dyDescent="0.35">
      <c r="A55" s="152"/>
      <c r="B55" s="155"/>
      <c r="C55" s="156"/>
      <c r="D55" s="156"/>
      <c r="E55" s="156"/>
      <c r="F55" s="152"/>
    </row>
    <row r="56" spans="1:6" x14ac:dyDescent="0.35">
      <c r="A56" s="152"/>
      <c r="B56" s="897" t="str">
        <f>B2</f>
        <v>SAN DIEGO GAS &amp; ELECTRIC COMPANY</v>
      </c>
      <c r="C56" s="915"/>
      <c r="D56" s="915"/>
      <c r="E56" s="915"/>
      <c r="F56" s="152"/>
    </row>
    <row r="57" spans="1:6" x14ac:dyDescent="0.35">
      <c r="A57" s="152"/>
      <c r="B57" s="897" t="str">
        <f>B3</f>
        <v xml:space="preserve">Derivation of End Use Transmission Rate Base </v>
      </c>
      <c r="C57" s="915"/>
      <c r="D57" s="915"/>
      <c r="E57" s="915"/>
      <c r="F57" s="152"/>
    </row>
    <row r="58" spans="1:6" x14ac:dyDescent="0.35">
      <c r="A58" s="152"/>
      <c r="B58" s="916" t="str">
        <f>B4</f>
        <v>Base Period &amp; True-Up Period 12 - Months Ending December 31, 2022</v>
      </c>
      <c r="C58" s="917"/>
      <c r="D58" s="917"/>
      <c r="E58" s="917"/>
      <c r="F58" s="152"/>
    </row>
    <row r="59" spans="1:6" x14ac:dyDescent="0.35">
      <c r="A59" s="152"/>
      <c r="B59" s="918" t="s">
        <v>2</v>
      </c>
      <c r="C59" s="915"/>
      <c r="D59" s="915"/>
      <c r="E59" s="915"/>
      <c r="F59" s="152"/>
    </row>
    <row r="60" spans="1:6" x14ac:dyDescent="0.35">
      <c r="A60" s="152"/>
      <c r="B60" s="507"/>
      <c r="C60" s="156"/>
      <c r="D60" s="156"/>
      <c r="E60" s="156"/>
      <c r="F60" s="152"/>
    </row>
    <row r="61" spans="1:6" x14ac:dyDescent="0.35">
      <c r="A61" s="152" t="s">
        <v>3</v>
      </c>
      <c r="B61" s="507"/>
      <c r="C61" s="156"/>
      <c r="D61" s="156"/>
      <c r="E61" s="156"/>
      <c r="F61" s="152"/>
    </row>
    <row r="62" spans="1:6" x14ac:dyDescent="0.35">
      <c r="A62" s="152" t="s">
        <v>4</v>
      </c>
      <c r="B62" s="507"/>
      <c r="C62" s="156"/>
      <c r="D62" s="156"/>
      <c r="E62" s="156"/>
      <c r="F62" s="152"/>
    </row>
    <row r="63" spans="1:6" x14ac:dyDescent="0.35">
      <c r="A63" s="152"/>
      <c r="B63" s="279" t="s">
        <v>446</v>
      </c>
      <c r="C63" s="156"/>
      <c r="D63" s="156"/>
      <c r="E63" s="156"/>
      <c r="F63" s="152"/>
    </row>
    <row r="64" spans="1:6" x14ac:dyDescent="0.35">
      <c r="A64" s="152"/>
      <c r="B64" s="406"/>
      <c r="C64" s="404"/>
      <c r="D64" s="404"/>
      <c r="E64" s="155"/>
      <c r="F64" s="152"/>
    </row>
    <row r="65" spans="1:8" x14ac:dyDescent="0.35">
      <c r="A65" s="152">
        <v>1</v>
      </c>
      <c r="B65" s="279" t="s">
        <v>447</v>
      </c>
      <c r="C65" s="404"/>
      <c r="D65" s="404"/>
      <c r="E65" s="155"/>
      <c r="F65" s="152">
        <f t="shared" ref="F65:F89" si="2">A65</f>
        <v>1</v>
      </c>
    </row>
    <row r="66" spans="1:8" x14ac:dyDescent="0.35">
      <c r="A66" s="152">
        <v>2</v>
      </c>
      <c r="B66" s="171" t="s">
        <v>403</v>
      </c>
      <c r="C66" s="432">
        <v>7561575.1074746149</v>
      </c>
      <c r="D66" s="404"/>
      <c r="E66" s="192" t="s">
        <v>448</v>
      </c>
      <c r="F66" s="152">
        <f t="shared" si="2"/>
        <v>2</v>
      </c>
      <c r="G66" s="433"/>
      <c r="H66" s="434"/>
    </row>
    <row r="67" spans="1:8" x14ac:dyDescent="0.35">
      <c r="A67" s="152">
        <v>3</v>
      </c>
      <c r="B67" s="171" t="s">
        <v>449</v>
      </c>
      <c r="C67" s="435">
        <v>16345.628930661174</v>
      </c>
      <c r="D67" s="404"/>
      <c r="E67" s="192" t="s">
        <v>450</v>
      </c>
      <c r="F67" s="152">
        <f t="shared" si="2"/>
        <v>3</v>
      </c>
      <c r="G67" s="433"/>
      <c r="H67" s="434"/>
    </row>
    <row r="68" spans="1:8" x14ac:dyDescent="0.35">
      <c r="A68" s="152">
        <v>4</v>
      </c>
      <c r="B68" s="171" t="s">
        <v>233</v>
      </c>
      <c r="C68" s="435">
        <v>58499.721498188934</v>
      </c>
      <c r="D68" s="404"/>
      <c r="E68" s="192" t="s">
        <v>234</v>
      </c>
      <c r="F68" s="152">
        <f t="shared" si="2"/>
        <v>4</v>
      </c>
      <c r="G68" s="433"/>
      <c r="H68" s="436"/>
    </row>
    <row r="69" spans="1:8" x14ac:dyDescent="0.35">
      <c r="A69" s="152">
        <v>5</v>
      </c>
      <c r="B69" s="171" t="s">
        <v>407</v>
      </c>
      <c r="C69" s="586">
        <v>164102.84628287013</v>
      </c>
      <c r="D69" s="404"/>
      <c r="E69" s="192" t="s">
        <v>236</v>
      </c>
      <c r="F69" s="152">
        <f t="shared" si="2"/>
        <v>5</v>
      </c>
      <c r="G69" s="434"/>
      <c r="H69" s="434"/>
    </row>
    <row r="70" spans="1:8" x14ac:dyDescent="0.35">
      <c r="A70" s="152">
        <v>6</v>
      </c>
      <c r="B70" s="171" t="s">
        <v>451</v>
      </c>
      <c r="C70" s="410">
        <f>SUM(C66:C69)</f>
        <v>7800523.3041863348</v>
      </c>
      <c r="D70" s="411"/>
      <c r="E70" s="192" t="s">
        <v>410</v>
      </c>
      <c r="F70" s="152">
        <f t="shared" si="2"/>
        <v>6</v>
      </c>
      <c r="G70" s="433"/>
      <c r="H70" s="434"/>
    </row>
    <row r="71" spans="1:8" x14ac:dyDescent="0.35">
      <c r="A71" s="152">
        <v>7</v>
      </c>
      <c r="B71" s="244"/>
      <c r="C71" s="437"/>
      <c r="D71" s="404"/>
      <c r="E71" s="155"/>
      <c r="F71" s="152">
        <f t="shared" si="2"/>
        <v>7</v>
      </c>
      <c r="G71" s="434"/>
      <c r="H71" s="434"/>
    </row>
    <row r="72" spans="1:8" x14ac:dyDescent="0.35">
      <c r="A72" s="152">
        <v>8</v>
      </c>
      <c r="B72" s="278" t="s">
        <v>452</v>
      </c>
      <c r="C72" s="437"/>
      <c r="D72" s="404"/>
      <c r="E72" s="155"/>
      <c r="F72" s="152">
        <f t="shared" si="2"/>
        <v>8</v>
      </c>
      <c r="G72" s="434"/>
      <c r="H72" s="434"/>
    </row>
    <row r="73" spans="1:8" x14ac:dyDescent="0.35">
      <c r="A73" s="152">
        <v>9</v>
      </c>
      <c r="B73" s="244" t="s">
        <v>453</v>
      </c>
      <c r="C73" s="432">
        <v>1764563.4050461536</v>
      </c>
      <c r="D73" s="404"/>
      <c r="E73" s="192" t="s">
        <v>454</v>
      </c>
      <c r="F73" s="152">
        <f t="shared" si="2"/>
        <v>9</v>
      </c>
      <c r="G73" s="434"/>
      <c r="H73" s="434"/>
    </row>
    <row r="74" spans="1:8" x14ac:dyDescent="0.35">
      <c r="A74" s="152">
        <v>10</v>
      </c>
      <c r="B74" s="244" t="s">
        <v>455</v>
      </c>
      <c r="C74" s="435">
        <v>13082.093904123982</v>
      </c>
      <c r="D74" s="404"/>
      <c r="E74" s="192" t="s">
        <v>456</v>
      </c>
      <c r="F74" s="152">
        <f t="shared" si="2"/>
        <v>10</v>
      </c>
      <c r="G74" s="434"/>
      <c r="H74" s="434"/>
    </row>
    <row r="75" spans="1:8" x14ac:dyDescent="0.35">
      <c r="A75" s="152">
        <v>11</v>
      </c>
      <c r="B75" s="244" t="s">
        <v>457</v>
      </c>
      <c r="C75" s="435">
        <v>24810.299424117457</v>
      </c>
      <c r="D75" s="404"/>
      <c r="E75" s="192" t="s">
        <v>458</v>
      </c>
      <c r="F75" s="152">
        <f t="shared" si="2"/>
        <v>11</v>
      </c>
      <c r="G75" s="434"/>
      <c r="H75" s="434"/>
    </row>
    <row r="76" spans="1:8" x14ac:dyDescent="0.35">
      <c r="A76" s="152">
        <v>12</v>
      </c>
      <c r="B76" s="244" t="s">
        <v>459</v>
      </c>
      <c r="C76" s="586">
        <v>69024.636539358282</v>
      </c>
      <c r="D76" s="404"/>
      <c r="E76" s="192" t="s">
        <v>460</v>
      </c>
      <c r="F76" s="152">
        <f t="shared" si="2"/>
        <v>12</v>
      </c>
      <c r="G76" s="434"/>
      <c r="H76" s="434"/>
    </row>
    <row r="77" spans="1:8" x14ac:dyDescent="0.35">
      <c r="A77" s="152">
        <v>13</v>
      </c>
      <c r="B77" s="438" t="s">
        <v>461</v>
      </c>
      <c r="C77" s="410">
        <f>SUM(C73:C76)</f>
        <v>1871480.4349137531</v>
      </c>
      <c r="D77" s="411"/>
      <c r="E77" s="192" t="s">
        <v>462</v>
      </c>
      <c r="F77" s="152">
        <f t="shared" si="2"/>
        <v>13</v>
      </c>
      <c r="G77" s="434"/>
      <c r="H77" s="434"/>
    </row>
    <row r="78" spans="1:8" x14ac:dyDescent="0.35">
      <c r="A78" s="152">
        <v>14</v>
      </c>
      <c r="B78" s="438"/>
      <c r="C78" s="421"/>
      <c r="D78" s="422"/>
      <c r="E78" s="155"/>
      <c r="F78" s="152">
        <f t="shared" si="2"/>
        <v>14</v>
      </c>
      <c r="G78" s="434"/>
      <c r="H78" s="434"/>
    </row>
    <row r="79" spans="1:8" x14ac:dyDescent="0.35">
      <c r="A79" s="152">
        <v>15</v>
      </c>
      <c r="B79" s="279" t="s">
        <v>402</v>
      </c>
      <c r="C79" s="421"/>
      <c r="D79" s="422"/>
      <c r="E79" s="155"/>
      <c r="F79" s="152">
        <f t="shared" si="2"/>
        <v>15</v>
      </c>
      <c r="G79" s="434"/>
      <c r="H79" s="434"/>
    </row>
    <row r="80" spans="1:8" x14ac:dyDescent="0.35">
      <c r="A80" s="152">
        <v>16</v>
      </c>
      <c r="B80" s="171" t="s">
        <v>403</v>
      </c>
      <c r="C80" s="533">
        <f>C66-C73</f>
        <v>5797011.7024284611</v>
      </c>
      <c r="D80" s="650"/>
      <c r="E80" s="192" t="s">
        <v>463</v>
      </c>
      <c r="F80" s="152">
        <f t="shared" si="2"/>
        <v>16</v>
      </c>
      <c r="G80" s="434"/>
      <c r="H80" s="434"/>
    </row>
    <row r="81" spans="1:8" x14ac:dyDescent="0.35">
      <c r="A81" s="152">
        <v>17</v>
      </c>
      <c r="B81" s="171" t="s">
        <v>231</v>
      </c>
      <c r="C81" s="439">
        <f>C67-C74</f>
        <v>3263.5350265371926</v>
      </c>
      <c r="D81" s="440"/>
      <c r="E81" s="192" t="s">
        <v>464</v>
      </c>
      <c r="F81" s="152">
        <f t="shared" si="2"/>
        <v>17</v>
      </c>
      <c r="G81" s="434"/>
      <c r="H81" s="434"/>
    </row>
    <row r="82" spans="1:8" x14ac:dyDescent="0.35">
      <c r="A82" s="152">
        <v>18</v>
      </c>
      <c r="B82" s="171" t="s">
        <v>233</v>
      </c>
      <c r="C82" s="439">
        <f>C68-C75</f>
        <v>33689.422074071481</v>
      </c>
      <c r="D82" s="440"/>
      <c r="E82" s="192" t="s">
        <v>465</v>
      </c>
      <c r="F82" s="152">
        <f t="shared" si="2"/>
        <v>18</v>
      </c>
    </row>
    <row r="83" spans="1:8" x14ac:dyDescent="0.35">
      <c r="A83" s="152">
        <v>19</v>
      </c>
      <c r="B83" s="171" t="s">
        <v>407</v>
      </c>
      <c r="C83" s="587">
        <f>C69-C76</f>
        <v>95078.209743511849</v>
      </c>
      <c r="D83" s="441"/>
      <c r="E83" s="192" t="s">
        <v>466</v>
      </c>
      <c r="F83" s="152">
        <f t="shared" si="2"/>
        <v>19</v>
      </c>
    </row>
    <row r="84" spans="1:8" ht="16" thickBot="1" x14ac:dyDescent="0.4">
      <c r="A84" s="152">
        <v>20</v>
      </c>
      <c r="B84" s="244" t="s">
        <v>409</v>
      </c>
      <c r="C84" s="534">
        <f>SUM(C80:C83)</f>
        <v>5929042.8692725813</v>
      </c>
      <c r="D84" s="411"/>
      <c r="E84" s="192" t="s">
        <v>467</v>
      </c>
      <c r="F84" s="152">
        <f t="shared" si="2"/>
        <v>20</v>
      </c>
    </row>
    <row r="85" spans="1:8" ht="16" thickTop="1" x14ac:dyDescent="0.35">
      <c r="A85" s="152">
        <v>21</v>
      </c>
      <c r="B85" s="173"/>
      <c r="C85" s="411"/>
      <c r="D85" s="411"/>
      <c r="E85" s="155"/>
      <c r="F85" s="152">
        <f t="shared" si="2"/>
        <v>21</v>
      </c>
    </row>
    <row r="86" spans="1:8" x14ac:dyDescent="0.35">
      <c r="A86" s="152">
        <v>22</v>
      </c>
      <c r="B86" s="279" t="s">
        <v>468</v>
      </c>
      <c r="C86" s="411"/>
      <c r="D86" s="411"/>
      <c r="E86" s="155"/>
      <c r="F86" s="152">
        <f t="shared" si="2"/>
        <v>22</v>
      </c>
    </row>
    <row r="87" spans="1:8" x14ac:dyDescent="0.35">
      <c r="A87" s="152">
        <v>23</v>
      </c>
      <c r="B87" s="171" t="s">
        <v>469</v>
      </c>
      <c r="C87" s="428">
        <v>0</v>
      </c>
      <c r="D87" s="411"/>
      <c r="E87" s="192" t="s">
        <v>232</v>
      </c>
      <c r="F87" s="152">
        <f t="shared" si="2"/>
        <v>23</v>
      </c>
    </row>
    <row r="88" spans="1:8" x14ac:dyDescent="0.35">
      <c r="A88" s="152">
        <v>24</v>
      </c>
      <c r="B88" s="244" t="s">
        <v>470</v>
      </c>
      <c r="C88" s="585">
        <v>0</v>
      </c>
      <c r="D88" s="411"/>
      <c r="E88" s="192" t="s">
        <v>232</v>
      </c>
      <c r="F88" s="152">
        <f t="shared" si="2"/>
        <v>24</v>
      </c>
    </row>
    <row r="89" spans="1:8" ht="16" thickBot="1" x14ac:dyDescent="0.4">
      <c r="A89" s="152">
        <v>25</v>
      </c>
      <c r="B89" s="171" t="s">
        <v>471</v>
      </c>
      <c r="C89" s="442">
        <f>C87-C88</f>
        <v>0</v>
      </c>
      <c r="D89" s="411"/>
      <c r="E89" s="192" t="s">
        <v>472</v>
      </c>
      <c r="F89" s="152">
        <f t="shared" si="2"/>
        <v>25</v>
      </c>
    </row>
    <row r="90" spans="1:8" ht="16" thickTop="1" x14ac:dyDescent="0.35">
      <c r="A90" s="152"/>
    </row>
  </sheetData>
  <mergeCells count="8">
    <mergeCell ref="B2:E2"/>
    <mergeCell ref="B3:E3"/>
    <mergeCell ref="B4:E4"/>
    <mergeCell ref="B58:E58"/>
    <mergeCell ref="B59:E59"/>
    <mergeCell ref="B56:E56"/>
    <mergeCell ref="B57:E57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13.&amp;P&amp;R&amp;A</oddFooter>
  </headerFooter>
  <rowBreaks count="1" manualBreakCount="1">
    <brk id="5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F827-FFAB-4B56-B3FF-2570B5EC3295}">
  <dimension ref="A1:H86"/>
  <sheetViews>
    <sheetView zoomScale="80" zoomScaleNormal="80" workbookViewId="0"/>
  </sheetViews>
  <sheetFormatPr defaultColWidth="8.6328125" defaultRowHeight="15.5" x14ac:dyDescent="0.35"/>
  <cols>
    <col min="1" max="1" width="5.08984375" style="443" customWidth="1"/>
    <col min="2" max="2" width="83" style="403" customWidth="1"/>
    <col min="3" max="3" width="16.90625" style="403" customWidth="1"/>
    <col min="4" max="4" width="1.54296875" style="403" customWidth="1"/>
    <col min="5" max="5" width="38.6328125" style="403" customWidth="1"/>
    <col min="6" max="6" width="5.08984375" style="443" customWidth="1"/>
    <col min="7" max="16384" width="8.6328125" style="403"/>
  </cols>
  <sheetData>
    <row r="1" spans="1:8" x14ac:dyDescent="0.35">
      <c r="A1" s="554" t="s">
        <v>629</v>
      </c>
    </row>
    <row r="2" spans="1:8" x14ac:dyDescent="0.35">
      <c r="A2" s="152"/>
      <c r="B2" s="156"/>
      <c r="C2" s="402"/>
      <c r="D2" s="402"/>
      <c r="E2" s="155"/>
      <c r="F2" s="152"/>
    </row>
    <row r="3" spans="1:8" x14ac:dyDescent="0.35">
      <c r="A3" s="152"/>
      <c r="B3" s="897" t="s">
        <v>16</v>
      </c>
      <c r="C3" s="915"/>
      <c r="D3" s="915"/>
      <c r="E3" s="915"/>
      <c r="F3" s="152"/>
    </row>
    <row r="4" spans="1:8" x14ac:dyDescent="0.35">
      <c r="A4" s="152" t="s">
        <v>207</v>
      </c>
      <c r="B4" s="897" t="s">
        <v>400</v>
      </c>
      <c r="C4" s="915"/>
      <c r="D4" s="915"/>
      <c r="E4" s="915"/>
      <c r="F4" s="152" t="s">
        <v>207</v>
      </c>
    </row>
    <row r="5" spans="1:8" x14ac:dyDescent="0.35">
      <c r="A5" s="152"/>
      <c r="B5" s="916" t="s">
        <v>596</v>
      </c>
      <c r="C5" s="917"/>
      <c r="D5" s="917"/>
      <c r="E5" s="917"/>
      <c r="F5" s="152"/>
      <c r="H5" s="382"/>
    </row>
    <row r="6" spans="1:8" x14ac:dyDescent="0.35">
      <c r="A6" s="152"/>
      <c r="B6" s="918" t="s">
        <v>2</v>
      </c>
      <c r="C6" s="915"/>
      <c r="D6" s="915"/>
      <c r="E6" s="915"/>
      <c r="F6" s="152"/>
    </row>
    <row r="7" spans="1:8" x14ac:dyDescent="0.35">
      <c r="A7" s="152"/>
      <c r="B7" s="507"/>
      <c r="C7" s="156"/>
      <c r="D7" s="156"/>
      <c r="E7" s="156"/>
      <c r="F7" s="152"/>
    </row>
    <row r="8" spans="1:8" x14ac:dyDescent="0.35">
      <c r="A8" s="152" t="s">
        <v>3</v>
      </c>
      <c r="B8" s="156"/>
      <c r="C8" s="404"/>
      <c r="D8" s="404"/>
      <c r="E8" s="155"/>
      <c r="F8" s="152" t="s">
        <v>3</v>
      </c>
    </row>
    <row r="9" spans="1:8" x14ac:dyDescent="0.35">
      <c r="A9" s="152" t="s">
        <v>4</v>
      </c>
      <c r="B9" s="156" t="s">
        <v>207</v>
      </c>
      <c r="C9" s="580" t="s">
        <v>6</v>
      </c>
      <c r="D9" s="404"/>
      <c r="E9" s="581" t="s">
        <v>7</v>
      </c>
      <c r="F9" s="152" t="s">
        <v>4</v>
      </c>
    </row>
    <row r="10" spans="1:8" x14ac:dyDescent="0.35">
      <c r="A10" s="152"/>
      <c r="B10" s="279" t="s">
        <v>401</v>
      </c>
      <c r="C10" s="405"/>
      <c r="D10" s="404"/>
      <c r="E10" s="155"/>
      <c r="F10" s="152"/>
    </row>
    <row r="11" spans="1:8" x14ac:dyDescent="0.35">
      <c r="A11" s="152"/>
      <c r="B11" s="406"/>
      <c r="C11" s="405"/>
      <c r="D11" s="404"/>
      <c r="E11" s="155"/>
      <c r="F11" s="152"/>
    </row>
    <row r="12" spans="1:8" x14ac:dyDescent="0.35">
      <c r="A12" s="152">
        <v>1</v>
      </c>
      <c r="B12" s="279" t="s">
        <v>402</v>
      </c>
      <c r="C12" s="405"/>
      <c r="D12" s="405"/>
      <c r="E12" s="155"/>
      <c r="F12" s="152">
        <f>A12</f>
        <v>1</v>
      </c>
    </row>
    <row r="13" spans="1:8" x14ac:dyDescent="0.35">
      <c r="A13" s="152">
        <f>A12+1</f>
        <v>2</v>
      </c>
      <c r="B13" s="171" t="s">
        <v>403</v>
      </c>
      <c r="C13" s="407">
        <f>C76</f>
        <v>5797011.7024284611</v>
      </c>
      <c r="D13" s="649"/>
      <c r="E13" s="192" t="s">
        <v>404</v>
      </c>
      <c r="F13" s="152">
        <f>F12+1</f>
        <v>2</v>
      </c>
    </row>
    <row r="14" spans="1:8" x14ac:dyDescent="0.35">
      <c r="A14" s="152">
        <f t="shared" ref="A14:A49" si="0">A13+1</f>
        <v>3</v>
      </c>
      <c r="B14" s="171" t="s">
        <v>231</v>
      </c>
      <c r="C14" s="408">
        <f>C77</f>
        <v>3263.5350265371926</v>
      </c>
      <c r="D14" s="409"/>
      <c r="E14" s="192" t="s">
        <v>405</v>
      </c>
      <c r="F14" s="152">
        <f t="shared" ref="F14:F49" si="1">F13+1</f>
        <v>3</v>
      </c>
    </row>
    <row r="15" spans="1:8" x14ac:dyDescent="0.35">
      <c r="A15" s="152">
        <f t="shared" si="0"/>
        <v>4</v>
      </c>
      <c r="B15" s="171" t="s">
        <v>233</v>
      </c>
      <c r="C15" s="408">
        <f>C78</f>
        <v>33689.422074071481</v>
      </c>
      <c r="D15" s="409"/>
      <c r="E15" s="192" t="s">
        <v>406</v>
      </c>
      <c r="F15" s="152">
        <f t="shared" si="1"/>
        <v>4</v>
      </c>
    </row>
    <row r="16" spans="1:8" x14ac:dyDescent="0.35">
      <c r="A16" s="152">
        <f t="shared" si="0"/>
        <v>5</v>
      </c>
      <c r="B16" s="171" t="s">
        <v>407</v>
      </c>
      <c r="C16" s="582">
        <f>C79</f>
        <v>95078.209743511849</v>
      </c>
      <c r="D16" s="409"/>
      <c r="E16" s="192" t="s">
        <v>408</v>
      </c>
      <c r="F16" s="152">
        <f t="shared" si="1"/>
        <v>5</v>
      </c>
    </row>
    <row r="17" spans="1:6" x14ac:dyDescent="0.35">
      <c r="A17" s="152">
        <f t="shared" si="0"/>
        <v>6</v>
      </c>
      <c r="B17" s="171" t="s">
        <v>409</v>
      </c>
      <c r="C17" s="410">
        <f>SUM(C13:C16)</f>
        <v>5929042.8692725813</v>
      </c>
      <c r="D17" s="411"/>
      <c r="E17" s="192" t="s">
        <v>410</v>
      </c>
      <c r="F17" s="152">
        <f t="shared" si="1"/>
        <v>6</v>
      </c>
    </row>
    <row r="18" spans="1:6" x14ac:dyDescent="0.35">
      <c r="A18" s="152">
        <f t="shared" si="0"/>
        <v>7</v>
      </c>
      <c r="B18" s="244"/>
      <c r="C18" s="412"/>
      <c r="D18" s="413"/>
      <c r="E18" s="155"/>
      <c r="F18" s="152">
        <f t="shared" si="1"/>
        <v>7</v>
      </c>
    </row>
    <row r="19" spans="1:6" x14ac:dyDescent="0.35">
      <c r="A19" s="152">
        <f t="shared" si="0"/>
        <v>8</v>
      </c>
      <c r="B19" s="279" t="s">
        <v>411</v>
      </c>
      <c r="C19" s="412"/>
      <c r="D19" s="413"/>
      <c r="E19" s="155"/>
      <c r="F19" s="152">
        <f t="shared" si="1"/>
        <v>8</v>
      </c>
    </row>
    <row r="20" spans="1:6" x14ac:dyDescent="0.35">
      <c r="A20" s="152">
        <f t="shared" si="0"/>
        <v>9</v>
      </c>
      <c r="B20" s="171" t="s">
        <v>412</v>
      </c>
      <c r="C20" s="414">
        <v>0</v>
      </c>
      <c r="D20" s="404"/>
      <c r="E20" s="192" t="s">
        <v>413</v>
      </c>
      <c r="F20" s="152">
        <f t="shared" si="1"/>
        <v>9</v>
      </c>
    </row>
    <row r="21" spans="1:6" x14ac:dyDescent="0.35">
      <c r="A21" s="152">
        <f t="shared" si="0"/>
        <v>10</v>
      </c>
      <c r="B21" s="171" t="s">
        <v>414</v>
      </c>
      <c r="C21" s="415">
        <v>0</v>
      </c>
      <c r="D21" s="404"/>
      <c r="E21" s="192" t="s">
        <v>415</v>
      </c>
      <c r="F21" s="152">
        <f t="shared" si="1"/>
        <v>10</v>
      </c>
    </row>
    <row r="22" spans="1:6" x14ac:dyDescent="0.35">
      <c r="A22" s="152">
        <f t="shared" si="0"/>
        <v>11</v>
      </c>
      <c r="B22" s="171" t="s">
        <v>416</v>
      </c>
      <c r="C22" s="416">
        <f>C20+C21</f>
        <v>0</v>
      </c>
      <c r="D22" s="417"/>
      <c r="E22" s="192" t="s">
        <v>417</v>
      </c>
      <c r="F22" s="152">
        <f t="shared" si="1"/>
        <v>11</v>
      </c>
    </row>
    <row r="23" spans="1:6" x14ac:dyDescent="0.35">
      <c r="A23" s="152">
        <f t="shared" si="0"/>
        <v>12</v>
      </c>
      <c r="B23" s="171"/>
      <c r="C23" s="418"/>
      <c r="D23" s="402"/>
      <c r="E23" s="155"/>
      <c r="F23" s="152">
        <f t="shared" si="1"/>
        <v>12</v>
      </c>
    </row>
    <row r="24" spans="1:6" x14ac:dyDescent="0.35">
      <c r="A24" s="152">
        <f t="shared" si="0"/>
        <v>13</v>
      </c>
      <c r="B24" s="279" t="s">
        <v>418</v>
      </c>
      <c r="C24" s="412"/>
      <c r="D24" s="413"/>
      <c r="E24" s="155"/>
      <c r="F24" s="152">
        <f t="shared" si="1"/>
        <v>13</v>
      </c>
    </row>
    <row r="25" spans="1:6" x14ac:dyDescent="0.35">
      <c r="A25" s="152">
        <f t="shared" si="0"/>
        <v>14</v>
      </c>
      <c r="B25" s="244" t="s">
        <v>419</v>
      </c>
      <c r="C25" s="419">
        <v>-1073824.6994130181</v>
      </c>
      <c r="D25" s="404"/>
      <c r="E25" s="192" t="s">
        <v>420</v>
      </c>
      <c r="F25" s="152">
        <f t="shared" si="1"/>
        <v>14</v>
      </c>
    </row>
    <row r="26" spans="1:6" x14ac:dyDescent="0.35">
      <c r="A26" s="152">
        <f t="shared" si="0"/>
        <v>15</v>
      </c>
      <c r="B26" s="244" t="s">
        <v>421</v>
      </c>
      <c r="C26" s="420">
        <v>0</v>
      </c>
      <c r="D26" s="404"/>
      <c r="E26" s="192" t="s">
        <v>422</v>
      </c>
      <c r="F26" s="152">
        <f t="shared" si="1"/>
        <v>15</v>
      </c>
    </row>
    <row r="27" spans="1:6" x14ac:dyDescent="0.35">
      <c r="A27" s="152">
        <f t="shared" si="0"/>
        <v>16</v>
      </c>
      <c r="B27" s="171" t="s">
        <v>423</v>
      </c>
      <c r="C27" s="410">
        <f>SUM(C25:C26)</f>
        <v>-1073824.6994130181</v>
      </c>
      <c r="D27" s="411"/>
      <c r="E27" s="192" t="s">
        <v>424</v>
      </c>
      <c r="F27" s="152">
        <f t="shared" si="1"/>
        <v>16</v>
      </c>
    </row>
    <row r="28" spans="1:6" x14ac:dyDescent="0.35">
      <c r="A28" s="152">
        <f t="shared" si="0"/>
        <v>17</v>
      </c>
      <c r="B28" s="156"/>
      <c r="C28" s="421"/>
      <c r="D28" s="422"/>
      <c r="E28" s="155"/>
      <c r="F28" s="152">
        <f t="shared" si="1"/>
        <v>17</v>
      </c>
    </row>
    <row r="29" spans="1:6" x14ac:dyDescent="0.35">
      <c r="A29" s="152">
        <f t="shared" si="0"/>
        <v>18</v>
      </c>
      <c r="B29" s="279" t="s">
        <v>425</v>
      </c>
      <c r="C29" s="421"/>
      <c r="D29" s="422"/>
      <c r="E29" s="155"/>
      <c r="F29" s="152">
        <f t="shared" si="1"/>
        <v>18</v>
      </c>
    </row>
    <row r="30" spans="1:6" x14ac:dyDescent="0.35">
      <c r="A30" s="152">
        <f t="shared" si="0"/>
        <v>19</v>
      </c>
      <c r="B30" s="171" t="s">
        <v>426</v>
      </c>
      <c r="C30" s="407">
        <v>45902.493837903698</v>
      </c>
      <c r="D30" s="404"/>
      <c r="E30" s="192" t="s">
        <v>99</v>
      </c>
      <c r="F30" s="152">
        <f t="shared" si="1"/>
        <v>19</v>
      </c>
    </row>
    <row r="31" spans="1:6" x14ac:dyDescent="0.35">
      <c r="A31" s="152">
        <f t="shared" si="0"/>
        <v>20</v>
      </c>
      <c r="B31" s="171" t="s">
        <v>427</v>
      </c>
      <c r="C31" s="408">
        <v>44016.025239812618</v>
      </c>
      <c r="D31" s="404"/>
      <c r="E31" s="192" t="s">
        <v>101</v>
      </c>
      <c r="F31" s="152">
        <f t="shared" si="1"/>
        <v>20</v>
      </c>
    </row>
    <row r="32" spans="1:6" x14ac:dyDescent="0.35">
      <c r="A32" s="152">
        <f t="shared" si="0"/>
        <v>21</v>
      </c>
      <c r="B32" s="171" t="s">
        <v>428</v>
      </c>
      <c r="C32" s="582">
        <v>13110.120414222472</v>
      </c>
      <c r="D32" s="404"/>
      <c r="E32" s="192" t="s">
        <v>103</v>
      </c>
      <c r="F32" s="152">
        <f t="shared" si="1"/>
        <v>21</v>
      </c>
    </row>
    <row r="33" spans="1:6" x14ac:dyDescent="0.35">
      <c r="A33" s="152">
        <f t="shared" si="0"/>
        <v>22</v>
      </c>
      <c r="B33" s="171" t="s">
        <v>429</v>
      </c>
      <c r="C33" s="410">
        <f>SUM(C30:C32)</f>
        <v>103028.63949193878</v>
      </c>
      <c r="D33" s="411"/>
      <c r="E33" s="192" t="s">
        <v>430</v>
      </c>
      <c r="F33" s="152">
        <f t="shared" si="1"/>
        <v>22</v>
      </c>
    </row>
    <row r="34" spans="1:6" x14ac:dyDescent="0.35">
      <c r="A34" s="152">
        <f t="shared" si="0"/>
        <v>23</v>
      </c>
      <c r="B34" s="173"/>
      <c r="C34" s="424"/>
      <c r="D34" s="425"/>
      <c r="E34" s="155"/>
      <c r="F34" s="152">
        <f t="shared" si="1"/>
        <v>23</v>
      </c>
    </row>
    <row r="35" spans="1:6" x14ac:dyDescent="0.35">
      <c r="A35" s="152">
        <f t="shared" si="0"/>
        <v>24</v>
      </c>
      <c r="B35" s="171" t="s">
        <v>431</v>
      </c>
      <c r="C35" s="584">
        <v>0</v>
      </c>
      <c r="D35" s="404"/>
      <c r="E35" s="192" t="s">
        <v>432</v>
      </c>
      <c r="F35" s="152">
        <f t="shared" si="1"/>
        <v>24</v>
      </c>
    </row>
    <row r="36" spans="1:6" x14ac:dyDescent="0.35">
      <c r="A36" s="152">
        <f t="shared" si="0"/>
        <v>25</v>
      </c>
      <c r="B36" s="171"/>
      <c r="C36" s="424"/>
      <c r="D36" s="425"/>
      <c r="E36" s="155"/>
      <c r="F36" s="152">
        <f t="shared" si="1"/>
        <v>25</v>
      </c>
    </row>
    <row r="37" spans="1:6" ht="16" thickBot="1" x14ac:dyDescent="0.4">
      <c r="A37" s="152">
        <f t="shared" si="0"/>
        <v>26</v>
      </c>
      <c r="B37" s="171" t="s">
        <v>433</v>
      </c>
      <c r="C37" s="442">
        <f>C17+C22+C27+C33+C35</f>
        <v>4958246.809351502</v>
      </c>
      <c r="D37" s="411"/>
      <c r="E37" s="192" t="s">
        <v>434</v>
      </c>
      <c r="F37" s="152">
        <f t="shared" si="1"/>
        <v>26</v>
      </c>
    </row>
    <row r="38" spans="1:6" ht="16" thickTop="1" x14ac:dyDescent="0.35">
      <c r="A38" s="152">
        <f t="shared" si="0"/>
        <v>27</v>
      </c>
      <c r="B38" s="173"/>
      <c r="C38" s="427"/>
      <c r="D38" s="411"/>
      <c r="E38" s="155"/>
      <c r="F38" s="152">
        <f t="shared" si="1"/>
        <v>27</v>
      </c>
    </row>
    <row r="39" spans="1:6" x14ac:dyDescent="0.35">
      <c r="A39" s="152">
        <f t="shared" si="0"/>
        <v>28</v>
      </c>
      <c r="B39" s="279" t="s">
        <v>435</v>
      </c>
      <c r="C39" s="427"/>
      <c r="D39" s="411"/>
      <c r="E39" s="155"/>
      <c r="F39" s="152">
        <f t="shared" si="1"/>
        <v>28</v>
      </c>
    </row>
    <row r="40" spans="1:6" x14ac:dyDescent="0.35">
      <c r="A40" s="152">
        <f t="shared" si="0"/>
        <v>29</v>
      </c>
      <c r="B40" s="171" t="s">
        <v>436</v>
      </c>
      <c r="C40" s="428">
        <v>0</v>
      </c>
      <c r="D40" s="429"/>
      <c r="E40" s="192" t="s">
        <v>232</v>
      </c>
      <c r="F40" s="152">
        <f t="shared" si="1"/>
        <v>29</v>
      </c>
    </row>
    <row r="41" spans="1:6" x14ac:dyDescent="0.35">
      <c r="A41" s="152">
        <f t="shared" si="0"/>
        <v>30</v>
      </c>
      <c r="B41" s="171" t="s">
        <v>437</v>
      </c>
      <c r="C41" s="430">
        <v>0</v>
      </c>
      <c r="D41" s="404"/>
      <c r="E41" s="192" t="s">
        <v>232</v>
      </c>
      <c r="F41" s="152">
        <f t="shared" si="1"/>
        <v>30</v>
      </c>
    </row>
    <row r="42" spans="1:6" x14ac:dyDescent="0.35">
      <c r="A42" s="152">
        <f t="shared" si="0"/>
        <v>31</v>
      </c>
      <c r="B42" s="244" t="s">
        <v>438</v>
      </c>
      <c r="C42" s="423">
        <f>C40+C41</f>
        <v>0</v>
      </c>
      <c r="D42" s="411"/>
      <c r="E42" s="192" t="s">
        <v>439</v>
      </c>
      <c r="F42" s="152">
        <f t="shared" si="1"/>
        <v>31</v>
      </c>
    </row>
    <row r="43" spans="1:6" x14ac:dyDescent="0.35">
      <c r="A43" s="152">
        <f t="shared" si="0"/>
        <v>32</v>
      </c>
      <c r="B43" s="173"/>
      <c r="C43" s="427"/>
      <c r="D43" s="411"/>
      <c r="E43" s="155"/>
      <c r="F43" s="152">
        <f t="shared" si="1"/>
        <v>32</v>
      </c>
    </row>
    <row r="44" spans="1:6" x14ac:dyDescent="0.35">
      <c r="A44" s="152">
        <f t="shared" si="0"/>
        <v>33</v>
      </c>
      <c r="B44" s="279" t="s">
        <v>440</v>
      </c>
      <c r="C44" s="427"/>
      <c r="D44" s="411"/>
      <c r="E44" s="155"/>
      <c r="F44" s="152">
        <f t="shared" si="1"/>
        <v>33</v>
      </c>
    </row>
    <row r="45" spans="1:6" x14ac:dyDescent="0.35">
      <c r="A45" s="152">
        <f t="shared" si="0"/>
        <v>34</v>
      </c>
      <c r="B45" s="171" t="s">
        <v>441</v>
      </c>
      <c r="C45" s="428">
        <v>0</v>
      </c>
      <c r="D45" s="404"/>
      <c r="E45" s="192" t="s">
        <v>232</v>
      </c>
      <c r="F45" s="152">
        <f t="shared" si="1"/>
        <v>34</v>
      </c>
    </row>
    <row r="46" spans="1:6" x14ac:dyDescent="0.35">
      <c r="A46" s="152">
        <f t="shared" si="0"/>
        <v>35</v>
      </c>
      <c r="B46" s="244" t="s">
        <v>442</v>
      </c>
      <c r="C46" s="585">
        <v>0</v>
      </c>
      <c r="D46" s="404"/>
      <c r="E46" s="192" t="s">
        <v>232</v>
      </c>
      <c r="F46" s="152">
        <f t="shared" si="1"/>
        <v>35</v>
      </c>
    </row>
    <row r="47" spans="1:6" x14ac:dyDescent="0.35">
      <c r="A47" s="152">
        <f t="shared" si="0"/>
        <v>36</v>
      </c>
      <c r="B47" s="244" t="s">
        <v>443</v>
      </c>
      <c r="C47" s="423">
        <f>C45+C46</f>
        <v>0</v>
      </c>
      <c r="D47" s="411"/>
      <c r="E47" s="192" t="s">
        <v>444</v>
      </c>
      <c r="F47" s="152">
        <f t="shared" si="1"/>
        <v>36</v>
      </c>
    </row>
    <row r="48" spans="1:6" x14ac:dyDescent="0.35">
      <c r="A48" s="152">
        <f t="shared" si="0"/>
        <v>37</v>
      </c>
      <c r="B48" s="173"/>
      <c r="C48" s="427"/>
      <c r="D48" s="411"/>
      <c r="E48" s="155"/>
      <c r="F48" s="152">
        <f t="shared" si="1"/>
        <v>37</v>
      </c>
    </row>
    <row r="49" spans="1:8" ht="16" thickBot="1" x14ac:dyDescent="0.4">
      <c r="A49" s="152">
        <f t="shared" si="0"/>
        <v>38</v>
      </c>
      <c r="B49" s="279" t="s">
        <v>445</v>
      </c>
      <c r="C49" s="431">
        <v>0</v>
      </c>
      <c r="D49" s="404"/>
      <c r="E49" s="192" t="s">
        <v>232</v>
      </c>
      <c r="F49" s="152">
        <f t="shared" si="1"/>
        <v>38</v>
      </c>
    </row>
    <row r="50" spans="1:8" ht="16" thickTop="1" x14ac:dyDescent="0.35">
      <c r="A50" s="152"/>
      <c r="B50" s="173"/>
      <c r="C50" s="427"/>
      <c r="D50" s="411"/>
      <c r="E50" s="155"/>
      <c r="F50" s="152"/>
    </row>
    <row r="51" spans="1:8" x14ac:dyDescent="0.35">
      <c r="A51" s="152"/>
      <c r="B51" s="155"/>
      <c r="C51" s="156"/>
      <c r="D51" s="156"/>
      <c r="E51" s="156"/>
      <c r="F51" s="152"/>
    </row>
    <row r="52" spans="1:8" x14ac:dyDescent="0.35">
      <c r="A52" s="152"/>
      <c r="B52" s="897" t="str">
        <f>B3</f>
        <v>SAN DIEGO GAS &amp; ELECTRIC COMPANY</v>
      </c>
      <c r="C52" s="915"/>
      <c r="D52" s="915"/>
      <c r="E52" s="915"/>
      <c r="F52" s="152"/>
    </row>
    <row r="53" spans="1:8" x14ac:dyDescent="0.35">
      <c r="A53" s="152"/>
      <c r="B53" s="897" t="str">
        <f>B4</f>
        <v xml:space="preserve">Derivation of End Use Transmission Rate Base </v>
      </c>
      <c r="C53" s="915"/>
      <c r="D53" s="915"/>
      <c r="E53" s="915"/>
      <c r="F53" s="152"/>
    </row>
    <row r="54" spans="1:8" x14ac:dyDescent="0.35">
      <c r="A54" s="152"/>
      <c r="B54" s="916" t="str">
        <f>B5</f>
        <v>Base Period &amp; True-Up Period 12 - Months Ending December 31, 2022</v>
      </c>
      <c r="C54" s="917"/>
      <c r="D54" s="917"/>
      <c r="E54" s="917"/>
      <c r="F54" s="152"/>
    </row>
    <row r="55" spans="1:8" x14ac:dyDescent="0.35">
      <c r="A55" s="152"/>
      <c r="B55" s="918" t="s">
        <v>2</v>
      </c>
      <c r="C55" s="915"/>
      <c r="D55" s="915"/>
      <c r="E55" s="915"/>
      <c r="F55" s="152"/>
    </row>
    <row r="56" spans="1:8" x14ac:dyDescent="0.35">
      <c r="A56" s="152"/>
      <c r="B56" s="507"/>
      <c r="C56" s="156"/>
      <c r="D56" s="156"/>
      <c r="E56" s="156"/>
      <c r="F56" s="152"/>
    </row>
    <row r="57" spans="1:8" x14ac:dyDescent="0.35">
      <c r="A57" s="152" t="s">
        <v>3</v>
      </c>
      <c r="B57" s="507"/>
      <c r="C57" s="156"/>
      <c r="D57" s="156"/>
      <c r="E57" s="156"/>
      <c r="F57" s="152"/>
    </row>
    <row r="58" spans="1:8" x14ac:dyDescent="0.35">
      <c r="A58" s="152" t="s">
        <v>4</v>
      </c>
      <c r="B58" s="507"/>
      <c r="C58" s="156"/>
      <c r="D58" s="156"/>
      <c r="E58" s="156"/>
      <c r="F58" s="152"/>
    </row>
    <row r="59" spans="1:8" x14ac:dyDescent="0.35">
      <c r="A59" s="152"/>
      <c r="B59" s="279" t="s">
        <v>446</v>
      </c>
      <c r="C59" s="156"/>
      <c r="D59" s="156"/>
      <c r="E59" s="156"/>
      <c r="F59" s="152"/>
    </row>
    <row r="60" spans="1:8" x14ac:dyDescent="0.35">
      <c r="A60" s="152"/>
      <c r="B60" s="406"/>
      <c r="C60" s="404"/>
      <c r="D60" s="404"/>
      <c r="E60" s="155"/>
      <c r="F60" s="152"/>
    </row>
    <row r="61" spans="1:8" x14ac:dyDescent="0.35">
      <c r="A61" s="152">
        <v>1</v>
      </c>
      <c r="B61" s="279" t="s">
        <v>447</v>
      </c>
      <c r="C61" s="404"/>
      <c r="D61" s="404"/>
      <c r="E61" s="155"/>
      <c r="F61" s="152">
        <f t="shared" ref="F61:F85" si="2">A61</f>
        <v>1</v>
      </c>
    </row>
    <row r="62" spans="1:8" x14ac:dyDescent="0.35">
      <c r="A62" s="152">
        <v>2</v>
      </c>
      <c r="B62" s="171" t="s">
        <v>403</v>
      </c>
      <c r="C62" s="432">
        <v>7561575.1074746149</v>
      </c>
      <c r="D62" s="404"/>
      <c r="E62" s="192" t="s">
        <v>448</v>
      </c>
      <c r="F62" s="152">
        <f t="shared" si="2"/>
        <v>2</v>
      </c>
      <c r="G62" s="433"/>
      <c r="H62" s="434"/>
    </row>
    <row r="63" spans="1:8" x14ac:dyDescent="0.35">
      <c r="A63" s="152">
        <v>3</v>
      </c>
      <c r="B63" s="171" t="s">
        <v>449</v>
      </c>
      <c r="C63" s="435">
        <v>16345.628930661174</v>
      </c>
      <c r="D63" s="404"/>
      <c r="E63" s="192" t="s">
        <v>450</v>
      </c>
      <c r="F63" s="152">
        <f t="shared" si="2"/>
        <v>3</v>
      </c>
      <c r="G63" s="433"/>
      <c r="H63" s="434"/>
    </row>
    <row r="64" spans="1:8" x14ac:dyDescent="0.35">
      <c r="A64" s="152">
        <v>4</v>
      </c>
      <c r="B64" s="171" t="s">
        <v>233</v>
      </c>
      <c r="C64" s="435">
        <v>58499.721498188934</v>
      </c>
      <c r="D64" s="404"/>
      <c r="E64" s="192" t="s">
        <v>234</v>
      </c>
      <c r="F64" s="152">
        <f t="shared" si="2"/>
        <v>4</v>
      </c>
      <c r="G64" s="433"/>
      <c r="H64" s="436"/>
    </row>
    <row r="65" spans="1:8" x14ac:dyDescent="0.35">
      <c r="A65" s="152">
        <v>5</v>
      </c>
      <c r="B65" s="171" t="s">
        <v>407</v>
      </c>
      <c r="C65" s="586">
        <v>164102.84628287013</v>
      </c>
      <c r="D65" s="404"/>
      <c r="E65" s="192" t="s">
        <v>236</v>
      </c>
      <c r="F65" s="152">
        <f t="shared" si="2"/>
        <v>5</v>
      </c>
      <c r="G65" s="434"/>
      <c r="H65" s="434"/>
    </row>
    <row r="66" spans="1:8" x14ac:dyDescent="0.35">
      <c r="A66" s="152">
        <v>6</v>
      </c>
      <c r="B66" s="171" t="s">
        <v>451</v>
      </c>
      <c r="C66" s="410">
        <f>SUM(C62:C65)</f>
        <v>7800523.3041863348</v>
      </c>
      <c r="D66" s="411"/>
      <c r="E66" s="192" t="s">
        <v>410</v>
      </c>
      <c r="F66" s="152">
        <f t="shared" si="2"/>
        <v>6</v>
      </c>
      <c r="G66" s="433"/>
      <c r="H66" s="434"/>
    </row>
    <row r="67" spans="1:8" x14ac:dyDescent="0.35">
      <c r="A67" s="152">
        <v>7</v>
      </c>
      <c r="B67" s="244"/>
      <c r="C67" s="437"/>
      <c r="D67" s="404"/>
      <c r="E67" s="155"/>
      <c r="F67" s="152">
        <f t="shared" si="2"/>
        <v>7</v>
      </c>
      <c r="G67" s="434"/>
      <c r="H67" s="434"/>
    </row>
    <row r="68" spans="1:8" x14ac:dyDescent="0.35">
      <c r="A68" s="152">
        <v>8</v>
      </c>
      <c r="B68" s="278" t="s">
        <v>452</v>
      </c>
      <c r="C68" s="437"/>
      <c r="D68" s="404"/>
      <c r="E68" s="155"/>
      <c r="F68" s="152">
        <f t="shared" si="2"/>
        <v>8</v>
      </c>
      <c r="G68" s="434"/>
      <c r="H68" s="434"/>
    </row>
    <row r="69" spans="1:8" x14ac:dyDescent="0.35">
      <c r="A69" s="152">
        <v>9</v>
      </c>
      <c r="B69" s="244" t="s">
        <v>453</v>
      </c>
      <c r="C69" s="432">
        <v>1764563.4050461536</v>
      </c>
      <c r="D69" s="404"/>
      <c r="E69" s="192" t="s">
        <v>454</v>
      </c>
      <c r="F69" s="152">
        <f t="shared" si="2"/>
        <v>9</v>
      </c>
      <c r="G69" s="434"/>
      <c r="H69" s="434"/>
    </row>
    <row r="70" spans="1:8" x14ac:dyDescent="0.35">
      <c r="A70" s="152">
        <v>10</v>
      </c>
      <c r="B70" s="244" t="s">
        <v>455</v>
      </c>
      <c r="C70" s="435">
        <v>13082.093904123982</v>
      </c>
      <c r="D70" s="404"/>
      <c r="E70" s="192" t="s">
        <v>456</v>
      </c>
      <c r="F70" s="152">
        <f t="shared" si="2"/>
        <v>10</v>
      </c>
      <c r="G70" s="434"/>
      <c r="H70" s="434"/>
    </row>
    <row r="71" spans="1:8" x14ac:dyDescent="0.35">
      <c r="A71" s="152">
        <v>11</v>
      </c>
      <c r="B71" s="244" t="s">
        <v>457</v>
      </c>
      <c r="C71" s="435">
        <v>24810.299424117457</v>
      </c>
      <c r="D71" s="404"/>
      <c r="E71" s="192" t="s">
        <v>458</v>
      </c>
      <c r="F71" s="152">
        <f t="shared" si="2"/>
        <v>11</v>
      </c>
      <c r="G71" s="434"/>
      <c r="H71" s="434"/>
    </row>
    <row r="72" spans="1:8" x14ac:dyDescent="0.35">
      <c r="A72" s="152">
        <v>12</v>
      </c>
      <c r="B72" s="244" t="s">
        <v>459</v>
      </c>
      <c r="C72" s="586">
        <v>69024.636539358282</v>
      </c>
      <c r="D72" s="404"/>
      <c r="E72" s="192" t="s">
        <v>460</v>
      </c>
      <c r="F72" s="152">
        <f t="shared" si="2"/>
        <v>12</v>
      </c>
      <c r="G72" s="434"/>
      <c r="H72" s="434"/>
    </row>
    <row r="73" spans="1:8" x14ac:dyDescent="0.35">
      <c r="A73" s="152">
        <v>13</v>
      </c>
      <c r="B73" s="438" t="s">
        <v>461</v>
      </c>
      <c r="C73" s="410">
        <f>SUM(C69:C72)</f>
        <v>1871480.4349137531</v>
      </c>
      <c r="D73" s="411"/>
      <c r="E73" s="192" t="s">
        <v>462</v>
      </c>
      <c r="F73" s="152">
        <f t="shared" si="2"/>
        <v>13</v>
      </c>
      <c r="G73" s="434"/>
      <c r="H73" s="434"/>
    </row>
    <row r="74" spans="1:8" x14ac:dyDescent="0.35">
      <c r="A74" s="152">
        <v>14</v>
      </c>
      <c r="B74" s="438"/>
      <c r="C74" s="421"/>
      <c r="D74" s="422"/>
      <c r="E74" s="155"/>
      <c r="F74" s="152">
        <f t="shared" si="2"/>
        <v>14</v>
      </c>
      <c r="G74" s="434"/>
      <c r="H74" s="434"/>
    </row>
    <row r="75" spans="1:8" x14ac:dyDescent="0.35">
      <c r="A75" s="152">
        <v>15</v>
      </c>
      <c r="B75" s="279" t="s">
        <v>402</v>
      </c>
      <c r="C75" s="421"/>
      <c r="D75" s="422"/>
      <c r="E75" s="155"/>
      <c r="F75" s="152">
        <f t="shared" si="2"/>
        <v>15</v>
      </c>
      <c r="G75" s="434"/>
      <c r="H75" s="434"/>
    </row>
    <row r="76" spans="1:8" x14ac:dyDescent="0.35">
      <c r="A76" s="152">
        <v>16</v>
      </c>
      <c r="B76" s="171" t="s">
        <v>403</v>
      </c>
      <c r="C76" s="533">
        <f>C62-C69</f>
        <v>5797011.7024284611</v>
      </c>
      <c r="D76" s="650"/>
      <c r="E76" s="192" t="s">
        <v>463</v>
      </c>
      <c r="F76" s="152">
        <f t="shared" si="2"/>
        <v>16</v>
      </c>
      <c r="G76" s="434"/>
      <c r="H76" s="434"/>
    </row>
    <row r="77" spans="1:8" x14ac:dyDescent="0.35">
      <c r="A77" s="152">
        <v>17</v>
      </c>
      <c r="B77" s="171" t="s">
        <v>231</v>
      </c>
      <c r="C77" s="439">
        <f>C63-C70</f>
        <v>3263.5350265371926</v>
      </c>
      <c r="D77" s="440"/>
      <c r="E77" s="192" t="s">
        <v>464</v>
      </c>
      <c r="F77" s="152">
        <f t="shared" si="2"/>
        <v>17</v>
      </c>
      <c r="G77" s="434"/>
      <c r="H77" s="434"/>
    </row>
    <row r="78" spans="1:8" x14ac:dyDescent="0.35">
      <c r="A78" s="152">
        <v>18</v>
      </c>
      <c r="B78" s="171" t="s">
        <v>233</v>
      </c>
      <c r="C78" s="439">
        <f>C64-C71</f>
        <v>33689.422074071481</v>
      </c>
      <c r="D78" s="440"/>
      <c r="E78" s="192" t="s">
        <v>465</v>
      </c>
      <c r="F78" s="152">
        <f t="shared" si="2"/>
        <v>18</v>
      </c>
    </row>
    <row r="79" spans="1:8" x14ac:dyDescent="0.35">
      <c r="A79" s="152">
        <v>19</v>
      </c>
      <c r="B79" s="171" t="s">
        <v>407</v>
      </c>
      <c r="C79" s="587">
        <f>C65-C72</f>
        <v>95078.209743511849</v>
      </c>
      <c r="D79" s="441"/>
      <c r="E79" s="192" t="s">
        <v>466</v>
      </c>
      <c r="F79" s="152">
        <f t="shared" si="2"/>
        <v>19</v>
      </c>
    </row>
    <row r="80" spans="1:8" ht="16" thickBot="1" x14ac:dyDescent="0.4">
      <c r="A80" s="152">
        <v>20</v>
      </c>
      <c r="B80" s="244" t="s">
        <v>409</v>
      </c>
      <c r="C80" s="534">
        <f>SUM(C76:C79)</f>
        <v>5929042.8692725813</v>
      </c>
      <c r="D80" s="411"/>
      <c r="E80" s="192" t="s">
        <v>467</v>
      </c>
      <c r="F80" s="152">
        <f t="shared" si="2"/>
        <v>20</v>
      </c>
    </row>
    <row r="81" spans="1:6" ht="16" thickTop="1" x14ac:dyDescent="0.35">
      <c r="A81" s="152">
        <v>21</v>
      </c>
      <c r="B81" s="173"/>
      <c r="C81" s="411"/>
      <c r="D81" s="411"/>
      <c r="E81" s="155"/>
      <c r="F81" s="152">
        <f t="shared" si="2"/>
        <v>21</v>
      </c>
    </row>
    <row r="82" spans="1:6" x14ac:dyDescent="0.35">
      <c r="A82" s="152">
        <v>22</v>
      </c>
      <c r="B82" s="279" t="s">
        <v>468</v>
      </c>
      <c r="C82" s="411"/>
      <c r="D82" s="411"/>
      <c r="E82" s="155"/>
      <c r="F82" s="152">
        <f t="shared" si="2"/>
        <v>22</v>
      </c>
    </row>
    <row r="83" spans="1:6" x14ac:dyDescent="0.35">
      <c r="A83" s="152">
        <v>23</v>
      </c>
      <c r="B83" s="171" t="s">
        <v>469</v>
      </c>
      <c r="C83" s="428">
        <v>0</v>
      </c>
      <c r="D83" s="411"/>
      <c r="E83" s="192" t="s">
        <v>232</v>
      </c>
      <c r="F83" s="152">
        <f t="shared" si="2"/>
        <v>23</v>
      </c>
    </row>
    <row r="84" spans="1:6" x14ac:dyDescent="0.35">
      <c r="A84" s="152">
        <v>24</v>
      </c>
      <c r="B84" s="244" t="s">
        <v>470</v>
      </c>
      <c r="C84" s="585">
        <v>0</v>
      </c>
      <c r="D84" s="411"/>
      <c r="E84" s="192" t="s">
        <v>232</v>
      </c>
      <c r="F84" s="152">
        <f t="shared" si="2"/>
        <v>24</v>
      </c>
    </row>
    <row r="85" spans="1:6" ht="16" thickBot="1" x14ac:dyDescent="0.4">
      <c r="A85" s="152">
        <v>25</v>
      </c>
      <c r="B85" s="171" t="s">
        <v>471</v>
      </c>
      <c r="C85" s="442">
        <f>C83-C84</f>
        <v>0</v>
      </c>
      <c r="D85" s="411"/>
      <c r="E85" s="192" t="s">
        <v>472</v>
      </c>
      <c r="F85" s="152">
        <f t="shared" si="2"/>
        <v>25</v>
      </c>
    </row>
    <row r="86" spans="1:6" ht="16" thickTop="1" x14ac:dyDescent="0.35">
      <c r="A86" s="152"/>
    </row>
  </sheetData>
  <mergeCells count="8">
    <mergeCell ref="B3:E3"/>
    <mergeCell ref="B52:E52"/>
    <mergeCell ref="B53:E53"/>
    <mergeCell ref="B54:E54"/>
    <mergeCell ref="B55:E55"/>
    <mergeCell ref="B4:E4"/>
    <mergeCell ref="B5:E5"/>
    <mergeCell ref="B6:E6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Roman,Bold"&amp;8AS FILED</oddHeader>
    <oddFooter>&amp;L&amp;F&amp;CPage 14.&amp;P&amp;R&amp;A</oddFooter>
  </headerFooter>
  <rowBreaks count="1" manualBreakCount="1">
    <brk id="50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60"/>
  <sheetViews>
    <sheetView zoomScale="80" zoomScaleNormal="80" workbookViewId="0"/>
  </sheetViews>
  <sheetFormatPr defaultColWidth="9.1796875" defaultRowHeight="15.5" x14ac:dyDescent="0.35"/>
  <cols>
    <col min="1" max="1" width="5.1796875" style="443" customWidth="1"/>
    <col min="2" max="2" width="12.54296875" style="512" customWidth="1"/>
    <col min="3" max="3" width="20" style="512" customWidth="1"/>
    <col min="4" max="8" width="21.54296875" style="512" customWidth="1"/>
    <col min="9" max="9" width="5.1796875" style="443" customWidth="1"/>
    <col min="10" max="10" width="13.54296875" style="512" customWidth="1"/>
    <col min="11" max="11" width="12.54296875" style="512" customWidth="1"/>
    <col min="12" max="16384" width="9.1796875" style="512"/>
  </cols>
  <sheetData>
    <row r="1" spans="1:10" x14ac:dyDescent="0.35">
      <c r="D1" s="513"/>
    </row>
    <row r="2" spans="1:10" x14ac:dyDescent="0.35">
      <c r="B2" s="919" t="s">
        <v>16</v>
      </c>
      <c r="C2" s="919"/>
      <c r="D2" s="919"/>
      <c r="E2" s="919"/>
      <c r="F2" s="919"/>
      <c r="G2" s="919"/>
      <c r="H2" s="919"/>
      <c r="I2" s="514"/>
    </row>
    <row r="3" spans="1:10" x14ac:dyDescent="0.35">
      <c r="B3" s="920" t="s">
        <v>591</v>
      </c>
      <c r="C3" s="920"/>
      <c r="D3" s="920"/>
      <c r="E3" s="920"/>
      <c r="F3" s="920"/>
      <c r="G3" s="920"/>
      <c r="H3" s="920"/>
      <c r="I3" s="514"/>
    </row>
    <row r="4" spans="1:10" x14ac:dyDescent="0.35">
      <c r="B4" s="920" t="s">
        <v>634</v>
      </c>
      <c r="C4" s="920"/>
      <c r="D4" s="920"/>
      <c r="E4" s="920"/>
      <c r="F4" s="920"/>
      <c r="G4" s="920"/>
      <c r="H4" s="920"/>
      <c r="I4" s="514"/>
    </row>
    <row r="5" spans="1:10" x14ac:dyDescent="0.35">
      <c r="B5" s="921" t="s">
        <v>2</v>
      </c>
      <c r="C5" s="921"/>
      <c r="D5" s="921"/>
      <c r="E5" s="921"/>
      <c r="F5" s="921"/>
      <c r="G5" s="921"/>
      <c r="H5" s="921"/>
      <c r="I5" s="514"/>
    </row>
    <row r="6" spans="1:10" x14ac:dyDescent="0.35">
      <c r="A6" s="514"/>
      <c r="B6" s="514"/>
      <c r="C6" s="514"/>
      <c r="D6" s="514"/>
      <c r="E6" s="514"/>
      <c r="F6" s="514"/>
      <c r="G6" s="514"/>
      <c r="H6" s="514"/>
      <c r="I6" s="514"/>
    </row>
    <row r="7" spans="1:10" x14ac:dyDescent="0.35">
      <c r="A7" s="33" t="s">
        <v>3</v>
      </c>
      <c r="B7" s="50"/>
      <c r="I7" s="33" t="s">
        <v>3</v>
      </c>
    </row>
    <row r="8" spans="1:10" x14ac:dyDescent="0.35">
      <c r="A8" s="555" t="s">
        <v>4</v>
      </c>
      <c r="B8" s="50"/>
      <c r="I8" s="555" t="s">
        <v>4</v>
      </c>
    </row>
    <row r="9" spans="1:10" x14ac:dyDescent="0.35">
      <c r="A9" s="33">
        <v>1</v>
      </c>
      <c r="C9" s="264" t="s">
        <v>128</v>
      </c>
      <c r="D9" s="264" t="s">
        <v>129</v>
      </c>
      <c r="E9" s="264" t="s">
        <v>130</v>
      </c>
      <c r="F9" s="264" t="s">
        <v>131</v>
      </c>
      <c r="G9" s="264" t="s">
        <v>132</v>
      </c>
      <c r="H9" s="264" t="s">
        <v>133</v>
      </c>
      <c r="I9" s="33">
        <v>1</v>
      </c>
    </row>
    <row r="10" spans="1:10" x14ac:dyDescent="0.35">
      <c r="A10" s="33">
        <f t="shared" ref="A10:A32" si="0">A9+1</f>
        <v>2</v>
      </c>
      <c r="B10" s="515" t="s">
        <v>139</v>
      </c>
      <c r="C10" s="33"/>
      <c r="D10" s="65" t="s">
        <v>473</v>
      </c>
      <c r="E10" s="33"/>
      <c r="F10" s="33" t="s">
        <v>474</v>
      </c>
      <c r="G10" s="33" t="s">
        <v>475</v>
      </c>
      <c r="H10" s="65" t="s">
        <v>476</v>
      </c>
      <c r="I10" s="33">
        <f t="shared" ref="I10:I32" si="1">I9+1</f>
        <v>2</v>
      </c>
    </row>
    <row r="11" spans="1:10" x14ac:dyDescent="0.35">
      <c r="A11" s="33">
        <f t="shared" si="0"/>
        <v>3</v>
      </c>
      <c r="C11" s="264"/>
      <c r="F11" s="308" t="s">
        <v>140</v>
      </c>
      <c r="H11" s="308" t="s">
        <v>140</v>
      </c>
      <c r="I11" s="33">
        <f t="shared" si="1"/>
        <v>3</v>
      </c>
    </row>
    <row r="12" spans="1:10" x14ac:dyDescent="0.35">
      <c r="A12" s="33">
        <f t="shared" si="0"/>
        <v>4</v>
      </c>
      <c r="C12" s="264"/>
      <c r="D12" s="308" t="s">
        <v>141</v>
      </c>
      <c r="E12" s="308"/>
      <c r="F12" s="308" t="s">
        <v>142</v>
      </c>
      <c r="H12" s="308" t="s">
        <v>142</v>
      </c>
      <c r="I12" s="33">
        <f t="shared" si="1"/>
        <v>4</v>
      </c>
    </row>
    <row r="13" spans="1:10" x14ac:dyDescent="0.35">
      <c r="A13" s="33">
        <f t="shared" si="0"/>
        <v>5</v>
      </c>
      <c r="C13" s="308"/>
      <c r="D13" s="308" t="s">
        <v>142</v>
      </c>
      <c r="E13" s="308" t="s">
        <v>141</v>
      </c>
      <c r="F13" s="308" t="s">
        <v>145</v>
      </c>
      <c r="H13" s="308" t="s">
        <v>145</v>
      </c>
      <c r="I13" s="33">
        <f t="shared" si="1"/>
        <v>5</v>
      </c>
    </row>
    <row r="14" spans="1:10" x14ac:dyDescent="0.35">
      <c r="A14" s="33">
        <f t="shared" si="0"/>
        <v>6</v>
      </c>
      <c r="C14" s="308"/>
      <c r="D14" s="308" t="s">
        <v>145</v>
      </c>
      <c r="E14" s="308" t="s">
        <v>148</v>
      </c>
      <c r="F14" s="308" t="s">
        <v>149</v>
      </c>
      <c r="G14" s="308"/>
      <c r="H14" s="308" t="s">
        <v>149</v>
      </c>
      <c r="I14" s="33">
        <f t="shared" si="1"/>
        <v>6</v>
      </c>
    </row>
    <row r="15" spans="1:10" ht="18" x14ac:dyDescent="0.35">
      <c r="A15" s="33">
        <f t="shared" si="0"/>
        <v>7</v>
      </c>
      <c r="B15" s="651" t="s">
        <v>150</v>
      </c>
      <c r="C15" s="651" t="s">
        <v>151</v>
      </c>
      <c r="D15" s="652" t="s">
        <v>149</v>
      </c>
      <c r="E15" s="652" t="s">
        <v>477</v>
      </c>
      <c r="F15" s="652" t="s">
        <v>158</v>
      </c>
      <c r="G15" s="653" t="s">
        <v>148</v>
      </c>
      <c r="H15" s="652" t="s">
        <v>159</v>
      </c>
      <c r="I15" s="33">
        <f t="shared" si="1"/>
        <v>7</v>
      </c>
    </row>
    <row r="16" spans="1:10" x14ac:dyDescent="0.35">
      <c r="A16" s="33">
        <f t="shared" si="0"/>
        <v>8</v>
      </c>
      <c r="B16" s="557" t="s">
        <v>160</v>
      </c>
      <c r="C16" s="558">
        <v>2022</v>
      </c>
      <c r="D16" s="833">
        <f>'Pg2 App X C12 Comparison'!G53/12</f>
        <v>-1.0332498362501308</v>
      </c>
      <c r="E16" s="516">
        <v>2.8E-3</v>
      </c>
      <c r="F16" s="834">
        <f>+D16</f>
        <v>-1.0332498362501308</v>
      </c>
      <c r="G16" s="835">
        <f>(D16/2)*E16</f>
        <v>-1.4465497707501832E-3</v>
      </c>
      <c r="H16" s="836">
        <f t="shared" ref="H16:H32" si="2">F16+G16</f>
        <v>-1.0346963860208809</v>
      </c>
      <c r="I16" s="33">
        <f t="shared" si="1"/>
        <v>8</v>
      </c>
      <c r="J16" s="517"/>
    </row>
    <row r="17" spans="1:10" x14ac:dyDescent="0.35">
      <c r="A17" s="33">
        <f t="shared" si="0"/>
        <v>9</v>
      </c>
      <c r="B17" s="557" t="s">
        <v>161</v>
      </c>
      <c r="C17" s="558">
        <v>2022</v>
      </c>
      <c r="D17" s="837">
        <f t="shared" ref="D17:D27" si="3">$D$16</f>
        <v>-1.0332498362501308</v>
      </c>
      <c r="E17" s="516">
        <v>2.5000000000000001E-3</v>
      </c>
      <c r="F17" s="839">
        <f t="shared" ref="F17" si="4">H16+D17</f>
        <v>-2.0679462222710114</v>
      </c>
      <c r="G17" s="840">
        <f t="shared" ref="G17:G32" si="5">(H16+F17)/2*E17</f>
        <v>-3.8783032603648656E-3</v>
      </c>
      <c r="H17" s="841">
        <f t="shared" si="2"/>
        <v>-2.0718245255313761</v>
      </c>
      <c r="I17" s="33">
        <f t="shared" si="1"/>
        <v>9</v>
      </c>
      <c r="J17" s="517"/>
    </row>
    <row r="18" spans="1:10" x14ac:dyDescent="0.35">
      <c r="A18" s="33">
        <f t="shared" si="0"/>
        <v>10</v>
      </c>
      <c r="B18" s="557" t="s">
        <v>162</v>
      </c>
      <c r="C18" s="558">
        <v>2022</v>
      </c>
      <c r="D18" s="837">
        <f t="shared" si="3"/>
        <v>-1.0332498362501308</v>
      </c>
      <c r="E18" s="516">
        <v>2.8E-3</v>
      </c>
      <c r="F18" s="839">
        <f t="shared" ref="F18:F32" si="6">H17+D18</f>
        <v>-3.1050743617815071</v>
      </c>
      <c r="G18" s="840">
        <f t="shared" si="5"/>
        <v>-7.2476584422380367E-3</v>
      </c>
      <c r="H18" s="841">
        <f t="shared" si="2"/>
        <v>-3.1123220202237452</v>
      </c>
      <c r="I18" s="33">
        <f t="shared" si="1"/>
        <v>10</v>
      </c>
      <c r="J18" s="517"/>
    </row>
    <row r="19" spans="1:10" x14ac:dyDescent="0.35">
      <c r="A19" s="33">
        <f t="shared" si="0"/>
        <v>11</v>
      </c>
      <c r="B19" s="557" t="s">
        <v>163</v>
      </c>
      <c r="C19" s="558">
        <v>2022</v>
      </c>
      <c r="D19" s="837">
        <f t="shared" si="3"/>
        <v>-1.0332498362501308</v>
      </c>
      <c r="E19" s="516">
        <v>2.7000000000000001E-3</v>
      </c>
      <c r="F19" s="839">
        <f t="shared" si="6"/>
        <v>-4.1455718564738762</v>
      </c>
      <c r="G19" s="840">
        <f t="shared" si="5"/>
        <v>-9.7981567335417886E-3</v>
      </c>
      <c r="H19" s="841">
        <f t="shared" si="2"/>
        <v>-4.1553700132074178</v>
      </c>
      <c r="I19" s="33">
        <f t="shared" si="1"/>
        <v>11</v>
      </c>
      <c r="J19" s="517"/>
    </row>
    <row r="20" spans="1:10" x14ac:dyDescent="0.35">
      <c r="A20" s="33">
        <f t="shared" si="0"/>
        <v>12</v>
      </c>
      <c r="B20" s="557" t="s">
        <v>164</v>
      </c>
      <c r="C20" s="558">
        <v>2022</v>
      </c>
      <c r="D20" s="837">
        <f t="shared" si="3"/>
        <v>-1.0332498362501308</v>
      </c>
      <c r="E20" s="516">
        <v>2.8E-3</v>
      </c>
      <c r="F20" s="839">
        <f t="shared" si="6"/>
        <v>-5.1886198494575488</v>
      </c>
      <c r="G20" s="840">
        <f t="shared" si="5"/>
        <v>-1.3081585807730951E-2</v>
      </c>
      <c r="H20" s="841">
        <f t="shared" si="2"/>
        <v>-5.2017014352652797</v>
      </c>
      <c r="I20" s="33">
        <f t="shared" si="1"/>
        <v>12</v>
      </c>
      <c r="J20" s="517"/>
    </row>
    <row r="21" spans="1:10" x14ac:dyDescent="0.35">
      <c r="A21" s="33">
        <f t="shared" si="0"/>
        <v>13</v>
      </c>
      <c r="B21" s="557" t="s">
        <v>165</v>
      </c>
      <c r="C21" s="558">
        <v>2022</v>
      </c>
      <c r="D21" s="837">
        <f t="shared" si="3"/>
        <v>-1.0332498362501308</v>
      </c>
      <c r="E21" s="516">
        <v>2.7000000000000001E-3</v>
      </c>
      <c r="F21" s="839">
        <f t="shared" si="6"/>
        <v>-6.2349512715154107</v>
      </c>
      <c r="G21" s="840">
        <f t="shared" si="5"/>
        <v>-1.5439481154153934E-2</v>
      </c>
      <c r="H21" s="841">
        <f t="shared" si="2"/>
        <v>-6.2503907526695643</v>
      </c>
      <c r="I21" s="33">
        <f t="shared" si="1"/>
        <v>13</v>
      </c>
      <c r="J21" s="517"/>
    </row>
    <row r="22" spans="1:10" x14ac:dyDescent="0.35">
      <c r="A22" s="33">
        <f t="shared" si="0"/>
        <v>14</v>
      </c>
      <c r="B22" s="557" t="s">
        <v>166</v>
      </c>
      <c r="C22" s="558">
        <v>2022</v>
      </c>
      <c r="D22" s="837">
        <f t="shared" si="3"/>
        <v>-1.0332498362501308</v>
      </c>
      <c r="E22" s="516">
        <v>3.0999999999999999E-3</v>
      </c>
      <c r="F22" s="839">
        <f t="shared" si="6"/>
        <v>-7.2836405889196953</v>
      </c>
      <c r="G22" s="840">
        <f t="shared" si="5"/>
        <v>-2.097774857946335E-2</v>
      </c>
      <c r="H22" s="841">
        <f t="shared" si="2"/>
        <v>-7.3046183374991589</v>
      </c>
      <c r="I22" s="33">
        <f t="shared" si="1"/>
        <v>14</v>
      </c>
      <c r="J22" s="517"/>
    </row>
    <row r="23" spans="1:10" x14ac:dyDescent="0.35">
      <c r="A23" s="33">
        <f t="shared" si="0"/>
        <v>15</v>
      </c>
      <c r="B23" s="557" t="s">
        <v>167</v>
      </c>
      <c r="C23" s="558">
        <v>2022</v>
      </c>
      <c r="D23" s="837">
        <f t="shared" si="3"/>
        <v>-1.0332498362501308</v>
      </c>
      <c r="E23" s="516">
        <v>3.0999999999999999E-3</v>
      </c>
      <c r="F23" s="839">
        <f t="shared" si="6"/>
        <v>-8.337868173749289</v>
      </c>
      <c r="G23" s="840">
        <f t="shared" si="5"/>
        <v>-2.4245854092435095E-2</v>
      </c>
      <c r="H23" s="841">
        <f t="shared" si="2"/>
        <v>-8.3621140278417236</v>
      </c>
      <c r="I23" s="33">
        <f t="shared" si="1"/>
        <v>15</v>
      </c>
      <c r="J23" s="517"/>
    </row>
    <row r="24" spans="1:10" x14ac:dyDescent="0.35">
      <c r="A24" s="33">
        <f t="shared" si="0"/>
        <v>16</v>
      </c>
      <c r="B24" s="557" t="s">
        <v>168</v>
      </c>
      <c r="C24" s="558">
        <v>2022</v>
      </c>
      <c r="D24" s="837">
        <f t="shared" si="3"/>
        <v>-1.0332498362501308</v>
      </c>
      <c r="E24" s="516">
        <v>3.0000000000000001E-3</v>
      </c>
      <c r="F24" s="839">
        <f t="shared" si="6"/>
        <v>-9.3953638640918538</v>
      </c>
      <c r="G24" s="840">
        <f t="shared" si="5"/>
        <v>-2.6636216837900364E-2</v>
      </c>
      <c r="H24" s="841">
        <f t="shared" si="2"/>
        <v>-9.4220000809297542</v>
      </c>
      <c r="I24" s="33">
        <f t="shared" si="1"/>
        <v>16</v>
      </c>
      <c r="J24" s="517"/>
    </row>
    <row r="25" spans="1:10" x14ac:dyDescent="0.35">
      <c r="A25" s="33">
        <f t="shared" si="0"/>
        <v>17</v>
      </c>
      <c r="B25" s="557" t="s">
        <v>169</v>
      </c>
      <c r="C25" s="558">
        <v>2022</v>
      </c>
      <c r="D25" s="837">
        <f t="shared" si="3"/>
        <v>-1.0332498362501308</v>
      </c>
      <c r="E25" s="516">
        <v>4.1999999999999997E-3</v>
      </c>
      <c r="F25" s="839">
        <f t="shared" si="6"/>
        <v>-10.455249917179884</v>
      </c>
      <c r="G25" s="840">
        <f t="shared" si="5"/>
        <v>-4.1742224996030239E-2</v>
      </c>
      <c r="H25" s="841">
        <f t="shared" si="2"/>
        <v>-10.496992142175914</v>
      </c>
      <c r="I25" s="33">
        <f t="shared" si="1"/>
        <v>17</v>
      </c>
      <c r="J25" s="517"/>
    </row>
    <row r="26" spans="1:10" x14ac:dyDescent="0.35">
      <c r="A26" s="33">
        <f t="shared" si="0"/>
        <v>18</v>
      </c>
      <c r="B26" s="557" t="s">
        <v>170</v>
      </c>
      <c r="C26" s="558">
        <v>2022</v>
      </c>
      <c r="D26" s="837">
        <f t="shared" si="3"/>
        <v>-1.0332498362501308</v>
      </c>
      <c r="E26" s="516">
        <v>4.0000000000000001E-3</v>
      </c>
      <c r="F26" s="839">
        <f t="shared" si="6"/>
        <v>-11.530241978426044</v>
      </c>
      <c r="G26" s="840">
        <f t="shared" si="5"/>
        <v>-4.4054468241203924E-2</v>
      </c>
      <c r="H26" s="841">
        <f t="shared" si="2"/>
        <v>-11.574296446667248</v>
      </c>
      <c r="I26" s="33">
        <f t="shared" si="1"/>
        <v>18</v>
      </c>
      <c r="J26" s="517"/>
    </row>
    <row r="27" spans="1:10" x14ac:dyDescent="0.35">
      <c r="A27" s="33">
        <f t="shared" si="0"/>
        <v>19</v>
      </c>
      <c r="B27" s="559" t="s">
        <v>171</v>
      </c>
      <c r="C27" s="560">
        <v>2022</v>
      </c>
      <c r="D27" s="838">
        <f t="shared" si="3"/>
        <v>-1.0332498362501308</v>
      </c>
      <c r="E27" s="561">
        <v>4.1999999999999997E-3</v>
      </c>
      <c r="F27" s="842">
        <f t="shared" si="6"/>
        <v>-12.607546282917378</v>
      </c>
      <c r="G27" s="843">
        <f t="shared" si="5"/>
        <v>-5.0781869732127706E-2</v>
      </c>
      <c r="H27" s="844">
        <f t="shared" si="2"/>
        <v>-12.658328152649505</v>
      </c>
      <c r="I27" s="33">
        <f t="shared" si="1"/>
        <v>19</v>
      </c>
      <c r="J27" s="517"/>
    </row>
    <row r="28" spans="1:10" x14ac:dyDescent="0.35">
      <c r="A28" s="33">
        <f t="shared" si="0"/>
        <v>20</v>
      </c>
      <c r="B28" s="557" t="s">
        <v>160</v>
      </c>
      <c r="C28" s="558">
        <v>2023</v>
      </c>
      <c r="D28" s="675"/>
      <c r="E28" s="516">
        <v>5.4000000000000003E-3</v>
      </c>
      <c r="F28" s="839">
        <f t="shared" si="6"/>
        <v>-12.658328152649505</v>
      </c>
      <c r="G28" s="840">
        <f t="shared" si="5"/>
        <v>-6.8354972024307334E-2</v>
      </c>
      <c r="H28" s="841">
        <f t="shared" si="2"/>
        <v>-12.726683124673812</v>
      </c>
      <c r="I28" s="33">
        <f t="shared" si="1"/>
        <v>20</v>
      </c>
      <c r="J28" s="517"/>
    </row>
    <row r="29" spans="1:10" x14ac:dyDescent="0.35">
      <c r="A29" s="33">
        <f t="shared" si="0"/>
        <v>21</v>
      </c>
      <c r="B29" s="557" t="s">
        <v>161</v>
      </c>
      <c r="C29" s="558">
        <v>2023</v>
      </c>
      <c r="D29" s="675"/>
      <c r="E29" s="516">
        <v>4.7999999999999996E-3</v>
      </c>
      <c r="F29" s="839">
        <f t="shared" si="6"/>
        <v>-12.726683124673812</v>
      </c>
      <c r="G29" s="840">
        <f t="shared" si="5"/>
        <v>-6.1088078998434291E-2</v>
      </c>
      <c r="H29" s="841">
        <f t="shared" si="2"/>
        <v>-12.787771203672246</v>
      </c>
      <c r="I29" s="33">
        <f t="shared" si="1"/>
        <v>21</v>
      </c>
      <c r="J29" s="517"/>
    </row>
    <row r="30" spans="1:10" x14ac:dyDescent="0.35">
      <c r="A30" s="33">
        <f t="shared" si="0"/>
        <v>22</v>
      </c>
      <c r="B30" s="557" t="s">
        <v>162</v>
      </c>
      <c r="C30" s="558">
        <v>2023</v>
      </c>
      <c r="D30" s="675"/>
      <c r="E30" s="516">
        <v>5.4000000000000003E-3</v>
      </c>
      <c r="F30" s="839">
        <f t="shared" si="6"/>
        <v>-12.787771203672246</v>
      </c>
      <c r="G30" s="840">
        <f t="shared" si="5"/>
        <v>-6.9053964499830131E-2</v>
      </c>
      <c r="H30" s="841">
        <f t="shared" si="2"/>
        <v>-12.856825168172076</v>
      </c>
      <c r="I30" s="33">
        <f t="shared" si="1"/>
        <v>22</v>
      </c>
      <c r="J30" s="517"/>
    </row>
    <row r="31" spans="1:10" x14ac:dyDescent="0.35">
      <c r="A31" s="33">
        <f t="shared" si="0"/>
        <v>23</v>
      </c>
      <c r="B31" s="557" t="s">
        <v>163</v>
      </c>
      <c r="C31" s="558">
        <v>2023</v>
      </c>
      <c r="D31" s="675"/>
      <c r="E31" s="516">
        <v>6.1999999999999998E-3</v>
      </c>
      <c r="F31" s="839">
        <f t="shared" si="6"/>
        <v>-12.856825168172076</v>
      </c>
      <c r="G31" s="840">
        <f t="shared" si="5"/>
        <v>-7.9712316042666861E-2</v>
      </c>
      <c r="H31" s="841">
        <f t="shared" si="2"/>
        <v>-12.936537484214742</v>
      </c>
      <c r="I31" s="33">
        <f t="shared" si="1"/>
        <v>23</v>
      </c>
      <c r="J31" s="517"/>
    </row>
    <row r="32" spans="1:10" x14ac:dyDescent="0.35">
      <c r="A32" s="33">
        <f t="shared" si="0"/>
        <v>24</v>
      </c>
      <c r="B32" s="557" t="s">
        <v>164</v>
      </c>
      <c r="C32" s="558">
        <v>2023</v>
      </c>
      <c r="D32" s="675"/>
      <c r="E32" s="516">
        <v>6.4000000000000003E-3</v>
      </c>
      <c r="F32" s="839">
        <f t="shared" si="6"/>
        <v>-12.936537484214742</v>
      </c>
      <c r="G32" s="840">
        <f t="shared" si="5"/>
        <v>-8.2793839898974361E-2</v>
      </c>
      <c r="H32" s="841">
        <f t="shared" si="2"/>
        <v>-13.019331324113717</v>
      </c>
      <c r="I32" s="33">
        <f t="shared" si="1"/>
        <v>24</v>
      </c>
      <c r="J32" s="517"/>
    </row>
    <row r="33" spans="1:10" x14ac:dyDescent="0.35">
      <c r="A33" s="33">
        <f>A32+1</f>
        <v>25</v>
      </c>
      <c r="B33" s="557" t="s">
        <v>165</v>
      </c>
      <c r="C33" s="558">
        <v>2023</v>
      </c>
      <c r="D33" s="676"/>
      <c r="E33" s="516">
        <v>6.1999999999999998E-3</v>
      </c>
      <c r="F33" s="839">
        <f>H32+D33</f>
        <v>-13.019331324113717</v>
      </c>
      <c r="G33" s="845">
        <f>(H32+F33)/2*E33</f>
        <v>-8.0719854209505046E-2</v>
      </c>
      <c r="H33" s="841">
        <f>F33+G33</f>
        <v>-13.100051178323222</v>
      </c>
      <c r="I33" s="33">
        <f>I32+1</f>
        <v>25</v>
      </c>
      <c r="J33" s="517"/>
    </row>
    <row r="34" spans="1:10" x14ac:dyDescent="0.35">
      <c r="A34" s="33">
        <f t="shared" ref="A34:A52" si="7">A33+1</f>
        <v>26</v>
      </c>
      <c r="B34" s="557" t="s">
        <v>166</v>
      </c>
      <c r="C34" s="558">
        <v>2023</v>
      </c>
      <c r="D34" s="675"/>
      <c r="E34" s="516">
        <v>6.7999999999999996E-3</v>
      </c>
      <c r="F34" s="839">
        <f t="shared" ref="F34:F51" si="8">H33+D34</f>
        <v>-13.100051178323222</v>
      </c>
      <c r="G34" s="845">
        <f t="shared" ref="G34:G51" si="9">(H33+F34)/2*E34</f>
        <v>-8.9080348012597899E-2</v>
      </c>
      <c r="H34" s="841">
        <f t="shared" ref="H34:H51" si="10">F34+G34</f>
        <v>-13.189131526335819</v>
      </c>
      <c r="I34" s="33">
        <f t="shared" ref="I34:I52" si="11">I33+1</f>
        <v>26</v>
      </c>
      <c r="J34" s="517"/>
    </row>
    <row r="35" spans="1:10" x14ac:dyDescent="0.35">
      <c r="A35" s="33">
        <f t="shared" si="7"/>
        <v>27</v>
      </c>
      <c r="B35" s="557" t="s">
        <v>167</v>
      </c>
      <c r="C35" s="558">
        <v>2023</v>
      </c>
      <c r="D35" s="675"/>
      <c r="E35" s="516">
        <v>6.7999999999999996E-3</v>
      </c>
      <c r="F35" s="839">
        <f t="shared" si="8"/>
        <v>-13.189131526335819</v>
      </c>
      <c r="G35" s="845">
        <f t="shared" si="9"/>
        <v>-8.9686094379083564E-2</v>
      </c>
      <c r="H35" s="841">
        <f t="shared" si="10"/>
        <v>-13.278817620714902</v>
      </c>
      <c r="I35" s="33">
        <f t="shared" si="11"/>
        <v>27</v>
      </c>
      <c r="J35" s="517"/>
    </row>
    <row r="36" spans="1:10" x14ac:dyDescent="0.35">
      <c r="A36" s="33">
        <f t="shared" si="7"/>
        <v>28</v>
      </c>
      <c r="B36" s="557" t="s">
        <v>168</v>
      </c>
      <c r="C36" s="558">
        <v>2023</v>
      </c>
      <c r="D36" s="675"/>
      <c r="E36" s="516">
        <v>6.6E-3</v>
      </c>
      <c r="F36" s="839">
        <f t="shared" si="8"/>
        <v>-13.278817620714902</v>
      </c>
      <c r="G36" s="845">
        <f t="shared" si="9"/>
        <v>-8.7640196296718348E-2</v>
      </c>
      <c r="H36" s="841">
        <f t="shared" si="10"/>
        <v>-13.36645781701162</v>
      </c>
      <c r="I36" s="33">
        <f t="shared" si="11"/>
        <v>28</v>
      </c>
      <c r="J36" s="517"/>
    </row>
    <row r="37" spans="1:10" x14ac:dyDescent="0.35">
      <c r="A37" s="33">
        <f t="shared" si="7"/>
        <v>29</v>
      </c>
      <c r="B37" s="557" t="s">
        <v>169</v>
      </c>
      <c r="C37" s="558">
        <v>2023</v>
      </c>
      <c r="D37" s="675"/>
      <c r="E37" s="516">
        <v>7.1000000000000004E-3</v>
      </c>
      <c r="F37" s="839">
        <f t="shared" si="8"/>
        <v>-13.36645781701162</v>
      </c>
      <c r="G37" s="845">
        <f t="shared" si="9"/>
        <v>-9.4901850500782509E-2</v>
      </c>
      <c r="H37" s="841">
        <f t="shared" si="10"/>
        <v>-13.461359667512403</v>
      </c>
      <c r="I37" s="33">
        <f t="shared" si="11"/>
        <v>29</v>
      </c>
      <c r="J37" s="517"/>
    </row>
    <row r="38" spans="1:10" x14ac:dyDescent="0.35">
      <c r="A38" s="33">
        <f t="shared" si="7"/>
        <v>30</v>
      </c>
      <c r="B38" s="557" t="s">
        <v>170</v>
      </c>
      <c r="C38" s="558">
        <v>2023</v>
      </c>
      <c r="D38" s="675"/>
      <c r="E38" s="516">
        <v>6.8999999999999999E-3</v>
      </c>
      <c r="F38" s="839">
        <f t="shared" si="8"/>
        <v>-13.461359667512403</v>
      </c>
      <c r="G38" s="845">
        <f t="shared" si="9"/>
        <v>-9.2883381705835572E-2</v>
      </c>
      <c r="H38" s="841">
        <f t="shared" si="10"/>
        <v>-13.554243049218238</v>
      </c>
      <c r="I38" s="33">
        <f t="shared" si="11"/>
        <v>30</v>
      </c>
      <c r="J38" s="517"/>
    </row>
    <row r="39" spans="1:10" x14ac:dyDescent="0.35">
      <c r="A39" s="33">
        <f t="shared" si="7"/>
        <v>31</v>
      </c>
      <c r="B39" s="559" t="s">
        <v>171</v>
      </c>
      <c r="C39" s="560">
        <v>2023</v>
      </c>
      <c r="D39" s="677"/>
      <c r="E39" s="561">
        <v>7.1000000000000004E-3</v>
      </c>
      <c r="F39" s="842">
        <f t="shared" si="8"/>
        <v>-13.554243049218238</v>
      </c>
      <c r="G39" s="843">
        <f t="shared" si="9"/>
        <v>-9.6235125649449499E-2</v>
      </c>
      <c r="H39" s="844">
        <f t="shared" si="10"/>
        <v>-13.650478174867688</v>
      </c>
      <c r="I39" s="33">
        <f t="shared" si="11"/>
        <v>31</v>
      </c>
    </row>
    <row r="40" spans="1:10" x14ac:dyDescent="0.35">
      <c r="A40" s="33">
        <f t="shared" si="7"/>
        <v>32</v>
      </c>
      <c r="B40" s="557" t="s">
        <v>160</v>
      </c>
      <c r="C40" s="558">
        <v>2024</v>
      </c>
      <c r="D40" s="678"/>
      <c r="E40" s="516">
        <v>7.1999999999999998E-3</v>
      </c>
      <c r="F40" s="839">
        <f t="shared" si="8"/>
        <v>-13.650478174867688</v>
      </c>
      <c r="G40" s="845">
        <f t="shared" si="9"/>
        <v>-9.8283442859047346E-2</v>
      </c>
      <c r="H40" s="841">
        <f t="shared" si="10"/>
        <v>-13.748761617726736</v>
      </c>
      <c r="I40" s="33">
        <f t="shared" si="11"/>
        <v>32</v>
      </c>
    </row>
    <row r="41" spans="1:10" x14ac:dyDescent="0.35">
      <c r="A41" s="33">
        <f t="shared" si="7"/>
        <v>33</v>
      </c>
      <c r="B41" s="557" t="s">
        <v>161</v>
      </c>
      <c r="C41" s="558">
        <v>2024</v>
      </c>
      <c r="D41" s="678"/>
      <c r="E41" s="516">
        <v>6.7999999999999996E-3</v>
      </c>
      <c r="F41" s="839">
        <f t="shared" si="8"/>
        <v>-13.748761617726736</v>
      </c>
      <c r="G41" s="845">
        <f t="shared" si="9"/>
        <v>-9.3491579000541794E-2</v>
      </c>
      <c r="H41" s="841">
        <f t="shared" si="10"/>
        <v>-13.842253196727277</v>
      </c>
      <c r="I41" s="33">
        <f t="shared" si="11"/>
        <v>33</v>
      </c>
    </row>
    <row r="42" spans="1:10" x14ac:dyDescent="0.35">
      <c r="A42" s="33">
        <f t="shared" si="7"/>
        <v>34</v>
      </c>
      <c r="B42" s="557" t="s">
        <v>162</v>
      </c>
      <c r="C42" s="558">
        <v>2024</v>
      </c>
      <c r="D42" s="678"/>
      <c r="E42" s="516">
        <v>7.1999999999999998E-3</v>
      </c>
      <c r="F42" s="839">
        <f t="shared" si="8"/>
        <v>-13.842253196727277</v>
      </c>
      <c r="G42" s="845">
        <f t="shared" si="9"/>
        <v>-9.966422301643639E-2</v>
      </c>
      <c r="H42" s="841">
        <f t="shared" si="10"/>
        <v>-13.941917419743714</v>
      </c>
      <c r="I42" s="33">
        <f t="shared" si="11"/>
        <v>34</v>
      </c>
    </row>
    <row r="43" spans="1:10" x14ac:dyDescent="0.35">
      <c r="A43" s="33">
        <f t="shared" si="7"/>
        <v>35</v>
      </c>
      <c r="B43" s="557" t="s">
        <v>163</v>
      </c>
      <c r="C43" s="558">
        <v>2024</v>
      </c>
      <c r="D43" s="678"/>
      <c r="E43" s="516">
        <v>7.0000000000000001E-3</v>
      </c>
      <c r="F43" s="839">
        <f t="shared" si="8"/>
        <v>-13.941917419743714</v>
      </c>
      <c r="G43" s="845">
        <f t="shared" si="9"/>
        <v>-9.7593421938205999E-2</v>
      </c>
      <c r="H43" s="841">
        <f t="shared" si="10"/>
        <v>-14.039510841681921</v>
      </c>
      <c r="I43" s="33">
        <f t="shared" si="11"/>
        <v>35</v>
      </c>
    </row>
    <row r="44" spans="1:10" x14ac:dyDescent="0.35">
      <c r="A44" s="33">
        <f t="shared" si="7"/>
        <v>36</v>
      </c>
      <c r="B44" s="557" t="s">
        <v>164</v>
      </c>
      <c r="C44" s="558">
        <v>2024</v>
      </c>
      <c r="D44" s="678"/>
      <c r="E44" s="516">
        <v>7.1999999999999998E-3</v>
      </c>
      <c r="F44" s="839">
        <f t="shared" si="8"/>
        <v>-14.039510841681921</v>
      </c>
      <c r="G44" s="845">
        <f t="shared" si="9"/>
        <v>-0.10108447806010983</v>
      </c>
      <c r="H44" s="841">
        <f t="shared" si="10"/>
        <v>-14.14059531974203</v>
      </c>
      <c r="I44" s="33">
        <f t="shared" si="11"/>
        <v>36</v>
      </c>
    </row>
    <row r="45" spans="1:10" x14ac:dyDescent="0.35">
      <c r="A45" s="33">
        <f t="shared" si="7"/>
        <v>37</v>
      </c>
      <c r="B45" s="557" t="s">
        <v>165</v>
      </c>
      <c r="C45" s="558">
        <v>2024</v>
      </c>
      <c r="D45" s="678"/>
      <c r="E45" s="516">
        <v>7.0000000000000001E-3</v>
      </c>
      <c r="F45" s="839">
        <f t="shared" si="8"/>
        <v>-14.14059531974203</v>
      </c>
      <c r="G45" s="845">
        <f t="shared" si="9"/>
        <v>-9.8984167238194212E-2</v>
      </c>
      <c r="H45" s="841">
        <f t="shared" si="10"/>
        <v>-14.239579486980224</v>
      </c>
      <c r="I45" s="33">
        <f t="shared" si="11"/>
        <v>37</v>
      </c>
    </row>
    <row r="46" spans="1:10" x14ac:dyDescent="0.35">
      <c r="A46" s="33">
        <f t="shared" si="7"/>
        <v>38</v>
      </c>
      <c r="B46" s="557" t="s">
        <v>166</v>
      </c>
      <c r="C46" s="558">
        <v>2024</v>
      </c>
      <c r="D46" s="678"/>
      <c r="E46" s="516">
        <v>7.1999999999999998E-3</v>
      </c>
      <c r="F46" s="839">
        <f t="shared" si="8"/>
        <v>-14.239579486980224</v>
      </c>
      <c r="G46" s="845">
        <f t="shared" si="9"/>
        <v>-0.10252497230625761</v>
      </c>
      <c r="H46" s="841">
        <f t="shared" si="10"/>
        <v>-14.342104459286482</v>
      </c>
      <c r="I46" s="33">
        <f t="shared" si="11"/>
        <v>38</v>
      </c>
    </row>
    <row r="47" spans="1:10" x14ac:dyDescent="0.35">
      <c r="A47" s="33">
        <f t="shared" si="7"/>
        <v>39</v>
      </c>
      <c r="B47" s="557" t="s">
        <v>167</v>
      </c>
      <c r="C47" s="558">
        <v>2024</v>
      </c>
      <c r="D47" s="678"/>
      <c r="E47" s="516">
        <v>7.1999999999999998E-3</v>
      </c>
      <c r="F47" s="839">
        <f t="shared" si="8"/>
        <v>-14.342104459286482</v>
      </c>
      <c r="G47" s="845">
        <f t="shared" si="9"/>
        <v>-0.10326315210686267</v>
      </c>
      <c r="H47" s="841">
        <f t="shared" si="10"/>
        <v>-14.445367611393344</v>
      </c>
      <c r="I47" s="33">
        <f t="shared" si="11"/>
        <v>39</v>
      </c>
    </row>
    <row r="48" spans="1:10" x14ac:dyDescent="0.35">
      <c r="A48" s="33">
        <f t="shared" si="7"/>
        <v>40</v>
      </c>
      <c r="B48" s="557" t="s">
        <v>168</v>
      </c>
      <c r="C48" s="558">
        <v>2024</v>
      </c>
      <c r="D48" s="678"/>
      <c r="E48" s="516">
        <v>7.0000000000000001E-3</v>
      </c>
      <c r="F48" s="839">
        <f t="shared" si="8"/>
        <v>-14.445367611393344</v>
      </c>
      <c r="G48" s="845">
        <f t="shared" si="9"/>
        <v>-0.10111757327975342</v>
      </c>
      <c r="H48" s="841">
        <f t="shared" si="10"/>
        <v>-14.546485184673097</v>
      </c>
      <c r="I48" s="33">
        <f t="shared" si="11"/>
        <v>40</v>
      </c>
    </row>
    <row r="49" spans="1:9" x14ac:dyDescent="0.35">
      <c r="A49" s="33">
        <f t="shared" si="7"/>
        <v>41</v>
      </c>
      <c r="B49" s="557" t="s">
        <v>169</v>
      </c>
      <c r="C49" s="558">
        <v>2024</v>
      </c>
      <c r="D49" s="678"/>
      <c r="E49" s="516">
        <v>7.1999999999999998E-3</v>
      </c>
      <c r="F49" s="839">
        <f t="shared" si="8"/>
        <v>-14.546485184673097</v>
      </c>
      <c r="G49" s="845">
        <f t="shared" si="9"/>
        <v>-0.1047346933296463</v>
      </c>
      <c r="H49" s="841">
        <f t="shared" si="10"/>
        <v>-14.651219878002744</v>
      </c>
      <c r="I49" s="33">
        <f t="shared" si="11"/>
        <v>41</v>
      </c>
    </row>
    <row r="50" spans="1:9" x14ac:dyDescent="0.35">
      <c r="A50" s="33">
        <f t="shared" si="7"/>
        <v>42</v>
      </c>
      <c r="B50" s="557" t="s">
        <v>170</v>
      </c>
      <c r="C50" s="558">
        <v>2024</v>
      </c>
      <c r="D50" s="678"/>
      <c r="E50" s="516">
        <v>7.0000000000000001E-3</v>
      </c>
      <c r="F50" s="839">
        <f t="shared" si="8"/>
        <v>-14.651219878002744</v>
      </c>
      <c r="G50" s="845">
        <f t="shared" si="9"/>
        <v>-0.1025585391460192</v>
      </c>
      <c r="H50" s="841">
        <f t="shared" si="10"/>
        <v>-14.753778417148762</v>
      </c>
      <c r="I50" s="33">
        <f t="shared" si="11"/>
        <v>42</v>
      </c>
    </row>
    <row r="51" spans="1:9" x14ac:dyDescent="0.35">
      <c r="A51" s="33">
        <f t="shared" si="7"/>
        <v>43</v>
      </c>
      <c r="B51" s="559" t="s">
        <v>171</v>
      </c>
      <c r="C51" s="560">
        <v>2024</v>
      </c>
      <c r="D51" s="677"/>
      <c r="E51" s="922">
        <v>7.1999999999999998E-3</v>
      </c>
      <c r="F51" s="842">
        <f t="shared" si="8"/>
        <v>-14.753778417148762</v>
      </c>
      <c r="G51" s="843">
        <f t="shared" si="9"/>
        <v>-0.10622720460347108</v>
      </c>
      <c r="H51" s="846">
        <f t="shared" si="10"/>
        <v>-14.860005621752233</v>
      </c>
      <c r="I51" s="33">
        <f t="shared" si="11"/>
        <v>43</v>
      </c>
    </row>
    <row r="52" spans="1:9" ht="16" thickBot="1" x14ac:dyDescent="0.4">
      <c r="A52" s="33">
        <f t="shared" si="7"/>
        <v>44</v>
      </c>
      <c r="D52" s="847">
        <f>SUM(D16:D51)</f>
        <v>-12.398998035001567</v>
      </c>
      <c r="E52" s="542"/>
      <c r="F52" s="679"/>
      <c r="G52" s="848">
        <f>SUM(G16:G51)</f>
        <v>-2.4610075867506715</v>
      </c>
      <c r="H52" s="109"/>
      <c r="I52" s="33">
        <f t="shared" si="11"/>
        <v>44</v>
      </c>
    </row>
    <row r="53" spans="1:9" ht="16" thickTop="1" x14ac:dyDescent="0.35">
      <c r="A53" s="33"/>
      <c r="D53" s="831"/>
      <c r="E53" s="542"/>
      <c r="F53" s="679"/>
      <c r="G53" s="31"/>
      <c r="H53" s="109"/>
      <c r="I53" s="33"/>
    </row>
    <row r="54" spans="1:9" x14ac:dyDescent="0.35">
      <c r="D54" s="519"/>
      <c r="E54" s="519"/>
      <c r="F54" s="519"/>
      <c r="G54" s="275"/>
      <c r="H54" s="275"/>
    </row>
    <row r="55" spans="1:9" ht="18" x14ac:dyDescent="0.35">
      <c r="A55" s="277">
        <v>1</v>
      </c>
      <c r="B55" s="512" t="s">
        <v>177</v>
      </c>
      <c r="C55" s="520"/>
    </row>
    <row r="56" spans="1:9" ht="18" x14ac:dyDescent="0.35">
      <c r="A56" s="277">
        <v>2</v>
      </c>
      <c r="B56" s="512" t="s">
        <v>478</v>
      </c>
    </row>
    <row r="57" spans="1:9" ht="18" x14ac:dyDescent="0.35">
      <c r="A57" s="277">
        <v>3</v>
      </c>
      <c r="B57" s="512" t="s">
        <v>479</v>
      </c>
    </row>
    <row r="58" spans="1:9" x14ac:dyDescent="0.35">
      <c r="B58" s="512" t="s">
        <v>480</v>
      </c>
    </row>
    <row r="59" spans="1:9" x14ac:dyDescent="0.35">
      <c r="A59" s="589"/>
      <c r="B59" s="590" t="s">
        <v>482</v>
      </c>
      <c r="C59" s="590"/>
    </row>
    <row r="60" spans="1:9" x14ac:dyDescent="0.35">
      <c r="A60" s="923"/>
      <c r="B60" s="924"/>
      <c r="C60" s="924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&amp;L&amp;F&amp;CPage 15&amp;R&amp;A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8"/>
  <sheetViews>
    <sheetView zoomScale="80" zoomScaleNormal="80" workbookViewId="0"/>
  </sheetViews>
  <sheetFormatPr defaultColWidth="8.6328125" defaultRowHeight="15.5" x14ac:dyDescent="0.35"/>
  <cols>
    <col min="1" max="1" width="5.08984375" style="33" customWidth="1"/>
    <col min="2" max="2" width="73.08984375" style="17" bestFit="1" customWidth="1"/>
    <col min="3" max="3" width="19.36328125" style="17" customWidth="1"/>
    <col min="4" max="4" width="2" style="17" bestFit="1" customWidth="1"/>
    <col min="5" max="5" width="48.81640625" style="17" customWidth="1"/>
    <col min="6" max="6" width="5.08984375" style="33" customWidth="1"/>
    <col min="7" max="7" width="8.6328125" style="17"/>
    <col min="8" max="8" width="19" style="17" customWidth="1"/>
    <col min="9" max="16384" width="8.6328125" style="17"/>
  </cols>
  <sheetData>
    <row r="1" spans="1:8" x14ac:dyDescent="0.35">
      <c r="A1" s="154"/>
      <c r="B1" s="155"/>
      <c r="C1" s="155"/>
      <c r="D1" s="155"/>
      <c r="E1" s="155"/>
      <c r="F1" s="154"/>
    </row>
    <row r="2" spans="1:8" x14ac:dyDescent="0.35">
      <c r="A2" s="154"/>
      <c r="B2" s="897" t="s">
        <v>16</v>
      </c>
      <c r="C2" s="897"/>
      <c r="D2" s="897"/>
      <c r="E2" s="897"/>
      <c r="F2" s="155"/>
    </row>
    <row r="3" spans="1:8" x14ac:dyDescent="0.35">
      <c r="B3" s="897" t="s">
        <v>51</v>
      </c>
      <c r="C3" s="897"/>
      <c r="D3" s="897"/>
      <c r="E3" s="897"/>
      <c r="F3" s="151"/>
    </row>
    <row r="4" spans="1:8" x14ac:dyDescent="0.35">
      <c r="B4" s="897" t="s">
        <v>52</v>
      </c>
      <c r="C4" s="897"/>
      <c r="D4" s="897"/>
      <c r="E4" s="897"/>
      <c r="F4" s="151"/>
    </row>
    <row r="5" spans="1:8" x14ac:dyDescent="0.35">
      <c r="A5" s="154"/>
      <c r="B5" s="899" t="s">
        <v>594</v>
      </c>
      <c r="C5" s="899"/>
      <c r="D5" s="899"/>
      <c r="E5" s="899"/>
      <c r="F5" s="154"/>
      <c r="H5" s="382"/>
    </row>
    <row r="6" spans="1:8" x14ac:dyDescent="0.35">
      <c r="B6" s="898" t="s">
        <v>2</v>
      </c>
      <c r="C6" s="897"/>
      <c r="D6" s="897"/>
      <c r="E6" s="897"/>
      <c r="F6" s="151"/>
    </row>
    <row r="7" spans="1:8" ht="16" thickBot="1" x14ac:dyDescent="0.4">
      <c r="A7" s="154"/>
      <c r="B7" s="155"/>
      <c r="C7" s="157"/>
      <c r="D7" s="157"/>
      <c r="E7" s="156"/>
      <c r="F7" s="154"/>
    </row>
    <row r="8" spans="1:8" x14ac:dyDescent="0.35">
      <c r="A8" s="158" t="s">
        <v>3</v>
      </c>
      <c r="B8" s="159"/>
      <c r="C8" s="875"/>
      <c r="D8" s="155"/>
      <c r="E8" s="160"/>
      <c r="F8" s="152" t="s">
        <v>3</v>
      </c>
    </row>
    <row r="9" spans="1:8" x14ac:dyDescent="0.35">
      <c r="A9" s="158" t="s">
        <v>4</v>
      </c>
      <c r="B9" s="855" t="s">
        <v>22</v>
      </c>
      <c r="C9" s="876" t="s">
        <v>6</v>
      </c>
      <c r="D9" s="655"/>
      <c r="E9" s="864" t="s">
        <v>7</v>
      </c>
      <c r="F9" s="152" t="s">
        <v>4</v>
      </c>
    </row>
    <row r="10" spans="1:8" x14ac:dyDescent="0.35">
      <c r="A10" s="158"/>
      <c r="B10" s="856"/>
      <c r="C10" s="877"/>
      <c r="D10" s="163"/>
      <c r="E10" s="865"/>
      <c r="F10" s="152"/>
    </row>
    <row r="11" spans="1:8" x14ac:dyDescent="0.35">
      <c r="A11" s="158">
        <v>1</v>
      </c>
      <c r="B11" s="857" t="s">
        <v>24</v>
      </c>
      <c r="C11" s="878">
        <v>17.335895461388862</v>
      </c>
      <c r="D11" s="166"/>
      <c r="E11" s="866" t="s">
        <v>53</v>
      </c>
      <c r="F11" s="152">
        <f>A11</f>
        <v>1</v>
      </c>
      <c r="H11" s="593"/>
    </row>
    <row r="12" spans="1:8" x14ac:dyDescent="0.35">
      <c r="A12" s="158">
        <f>A11+1</f>
        <v>2</v>
      </c>
      <c r="B12" s="858"/>
      <c r="C12" s="879"/>
      <c r="D12" s="169"/>
      <c r="E12" s="867"/>
      <c r="F12" s="152">
        <f>F11+1</f>
        <v>2</v>
      </c>
      <c r="H12" s="593"/>
    </row>
    <row r="13" spans="1:8" x14ac:dyDescent="0.35">
      <c r="A13" s="158">
        <f t="shared" ref="A13:A28" si="0">A12+1</f>
        <v>3</v>
      </c>
      <c r="B13" s="857" t="s">
        <v>26</v>
      </c>
      <c r="C13" s="880">
        <f>'Pg5 Rev Sec.2-Non-Direct Exp'!E35</f>
        <v>3075.7334502659132</v>
      </c>
      <c r="D13" s="23" t="s">
        <v>27</v>
      </c>
      <c r="E13" s="866" t="s">
        <v>483</v>
      </c>
      <c r="F13" s="152">
        <f t="shared" ref="F13:F28" si="1">F12+1</f>
        <v>3</v>
      </c>
      <c r="H13" s="593"/>
    </row>
    <row r="14" spans="1:8" x14ac:dyDescent="0.35">
      <c r="A14" s="158">
        <f t="shared" si="0"/>
        <v>4</v>
      </c>
      <c r="B14" s="858"/>
      <c r="C14" s="881"/>
      <c r="D14" s="172"/>
      <c r="E14" s="868"/>
      <c r="F14" s="152">
        <f t="shared" si="1"/>
        <v>4</v>
      </c>
      <c r="H14" s="593"/>
    </row>
    <row r="15" spans="1:8" x14ac:dyDescent="0.35">
      <c r="A15" s="158">
        <f t="shared" si="0"/>
        <v>5</v>
      </c>
      <c r="B15" s="857" t="s">
        <v>29</v>
      </c>
      <c r="C15" s="446">
        <v>728.17667218680617</v>
      </c>
      <c r="D15" s="172"/>
      <c r="E15" s="866" t="s">
        <v>54</v>
      </c>
      <c r="F15" s="152">
        <f t="shared" si="1"/>
        <v>5</v>
      </c>
      <c r="H15" s="593"/>
    </row>
    <row r="16" spans="1:8" x14ac:dyDescent="0.35">
      <c r="A16" s="158">
        <f t="shared" si="0"/>
        <v>6</v>
      </c>
      <c r="B16" s="859"/>
      <c r="C16" s="595"/>
      <c r="D16" s="656"/>
      <c r="E16" s="866"/>
      <c r="F16" s="152">
        <f t="shared" si="1"/>
        <v>6</v>
      </c>
      <c r="H16" s="596"/>
    </row>
    <row r="17" spans="1:10" x14ac:dyDescent="0.35">
      <c r="A17" s="158">
        <f t="shared" si="0"/>
        <v>7</v>
      </c>
      <c r="B17" s="860" t="s">
        <v>55</v>
      </c>
      <c r="C17" s="882">
        <f>C11+C13+C15</f>
        <v>3821.2460179141081</v>
      </c>
      <c r="D17" s="23" t="s">
        <v>27</v>
      </c>
      <c r="E17" s="869" t="s">
        <v>56</v>
      </c>
      <c r="F17" s="152">
        <f t="shared" si="1"/>
        <v>7</v>
      </c>
      <c r="H17" s="596"/>
    </row>
    <row r="18" spans="1:10" x14ac:dyDescent="0.35">
      <c r="A18" s="158">
        <f t="shared" si="0"/>
        <v>8</v>
      </c>
      <c r="B18" s="859"/>
      <c r="C18" s="883"/>
      <c r="D18" s="873"/>
      <c r="E18" s="870"/>
      <c r="F18" s="152">
        <f t="shared" si="1"/>
        <v>8</v>
      </c>
      <c r="H18" s="593"/>
    </row>
    <row r="19" spans="1:10" x14ac:dyDescent="0.35">
      <c r="A19" s="158">
        <f t="shared" si="0"/>
        <v>9</v>
      </c>
      <c r="B19" s="857" t="s">
        <v>32</v>
      </c>
      <c r="C19" s="880">
        <f>'Pg7 Rev Sec 4-TU'!N30</f>
        <v>-24.256109489267228</v>
      </c>
      <c r="D19" s="23" t="s">
        <v>27</v>
      </c>
      <c r="E19" s="866" t="s">
        <v>484</v>
      </c>
      <c r="F19" s="152">
        <f t="shared" si="1"/>
        <v>9</v>
      </c>
      <c r="H19" s="596"/>
    </row>
    <row r="20" spans="1:10" x14ac:dyDescent="0.35">
      <c r="A20" s="158">
        <f t="shared" si="0"/>
        <v>10</v>
      </c>
      <c r="B20" s="857"/>
      <c r="C20" s="881"/>
      <c r="D20" s="172"/>
      <c r="E20" s="871"/>
      <c r="F20" s="152">
        <f t="shared" si="1"/>
        <v>10</v>
      </c>
      <c r="H20" s="593"/>
    </row>
    <row r="21" spans="1:10" x14ac:dyDescent="0.35">
      <c r="A21" s="158">
        <f t="shared" si="0"/>
        <v>11</v>
      </c>
      <c r="B21" s="857" t="s">
        <v>34</v>
      </c>
      <c r="C21" s="446">
        <v>3.1453614926939317</v>
      </c>
      <c r="D21" s="172"/>
      <c r="E21" s="869" t="s">
        <v>57</v>
      </c>
      <c r="F21" s="152">
        <f t="shared" si="1"/>
        <v>11</v>
      </c>
      <c r="H21" s="596"/>
    </row>
    <row r="22" spans="1:10" x14ac:dyDescent="0.35">
      <c r="A22" s="158">
        <f t="shared" si="0"/>
        <v>12</v>
      </c>
      <c r="B22" s="859"/>
      <c r="C22" s="179"/>
      <c r="D22" s="180"/>
      <c r="E22" s="869"/>
      <c r="F22" s="152">
        <f t="shared" si="1"/>
        <v>12</v>
      </c>
      <c r="H22" s="596"/>
    </row>
    <row r="23" spans="1:10" x14ac:dyDescent="0.35">
      <c r="A23" s="158">
        <f t="shared" si="0"/>
        <v>13</v>
      </c>
      <c r="B23" s="859" t="s">
        <v>36</v>
      </c>
      <c r="C23" s="74">
        <f>C17+C19+C21</f>
        <v>3800.135269917535</v>
      </c>
      <c r="D23" s="23" t="s">
        <v>27</v>
      </c>
      <c r="E23" s="869" t="s">
        <v>58</v>
      </c>
      <c r="F23" s="152">
        <f t="shared" si="1"/>
        <v>13</v>
      </c>
      <c r="H23" s="598"/>
    </row>
    <row r="24" spans="1:10" x14ac:dyDescent="0.35">
      <c r="A24" s="158">
        <f t="shared" si="0"/>
        <v>14</v>
      </c>
      <c r="B24" s="861"/>
      <c r="C24" s="599"/>
      <c r="D24" s="657"/>
      <c r="E24" s="869"/>
      <c r="F24" s="152">
        <f t="shared" si="1"/>
        <v>14</v>
      </c>
      <c r="H24" s="596"/>
    </row>
    <row r="25" spans="1:10" x14ac:dyDescent="0.35">
      <c r="A25" s="158">
        <f t="shared" si="0"/>
        <v>15</v>
      </c>
      <c r="B25" s="857" t="s">
        <v>37</v>
      </c>
      <c r="C25" s="447">
        <v>53</v>
      </c>
      <c r="D25" s="72"/>
      <c r="E25" s="869" t="s">
        <v>59</v>
      </c>
      <c r="F25" s="152">
        <f t="shared" si="1"/>
        <v>15</v>
      </c>
      <c r="H25" s="600"/>
    </row>
    <row r="26" spans="1:10" x14ac:dyDescent="0.35">
      <c r="A26" s="158">
        <f t="shared" si="0"/>
        <v>16</v>
      </c>
      <c r="B26" s="862"/>
      <c r="C26" s="601"/>
      <c r="D26" s="874"/>
      <c r="E26" s="869"/>
      <c r="F26" s="152">
        <f t="shared" si="1"/>
        <v>16</v>
      </c>
      <c r="H26" s="593"/>
    </row>
    <row r="27" spans="1:10" ht="16" thickBot="1" x14ac:dyDescent="0.4">
      <c r="A27" s="158">
        <f t="shared" si="0"/>
        <v>17</v>
      </c>
      <c r="B27" s="860" t="s">
        <v>39</v>
      </c>
      <c r="C27" s="183">
        <f>C23+C25</f>
        <v>3853.135269917535</v>
      </c>
      <c r="D27" s="23" t="s">
        <v>27</v>
      </c>
      <c r="E27" s="869" t="s">
        <v>60</v>
      </c>
      <c r="F27" s="152">
        <f t="shared" si="1"/>
        <v>17</v>
      </c>
      <c r="H27" s="600"/>
      <c r="I27" s="19"/>
      <c r="J27" s="184"/>
    </row>
    <row r="28" spans="1:10" ht="16.5" thickTop="1" thickBot="1" x14ac:dyDescent="0.4">
      <c r="A28" s="158">
        <f t="shared" si="0"/>
        <v>18</v>
      </c>
      <c r="B28" s="863"/>
      <c r="C28" s="884"/>
      <c r="D28" s="222"/>
      <c r="E28" s="872"/>
      <c r="F28" s="152">
        <f t="shared" si="1"/>
        <v>18</v>
      </c>
    </row>
    <row r="29" spans="1:10" x14ac:dyDescent="0.35">
      <c r="H29" s="382"/>
    </row>
    <row r="30" spans="1:10" ht="16" thickBot="1" x14ac:dyDescent="0.4">
      <c r="A30" s="154"/>
      <c r="B30" s="186"/>
      <c r="C30" s="187"/>
      <c r="D30" s="187"/>
      <c r="E30" s="187"/>
      <c r="F30" s="154"/>
      <c r="H30" s="382"/>
    </row>
    <row r="31" spans="1:10" x14ac:dyDescent="0.35">
      <c r="A31" s="158" t="s">
        <v>3</v>
      </c>
      <c r="B31" s="159"/>
      <c r="C31" s="875"/>
      <c r="D31" s="155"/>
      <c r="E31" s="155"/>
      <c r="F31" s="161" t="s">
        <v>3</v>
      </c>
    </row>
    <row r="32" spans="1:10" x14ac:dyDescent="0.35">
      <c r="A32" s="158" t="s">
        <v>4</v>
      </c>
      <c r="B32" s="855" t="s">
        <v>40</v>
      </c>
      <c r="C32" s="876" t="str">
        <f>C9</f>
        <v>Amounts</v>
      </c>
      <c r="D32" s="655"/>
      <c r="E32" s="655" t="str">
        <f>E9</f>
        <v>Reference</v>
      </c>
      <c r="F32" s="161" t="s">
        <v>4</v>
      </c>
    </row>
    <row r="33" spans="1:8" x14ac:dyDescent="0.35">
      <c r="A33" s="158">
        <f>A28+1</f>
        <v>19</v>
      </c>
      <c r="B33" s="862"/>
      <c r="C33" s="877"/>
      <c r="D33" s="163"/>
      <c r="E33" s="164"/>
      <c r="F33" s="161">
        <f>F28+1</f>
        <v>19</v>
      </c>
    </row>
    <row r="34" spans="1:8" x14ac:dyDescent="0.35">
      <c r="A34" s="158">
        <f>A33+1</f>
        <v>20</v>
      </c>
      <c r="B34" s="857" t="str">
        <f>B11</f>
        <v>Section 1 - Direct Maintenance Expense Cost Component</v>
      </c>
      <c r="C34" s="885">
        <f>C11/12</f>
        <v>1.4446579551157386</v>
      </c>
      <c r="D34" s="190"/>
      <c r="E34" s="167" t="s">
        <v>550</v>
      </c>
      <c r="F34" s="161">
        <f>F33+1</f>
        <v>20</v>
      </c>
    </row>
    <row r="35" spans="1:8" x14ac:dyDescent="0.35">
      <c r="A35" s="158">
        <f t="shared" ref="A35:A53" si="2">A34+1</f>
        <v>21</v>
      </c>
      <c r="B35" s="858"/>
      <c r="C35" s="886"/>
      <c r="D35" s="191"/>
      <c r="E35" s="192"/>
      <c r="F35" s="161">
        <f t="shared" ref="F35:F53" si="3">F34+1</f>
        <v>21</v>
      </c>
    </row>
    <row r="36" spans="1:8" x14ac:dyDescent="0.35">
      <c r="A36" s="158">
        <f t="shared" si="2"/>
        <v>22</v>
      </c>
      <c r="B36" s="857" t="str">
        <f>B13</f>
        <v>Section 2 - Non-Direct Expense Cost Component</v>
      </c>
      <c r="C36" s="887">
        <f>C13/12</f>
        <v>256.31112085549279</v>
      </c>
      <c r="D36" s="23" t="s">
        <v>27</v>
      </c>
      <c r="E36" s="167" t="s">
        <v>551</v>
      </c>
      <c r="F36" s="161">
        <f t="shared" si="3"/>
        <v>22</v>
      </c>
    </row>
    <row r="37" spans="1:8" x14ac:dyDescent="0.35">
      <c r="A37" s="158">
        <f t="shared" si="2"/>
        <v>23</v>
      </c>
      <c r="B37" s="858"/>
      <c r="C37" s="888"/>
      <c r="D37" s="193"/>
      <c r="E37" s="194"/>
      <c r="F37" s="161">
        <f t="shared" si="3"/>
        <v>23</v>
      </c>
    </row>
    <row r="38" spans="1:8" x14ac:dyDescent="0.35">
      <c r="A38" s="158">
        <f t="shared" si="2"/>
        <v>24</v>
      </c>
      <c r="B38" s="857" t="str">
        <f>B15</f>
        <v>Section 3 - Cost Component Containing Other Specific Expenses</v>
      </c>
      <c r="C38" s="448">
        <f>C15/12</f>
        <v>60.681389348900517</v>
      </c>
      <c r="D38" s="195"/>
      <c r="E38" s="167" t="s">
        <v>552</v>
      </c>
      <c r="F38" s="161">
        <f t="shared" si="3"/>
        <v>24</v>
      </c>
    </row>
    <row r="39" spans="1:8" x14ac:dyDescent="0.35">
      <c r="A39" s="158">
        <f t="shared" si="2"/>
        <v>25</v>
      </c>
      <c r="B39" s="859"/>
      <c r="C39" s="889"/>
      <c r="D39" s="193"/>
      <c r="E39" s="167"/>
      <c r="F39" s="161">
        <f t="shared" si="3"/>
        <v>25</v>
      </c>
    </row>
    <row r="40" spans="1:8" x14ac:dyDescent="0.35">
      <c r="A40" s="158">
        <f t="shared" si="2"/>
        <v>26</v>
      </c>
      <c r="B40" s="860" t="s">
        <v>61</v>
      </c>
      <c r="C40" s="890">
        <f>C34+C36+C38</f>
        <v>318.43716815950904</v>
      </c>
      <c r="D40" s="23" t="s">
        <v>27</v>
      </c>
      <c r="E40" s="175" t="s">
        <v>485</v>
      </c>
      <c r="F40" s="161">
        <f t="shared" si="3"/>
        <v>26</v>
      </c>
    </row>
    <row r="41" spans="1:8" x14ac:dyDescent="0.35">
      <c r="A41" s="158">
        <f t="shared" si="2"/>
        <v>27</v>
      </c>
      <c r="B41" s="862"/>
      <c r="C41" s="888"/>
      <c r="D41" s="193"/>
      <c r="E41" s="170"/>
      <c r="F41" s="161">
        <f t="shared" si="3"/>
        <v>27</v>
      </c>
      <c r="H41" s="603"/>
    </row>
    <row r="42" spans="1:8" x14ac:dyDescent="0.35">
      <c r="A42" s="158">
        <f t="shared" si="2"/>
        <v>28</v>
      </c>
      <c r="B42" s="857" t="str">
        <f>LEFT(B19,45)</f>
        <v>Section 4 - True-Up Adjustment Cost Component</v>
      </c>
      <c r="C42" s="887">
        <f>C19/12</f>
        <v>-2.0213424574389358</v>
      </c>
      <c r="D42" s="23" t="s">
        <v>27</v>
      </c>
      <c r="E42" s="167" t="s">
        <v>553</v>
      </c>
      <c r="F42" s="161">
        <f t="shared" si="3"/>
        <v>28</v>
      </c>
    </row>
    <row r="43" spans="1:8" x14ac:dyDescent="0.35">
      <c r="A43" s="158">
        <f t="shared" si="2"/>
        <v>29</v>
      </c>
      <c r="B43" s="857"/>
      <c r="C43" s="888"/>
      <c r="D43" s="193"/>
      <c r="E43" s="196"/>
      <c r="F43" s="161">
        <f t="shared" si="3"/>
        <v>29</v>
      </c>
    </row>
    <row r="44" spans="1:8" x14ac:dyDescent="0.35">
      <c r="A44" s="158">
        <f t="shared" si="2"/>
        <v>30</v>
      </c>
      <c r="B44" s="857" t="str">
        <f>B21</f>
        <v>Section 5 - Interest True-Up Adjustment Cost Component</v>
      </c>
      <c r="C44" s="891">
        <f>C21/12</f>
        <v>0.26211345772449429</v>
      </c>
      <c r="D44" s="311"/>
      <c r="E44" s="175" t="s">
        <v>554</v>
      </c>
      <c r="F44" s="161">
        <f t="shared" si="3"/>
        <v>30</v>
      </c>
    </row>
    <row r="45" spans="1:8" x14ac:dyDescent="0.35">
      <c r="A45" s="158">
        <f t="shared" si="2"/>
        <v>31</v>
      </c>
      <c r="B45" s="859"/>
      <c r="C45" s="197"/>
      <c r="D45" s="26"/>
      <c r="E45" s="198"/>
      <c r="F45" s="161">
        <f t="shared" si="3"/>
        <v>31</v>
      </c>
    </row>
    <row r="46" spans="1:8" x14ac:dyDescent="0.35">
      <c r="A46" s="158">
        <f t="shared" si="2"/>
        <v>32</v>
      </c>
      <c r="B46" s="857" t="str">
        <f>B25</f>
        <v>Other Adjustments</v>
      </c>
      <c r="C46" s="448">
        <f>C25/12</f>
        <v>4.416666666666667</v>
      </c>
      <c r="D46" s="195"/>
      <c r="E46" s="175" t="s">
        <v>555</v>
      </c>
      <c r="F46" s="161">
        <f t="shared" si="3"/>
        <v>32</v>
      </c>
    </row>
    <row r="47" spans="1:8" x14ac:dyDescent="0.35">
      <c r="A47" s="158">
        <f t="shared" si="2"/>
        <v>33</v>
      </c>
      <c r="B47" s="859"/>
      <c r="C47" s="197"/>
      <c r="D47" s="26"/>
      <c r="E47" s="198"/>
      <c r="F47" s="161">
        <f t="shared" si="3"/>
        <v>33</v>
      </c>
    </row>
    <row r="48" spans="1:8" x14ac:dyDescent="0.35">
      <c r="A48" s="158">
        <f t="shared" si="2"/>
        <v>34</v>
      </c>
      <c r="B48" s="859" t="s">
        <v>48</v>
      </c>
      <c r="C48" s="892">
        <f>C27/12</f>
        <v>321.09460582646125</v>
      </c>
      <c r="D48" s="23" t="s">
        <v>27</v>
      </c>
      <c r="E48" s="175" t="s">
        <v>556</v>
      </c>
      <c r="F48" s="161">
        <f t="shared" si="3"/>
        <v>34</v>
      </c>
      <c r="H48" s="596"/>
    </row>
    <row r="49" spans="1:6" x14ac:dyDescent="0.35">
      <c r="A49" s="158">
        <f t="shared" si="2"/>
        <v>35</v>
      </c>
      <c r="B49" s="862"/>
      <c r="C49" s="199"/>
      <c r="D49" s="200"/>
      <c r="E49" s="201"/>
      <c r="F49" s="161">
        <f t="shared" si="3"/>
        <v>35</v>
      </c>
    </row>
    <row r="50" spans="1:6" x14ac:dyDescent="0.35">
      <c r="A50" s="158">
        <f t="shared" si="2"/>
        <v>36</v>
      </c>
      <c r="B50" s="858" t="s">
        <v>13</v>
      </c>
      <c r="C50" s="449">
        <v>12</v>
      </c>
      <c r="D50" s="202"/>
      <c r="E50" s="201"/>
      <c r="F50" s="161">
        <f t="shared" si="3"/>
        <v>36</v>
      </c>
    </row>
    <row r="51" spans="1:6" x14ac:dyDescent="0.35">
      <c r="A51" s="158">
        <f t="shared" si="2"/>
        <v>37</v>
      </c>
      <c r="B51" s="862"/>
      <c r="C51" s="199"/>
      <c r="D51" s="200"/>
      <c r="E51" s="203"/>
      <c r="F51" s="161">
        <f t="shared" si="3"/>
        <v>37</v>
      </c>
    </row>
    <row r="52" spans="1:6" ht="16" thickBot="1" x14ac:dyDescent="0.4">
      <c r="A52" s="158">
        <f t="shared" si="2"/>
        <v>38</v>
      </c>
      <c r="B52" s="860" t="str">
        <f>B27</f>
        <v>Total Annual Costs</v>
      </c>
      <c r="C52" s="605">
        <f>C48*C50</f>
        <v>3853.135269917535</v>
      </c>
      <c r="D52" s="23" t="s">
        <v>27</v>
      </c>
      <c r="E52" s="175" t="s">
        <v>557</v>
      </c>
      <c r="F52" s="161">
        <f t="shared" si="3"/>
        <v>38</v>
      </c>
    </row>
    <row r="53" spans="1:6" ht="16.5" thickTop="1" thickBot="1" x14ac:dyDescent="0.4">
      <c r="A53" s="158">
        <f t="shared" si="2"/>
        <v>39</v>
      </c>
      <c r="B53" s="863"/>
      <c r="C53" s="204"/>
      <c r="D53" s="893"/>
      <c r="E53" s="206"/>
      <c r="F53" s="161">
        <f t="shared" si="3"/>
        <v>39</v>
      </c>
    </row>
    <row r="56" spans="1:6" x14ac:dyDescent="0.35">
      <c r="A56" s="23" t="s">
        <v>27</v>
      </c>
      <c r="B56" s="588" t="s">
        <v>814</v>
      </c>
    </row>
    <row r="57" spans="1:6" x14ac:dyDescent="0.35">
      <c r="B57" s="588" t="s">
        <v>832</v>
      </c>
    </row>
    <row r="58" spans="1:6" x14ac:dyDescent="0.35">
      <c r="B58" s="21" t="s">
        <v>831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Roman,Bold"&amp;8REVISED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I54"/>
  <sheetViews>
    <sheetView zoomScale="80" zoomScaleNormal="80" workbookViewId="0"/>
  </sheetViews>
  <sheetFormatPr defaultColWidth="8.6328125" defaultRowHeight="15.5" x14ac:dyDescent="0.35"/>
  <cols>
    <col min="1" max="1" width="5.08984375" style="33" customWidth="1"/>
    <col min="2" max="2" width="73.08984375" style="17" bestFit="1" customWidth="1"/>
    <col min="3" max="3" width="17.54296875" style="17" customWidth="1"/>
    <col min="4" max="4" width="51.453125" style="17" bestFit="1" customWidth="1"/>
    <col min="5" max="5" width="5.08984375" style="33" customWidth="1"/>
    <col min="6" max="6" width="8.6328125" style="17"/>
    <col min="7" max="7" width="19" style="17" customWidth="1"/>
    <col min="8" max="16384" width="8.6328125" style="17"/>
  </cols>
  <sheetData>
    <row r="1" spans="1:7" x14ac:dyDescent="0.35">
      <c r="A1" s="554" t="s">
        <v>595</v>
      </c>
    </row>
    <row r="2" spans="1:7" x14ac:dyDescent="0.35">
      <c r="A2" s="154"/>
      <c r="B2" s="155"/>
      <c r="C2" s="155"/>
      <c r="D2" s="155"/>
      <c r="E2" s="154"/>
    </row>
    <row r="3" spans="1:7" x14ac:dyDescent="0.35">
      <c r="A3" s="154"/>
      <c r="B3" s="897" t="s">
        <v>16</v>
      </c>
      <c r="C3" s="897"/>
      <c r="D3" s="897"/>
      <c r="E3" s="155"/>
    </row>
    <row r="4" spans="1:7" x14ac:dyDescent="0.35">
      <c r="B4" s="897" t="s">
        <v>51</v>
      </c>
      <c r="C4" s="897"/>
      <c r="D4" s="897"/>
      <c r="E4" s="151"/>
    </row>
    <row r="5" spans="1:7" x14ac:dyDescent="0.35">
      <c r="B5" s="897" t="s">
        <v>52</v>
      </c>
      <c r="C5" s="897"/>
      <c r="D5" s="897"/>
      <c r="E5" s="151"/>
    </row>
    <row r="6" spans="1:7" x14ac:dyDescent="0.35">
      <c r="A6" s="154"/>
      <c r="B6" s="899" t="s">
        <v>594</v>
      </c>
      <c r="C6" s="899"/>
      <c r="D6" s="899"/>
      <c r="E6" s="154"/>
      <c r="G6" s="382"/>
    </row>
    <row r="7" spans="1:7" x14ac:dyDescent="0.35">
      <c r="B7" s="898" t="s">
        <v>2</v>
      </c>
      <c r="C7" s="897"/>
      <c r="D7" s="897"/>
      <c r="E7" s="151"/>
    </row>
    <row r="8" spans="1:7" ht="16" thickBot="1" x14ac:dyDescent="0.4">
      <c r="A8" s="154"/>
      <c r="B8" s="155"/>
      <c r="C8" s="156"/>
      <c r="D8" s="156"/>
      <c r="E8" s="154"/>
    </row>
    <row r="9" spans="1:7" x14ac:dyDescent="0.35">
      <c r="A9" s="158" t="s">
        <v>3</v>
      </c>
      <c r="B9" s="159"/>
      <c r="C9" s="207"/>
      <c r="D9" s="208"/>
      <c r="E9" s="161" t="s">
        <v>3</v>
      </c>
    </row>
    <row r="10" spans="1:7" x14ac:dyDescent="0.35">
      <c r="A10" s="158" t="s">
        <v>4</v>
      </c>
      <c r="B10" s="309" t="s">
        <v>22</v>
      </c>
      <c r="C10" s="309" t="s">
        <v>6</v>
      </c>
      <c r="D10" s="445" t="s">
        <v>7</v>
      </c>
      <c r="E10" s="161" t="s">
        <v>4</v>
      </c>
    </row>
    <row r="11" spans="1:7" x14ac:dyDescent="0.35">
      <c r="A11" s="158"/>
      <c r="B11" s="162"/>
      <c r="C11" s="209"/>
      <c r="D11" s="210"/>
      <c r="E11" s="161"/>
    </row>
    <row r="12" spans="1:7" x14ac:dyDescent="0.35">
      <c r="A12" s="158">
        <v>1</v>
      </c>
      <c r="B12" s="165" t="s">
        <v>24</v>
      </c>
      <c r="C12" s="211">
        <v>17.335895461388862</v>
      </c>
      <c r="D12" s="212" t="s">
        <v>53</v>
      </c>
      <c r="E12" s="161">
        <f>A12</f>
        <v>1</v>
      </c>
      <c r="G12" s="593"/>
    </row>
    <row r="13" spans="1:7" x14ac:dyDescent="0.35">
      <c r="A13" s="158">
        <f>A12+1</f>
        <v>2</v>
      </c>
      <c r="B13" s="168"/>
      <c r="C13" s="213"/>
      <c r="D13" s="214"/>
      <c r="E13" s="161">
        <f>E12+1</f>
        <v>2</v>
      </c>
      <c r="G13" s="593"/>
    </row>
    <row r="14" spans="1:7" x14ac:dyDescent="0.35">
      <c r="A14" s="158">
        <f t="shared" ref="A14:A29" si="0">A13+1</f>
        <v>3</v>
      </c>
      <c r="B14" s="165" t="s">
        <v>26</v>
      </c>
      <c r="C14" s="215">
        <v>3081.3739624729433</v>
      </c>
      <c r="D14" s="212" t="s">
        <v>548</v>
      </c>
      <c r="E14" s="161">
        <f t="shared" ref="E14:E29" si="1">E13+1</f>
        <v>3</v>
      </c>
      <c r="G14" s="593"/>
    </row>
    <row r="15" spans="1:7" x14ac:dyDescent="0.35">
      <c r="A15" s="158">
        <f t="shared" si="0"/>
        <v>4</v>
      </c>
      <c r="B15" s="168"/>
      <c r="C15" s="594"/>
      <c r="D15" s="216"/>
      <c r="E15" s="161">
        <f t="shared" si="1"/>
        <v>4</v>
      </c>
      <c r="G15" s="593"/>
    </row>
    <row r="16" spans="1:7" x14ac:dyDescent="0.35">
      <c r="A16" s="158">
        <f t="shared" si="0"/>
        <v>5</v>
      </c>
      <c r="B16" s="171" t="s">
        <v>29</v>
      </c>
      <c r="C16" s="446">
        <v>728.17667218680617</v>
      </c>
      <c r="D16" s="167" t="s">
        <v>54</v>
      </c>
      <c r="E16" s="161">
        <f t="shared" si="1"/>
        <v>5</v>
      </c>
      <c r="G16" s="593"/>
    </row>
    <row r="17" spans="1:9" x14ac:dyDescent="0.35">
      <c r="A17" s="158">
        <f t="shared" si="0"/>
        <v>6</v>
      </c>
      <c r="B17" s="173"/>
      <c r="C17" s="595"/>
      <c r="D17" s="167"/>
      <c r="E17" s="161">
        <f t="shared" si="1"/>
        <v>6</v>
      </c>
      <c r="G17" s="596"/>
    </row>
    <row r="18" spans="1:9" x14ac:dyDescent="0.35">
      <c r="A18" s="158">
        <f t="shared" si="0"/>
        <v>7</v>
      </c>
      <c r="B18" s="174" t="s">
        <v>55</v>
      </c>
      <c r="C18" s="217">
        <f>C12+C14+C16</f>
        <v>3826.8865301211381</v>
      </c>
      <c r="D18" s="175" t="s">
        <v>56</v>
      </c>
      <c r="E18" s="161">
        <f t="shared" si="1"/>
        <v>7</v>
      </c>
      <c r="G18" s="596"/>
    </row>
    <row r="19" spans="1:9" x14ac:dyDescent="0.35">
      <c r="A19" s="158">
        <f t="shared" si="0"/>
        <v>8</v>
      </c>
      <c r="B19" s="176"/>
      <c r="C19" s="597"/>
      <c r="D19" s="218"/>
      <c r="E19" s="161">
        <f t="shared" si="1"/>
        <v>8</v>
      </c>
      <c r="G19" s="593"/>
    </row>
    <row r="20" spans="1:9" x14ac:dyDescent="0.35">
      <c r="A20" s="158">
        <f t="shared" si="0"/>
        <v>9</v>
      </c>
      <c r="B20" s="165" t="s">
        <v>32</v>
      </c>
      <c r="C20" s="219">
        <v>-18.497623661295503</v>
      </c>
      <c r="D20" s="167" t="s">
        <v>549</v>
      </c>
      <c r="E20" s="161">
        <f t="shared" si="1"/>
        <v>9</v>
      </c>
      <c r="G20" s="596"/>
    </row>
    <row r="21" spans="1:9" x14ac:dyDescent="0.35">
      <c r="A21" s="158">
        <f t="shared" si="0"/>
        <v>10</v>
      </c>
      <c r="B21" s="165"/>
      <c r="C21" s="594"/>
      <c r="D21" s="220"/>
      <c r="E21" s="161">
        <f t="shared" si="1"/>
        <v>10</v>
      </c>
      <c r="G21" s="593"/>
    </row>
    <row r="22" spans="1:9" x14ac:dyDescent="0.35">
      <c r="A22" s="158">
        <f t="shared" si="0"/>
        <v>11</v>
      </c>
      <c r="B22" s="165" t="s">
        <v>34</v>
      </c>
      <c r="C22" s="446">
        <v>3.1453614926939317</v>
      </c>
      <c r="D22" s="175" t="s">
        <v>57</v>
      </c>
      <c r="E22" s="161">
        <f t="shared" si="1"/>
        <v>11</v>
      </c>
      <c r="G22" s="596"/>
    </row>
    <row r="23" spans="1:9" x14ac:dyDescent="0.35">
      <c r="A23" s="158">
        <f t="shared" si="0"/>
        <v>12</v>
      </c>
      <c r="B23" s="173"/>
      <c r="C23" s="179"/>
      <c r="D23" s="221"/>
      <c r="E23" s="161">
        <f t="shared" si="1"/>
        <v>12</v>
      </c>
      <c r="G23" s="596"/>
    </row>
    <row r="24" spans="1:9" x14ac:dyDescent="0.35">
      <c r="A24" s="158">
        <f t="shared" si="0"/>
        <v>13</v>
      </c>
      <c r="B24" s="173" t="s">
        <v>36</v>
      </c>
      <c r="C24" s="70">
        <f>C18+C20+C22</f>
        <v>3811.5342679525365</v>
      </c>
      <c r="D24" s="175" t="s">
        <v>58</v>
      </c>
      <c r="E24" s="161">
        <f t="shared" si="1"/>
        <v>13</v>
      </c>
      <c r="G24" s="598"/>
    </row>
    <row r="25" spans="1:9" x14ac:dyDescent="0.35">
      <c r="A25" s="158">
        <f t="shared" si="0"/>
        <v>14</v>
      </c>
      <c r="B25" s="181"/>
      <c r="C25" s="599"/>
      <c r="D25" s="175"/>
      <c r="E25" s="161">
        <f t="shared" si="1"/>
        <v>14</v>
      </c>
      <c r="G25" s="596"/>
    </row>
    <row r="26" spans="1:9" x14ac:dyDescent="0.35">
      <c r="A26" s="158">
        <f t="shared" si="0"/>
        <v>15</v>
      </c>
      <c r="B26" s="171" t="s">
        <v>37</v>
      </c>
      <c r="C26" s="447">
        <f>125-72</f>
        <v>53</v>
      </c>
      <c r="D26" s="175" t="s">
        <v>59</v>
      </c>
      <c r="E26" s="161">
        <f t="shared" si="1"/>
        <v>15</v>
      </c>
      <c r="G26" s="600"/>
    </row>
    <row r="27" spans="1:9" x14ac:dyDescent="0.35">
      <c r="A27" s="158">
        <f t="shared" si="0"/>
        <v>16</v>
      </c>
      <c r="B27" s="156"/>
      <c r="C27" s="601"/>
      <c r="D27" s="221"/>
      <c r="E27" s="161">
        <f t="shared" si="1"/>
        <v>16</v>
      </c>
      <c r="G27" s="593"/>
    </row>
    <row r="28" spans="1:9" ht="16" thickBot="1" x14ac:dyDescent="0.4">
      <c r="A28" s="158">
        <f t="shared" si="0"/>
        <v>17</v>
      </c>
      <c r="B28" s="174" t="s">
        <v>39</v>
      </c>
      <c r="C28" s="183">
        <f>C24+C26</f>
        <v>3864.5342679525365</v>
      </c>
      <c r="D28" s="221" t="s">
        <v>60</v>
      </c>
      <c r="E28" s="161">
        <f t="shared" si="1"/>
        <v>17</v>
      </c>
      <c r="G28" s="600"/>
      <c r="H28" s="19"/>
      <c r="I28" s="184"/>
    </row>
    <row r="29" spans="1:9" ht="16.5" thickTop="1" thickBot="1" x14ac:dyDescent="0.4">
      <c r="A29" s="158">
        <f t="shared" si="0"/>
        <v>18</v>
      </c>
      <c r="B29" s="185"/>
      <c r="C29" s="185"/>
      <c r="D29" s="222"/>
      <c r="E29" s="161">
        <f t="shared" si="1"/>
        <v>18</v>
      </c>
    </row>
    <row r="30" spans="1:9" x14ac:dyDescent="0.35">
      <c r="G30" s="382"/>
    </row>
    <row r="31" spans="1:9" ht="16" thickBot="1" x14ac:dyDescent="0.4">
      <c r="A31" s="154"/>
      <c r="B31" s="186"/>
      <c r="C31" s="187"/>
      <c r="D31" s="187"/>
      <c r="E31" s="154"/>
      <c r="G31" s="382"/>
    </row>
    <row r="32" spans="1:9" x14ac:dyDescent="0.35">
      <c r="A32" s="158" t="s">
        <v>3</v>
      </c>
      <c r="B32" s="188"/>
      <c r="C32" s="188"/>
      <c r="D32" s="214"/>
      <c r="E32" s="161" t="s">
        <v>3</v>
      </c>
    </row>
    <row r="33" spans="1:7" x14ac:dyDescent="0.35">
      <c r="A33" s="158" t="s">
        <v>4</v>
      </c>
      <c r="B33" s="309" t="s">
        <v>40</v>
      </c>
      <c r="C33" s="309" t="str">
        <f>C10</f>
        <v>Amounts</v>
      </c>
      <c r="D33" s="445" t="str">
        <f>D10</f>
        <v>Reference</v>
      </c>
      <c r="E33" s="161" t="s">
        <v>4</v>
      </c>
    </row>
    <row r="34" spans="1:7" x14ac:dyDescent="0.35">
      <c r="A34" s="158">
        <f>A29+1</f>
        <v>19</v>
      </c>
      <c r="B34" s="189"/>
      <c r="C34" s="209"/>
      <c r="D34" s="210"/>
      <c r="E34" s="161">
        <f>E29+1</f>
        <v>19</v>
      </c>
    </row>
    <row r="35" spans="1:7" x14ac:dyDescent="0.35">
      <c r="A35" s="158">
        <f>A34+1</f>
        <v>20</v>
      </c>
      <c r="B35" s="165" t="str">
        <f>B12</f>
        <v>Section 1 - Direct Maintenance Expense Cost Component</v>
      </c>
      <c r="C35" s="223">
        <f>C12/12</f>
        <v>1.4446579551157386</v>
      </c>
      <c r="D35" s="212" t="s">
        <v>550</v>
      </c>
      <c r="E35" s="161">
        <f>E34+1</f>
        <v>20</v>
      </c>
    </row>
    <row r="36" spans="1:7" x14ac:dyDescent="0.35">
      <c r="A36" s="158">
        <f t="shared" ref="A36:A54" si="2">A35+1</f>
        <v>21</v>
      </c>
      <c r="B36" s="168"/>
      <c r="C36" s="224"/>
      <c r="D36" s="225"/>
      <c r="E36" s="161">
        <f t="shared" ref="E36:E54" si="3">E35+1</f>
        <v>21</v>
      </c>
    </row>
    <row r="37" spans="1:7" x14ac:dyDescent="0.35">
      <c r="A37" s="158">
        <f t="shared" si="2"/>
        <v>22</v>
      </c>
      <c r="B37" s="165" t="str">
        <f>B14</f>
        <v>Section 2 - Non-Direct Expense Cost Component</v>
      </c>
      <c r="C37" s="226">
        <f>C14/12</f>
        <v>256.78116353941192</v>
      </c>
      <c r="D37" s="212" t="s">
        <v>551</v>
      </c>
      <c r="E37" s="161">
        <f t="shared" si="3"/>
        <v>22</v>
      </c>
    </row>
    <row r="38" spans="1:7" x14ac:dyDescent="0.35">
      <c r="A38" s="158">
        <f t="shared" si="2"/>
        <v>23</v>
      </c>
      <c r="B38" s="168"/>
      <c r="C38" s="227"/>
      <c r="D38" s="228"/>
      <c r="E38" s="161">
        <f t="shared" si="3"/>
        <v>23</v>
      </c>
    </row>
    <row r="39" spans="1:7" x14ac:dyDescent="0.35">
      <c r="A39" s="158">
        <f t="shared" si="2"/>
        <v>24</v>
      </c>
      <c r="B39" s="165" t="str">
        <f>B16</f>
        <v>Section 3 - Cost Component Containing Other Specific Expenses</v>
      </c>
      <c r="C39" s="448">
        <f>C16/12</f>
        <v>60.681389348900517</v>
      </c>
      <c r="D39" s="212" t="s">
        <v>552</v>
      </c>
      <c r="E39" s="161">
        <f t="shared" si="3"/>
        <v>24</v>
      </c>
    </row>
    <row r="40" spans="1:7" x14ac:dyDescent="0.35">
      <c r="A40" s="158">
        <f t="shared" si="2"/>
        <v>25</v>
      </c>
      <c r="B40" s="176"/>
      <c r="C40" s="229"/>
      <c r="D40" s="212"/>
      <c r="E40" s="161">
        <f t="shared" si="3"/>
        <v>25</v>
      </c>
    </row>
    <row r="41" spans="1:7" x14ac:dyDescent="0.35">
      <c r="A41" s="158">
        <f t="shared" si="2"/>
        <v>26</v>
      </c>
      <c r="B41" s="174" t="s">
        <v>61</v>
      </c>
      <c r="C41" s="602">
        <f>C35+C37+C39</f>
        <v>318.90721084342817</v>
      </c>
      <c r="D41" s="175" t="s">
        <v>485</v>
      </c>
      <c r="E41" s="161">
        <f t="shared" si="3"/>
        <v>26</v>
      </c>
    </row>
    <row r="42" spans="1:7" x14ac:dyDescent="0.35">
      <c r="A42" s="158">
        <f t="shared" si="2"/>
        <v>27</v>
      </c>
      <c r="B42" s="189"/>
      <c r="C42" s="227"/>
      <c r="D42" s="216"/>
      <c r="E42" s="161">
        <f t="shared" si="3"/>
        <v>27</v>
      </c>
      <c r="G42" s="603"/>
    </row>
    <row r="43" spans="1:7" x14ac:dyDescent="0.35">
      <c r="A43" s="158">
        <f t="shared" si="2"/>
        <v>28</v>
      </c>
      <c r="B43" s="165" t="str">
        <f>LEFT(B20,45)</f>
        <v>Section 4 - True-Up Adjustment Cost Component</v>
      </c>
      <c r="C43" s="226">
        <f>C20/12</f>
        <v>-1.5414686384412919</v>
      </c>
      <c r="D43" s="212" t="s">
        <v>553</v>
      </c>
      <c r="E43" s="161">
        <f t="shared" si="3"/>
        <v>28</v>
      </c>
    </row>
    <row r="44" spans="1:7" x14ac:dyDescent="0.35">
      <c r="A44" s="158">
        <f t="shared" si="2"/>
        <v>29</v>
      </c>
      <c r="B44" s="165"/>
      <c r="C44" s="227"/>
      <c r="D44" s="230"/>
      <c r="E44" s="161">
        <f t="shared" si="3"/>
        <v>29</v>
      </c>
    </row>
    <row r="45" spans="1:7" x14ac:dyDescent="0.35">
      <c r="A45" s="158">
        <f t="shared" si="2"/>
        <v>30</v>
      </c>
      <c r="B45" s="165" t="str">
        <f>B22</f>
        <v>Section 5 - Interest True-Up Adjustment Cost Component</v>
      </c>
      <c r="C45" s="312">
        <f>C22/12</f>
        <v>0.26211345772449429</v>
      </c>
      <c r="D45" s="221" t="s">
        <v>554</v>
      </c>
      <c r="E45" s="161">
        <f t="shared" si="3"/>
        <v>30</v>
      </c>
    </row>
    <row r="46" spans="1:7" x14ac:dyDescent="0.35">
      <c r="A46" s="158">
        <f t="shared" si="2"/>
        <v>31</v>
      </c>
      <c r="B46" s="176"/>
      <c r="C46" s="197"/>
      <c r="D46" s="231"/>
      <c r="E46" s="161">
        <f t="shared" si="3"/>
        <v>31</v>
      </c>
    </row>
    <row r="47" spans="1:7" x14ac:dyDescent="0.35">
      <c r="A47" s="158">
        <f t="shared" si="2"/>
        <v>32</v>
      </c>
      <c r="B47" s="171" t="str">
        <f>B26</f>
        <v>Other Adjustments</v>
      </c>
      <c r="C47" s="448">
        <f>C26/12</f>
        <v>4.416666666666667</v>
      </c>
      <c r="D47" s="221" t="s">
        <v>555</v>
      </c>
      <c r="E47" s="161">
        <f t="shared" si="3"/>
        <v>32</v>
      </c>
    </row>
    <row r="48" spans="1:7" x14ac:dyDescent="0.35">
      <c r="A48" s="158">
        <f t="shared" si="2"/>
        <v>33</v>
      </c>
      <c r="B48" s="173"/>
      <c r="C48" s="197"/>
      <c r="D48" s="198"/>
      <c r="E48" s="161">
        <f t="shared" si="3"/>
        <v>33</v>
      </c>
    </row>
    <row r="49" spans="1:7" ht="16" thickBot="1" x14ac:dyDescent="0.4">
      <c r="A49" s="158">
        <f t="shared" si="2"/>
        <v>34</v>
      </c>
      <c r="B49" s="173" t="s">
        <v>48</v>
      </c>
      <c r="C49" s="604">
        <f>C28/12</f>
        <v>322.04452232937803</v>
      </c>
      <c r="D49" s="175" t="s">
        <v>556</v>
      </c>
      <c r="E49" s="161">
        <f t="shared" si="3"/>
        <v>34</v>
      </c>
      <c r="G49" s="596"/>
    </row>
    <row r="50" spans="1:7" ht="16" thickTop="1" x14ac:dyDescent="0.35">
      <c r="A50" s="158">
        <f t="shared" si="2"/>
        <v>35</v>
      </c>
      <c r="B50" s="189"/>
      <c r="C50" s="199"/>
      <c r="D50" s="232"/>
      <c r="E50" s="161">
        <f t="shared" si="3"/>
        <v>35</v>
      </c>
    </row>
    <row r="51" spans="1:7" x14ac:dyDescent="0.35">
      <c r="A51" s="158">
        <f t="shared" si="2"/>
        <v>36</v>
      </c>
      <c r="B51" s="168" t="s">
        <v>13</v>
      </c>
      <c r="C51" s="449">
        <v>12</v>
      </c>
      <c r="D51" s="232"/>
      <c r="E51" s="161">
        <f t="shared" si="3"/>
        <v>36</v>
      </c>
    </row>
    <row r="52" spans="1:7" x14ac:dyDescent="0.35">
      <c r="A52" s="158">
        <f t="shared" si="2"/>
        <v>37</v>
      </c>
      <c r="B52" s="189"/>
      <c r="C52" s="199"/>
      <c r="D52" s="233"/>
      <c r="E52" s="161">
        <f t="shared" si="3"/>
        <v>37</v>
      </c>
    </row>
    <row r="53" spans="1:7" ht="16" thickBot="1" x14ac:dyDescent="0.4">
      <c r="A53" s="158">
        <f t="shared" si="2"/>
        <v>38</v>
      </c>
      <c r="B53" s="174" t="str">
        <f>B28</f>
        <v>Total Annual Costs</v>
      </c>
      <c r="C53" s="605">
        <f>C49*C51</f>
        <v>3864.5342679525365</v>
      </c>
      <c r="D53" s="221" t="s">
        <v>557</v>
      </c>
      <c r="E53" s="161">
        <f t="shared" si="3"/>
        <v>38</v>
      </c>
    </row>
    <row r="54" spans="1:7" ht="16.5" thickTop="1" thickBot="1" x14ac:dyDescent="0.4">
      <c r="A54" s="158">
        <f t="shared" si="2"/>
        <v>39</v>
      </c>
      <c r="B54" s="157"/>
      <c r="C54" s="204"/>
      <c r="D54" s="234"/>
      <c r="E54" s="161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Roman,Bold"&amp;8AS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3"/>
  <sheetViews>
    <sheetView zoomScale="80" zoomScaleNormal="80" workbookViewId="0"/>
  </sheetViews>
  <sheetFormatPr defaultColWidth="8.6328125" defaultRowHeight="15.5" x14ac:dyDescent="0.35"/>
  <cols>
    <col min="1" max="1" width="5.08984375" style="34" customWidth="1"/>
    <col min="2" max="2" width="93.08984375" style="17" bestFit="1" customWidth="1"/>
    <col min="3" max="3" width="10.453125" style="17" customWidth="1"/>
    <col min="4" max="4" width="1.54296875" style="17" customWidth="1"/>
    <col min="5" max="5" width="16.90625" style="17" customWidth="1"/>
    <col min="6" max="6" width="1.54296875" style="17" customWidth="1"/>
    <col min="7" max="7" width="43.453125" style="17" customWidth="1"/>
    <col min="8" max="8" width="5.08984375" style="33" customWidth="1"/>
    <col min="9" max="9" width="8.6328125" style="17"/>
    <col min="10" max="10" width="9.90625" style="17" bestFit="1" customWidth="1"/>
    <col min="11" max="16384" width="8.6328125" style="17"/>
  </cols>
  <sheetData>
    <row r="1" spans="1:10" x14ac:dyDescent="0.35">
      <c r="A1" s="315"/>
      <c r="B1" s="316"/>
      <c r="C1" s="316"/>
      <c r="D1" s="316"/>
      <c r="E1" s="317"/>
      <c r="F1" s="317"/>
      <c r="G1" s="317"/>
      <c r="H1" s="154"/>
    </row>
    <row r="2" spans="1:10" x14ac:dyDescent="0.35">
      <c r="A2" s="315"/>
      <c r="B2" s="902" t="s">
        <v>16</v>
      </c>
      <c r="C2" s="902"/>
      <c r="D2" s="902"/>
      <c r="E2" s="902"/>
      <c r="F2" s="902"/>
      <c r="G2" s="902"/>
      <c r="H2" s="154"/>
    </row>
    <row r="3" spans="1:10" x14ac:dyDescent="0.35">
      <c r="B3" s="902" t="s">
        <v>51</v>
      </c>
      <c r="C3" s="902"/>
      <c r="D3" s="902"/>
      <c r="E3" s="902"/>
      <c r="F3" s="902"/>
      <c r="G3" s="902"/>
      <c r="H3" s="315"/>
    </row>
    <row r="4" spans="1:10" x14ac:dyDescent="0.35">
      <c r="B4" s="902" t="s">
        <v>62</v>
      </c>
      <c r="C4" s="902"/>
      <c r="D4" s="902"/>
      <c r="E4" s="902"/>
      <c r="F4" s="902"/>
      <c r="G4" s="902"/>
      <c r="H4" s="315"/>
    </row>
    <row r="5" spans="1:10" x14ac:dyDescent="0.35">
      <c r="B5" s="903" t="s">
        <v>596</v>
      </c>
      <c r="C5" s="903"/>
      <c r="D5" s="903"/>
      <c r="E5" s="903"/>
      <c r="F5" s="903"/>
      <c r="G5" s="903"/>
      <c r="H5" s="315"/>
      <c r="J5" s="382"/>
    </row>
    <row r="6" spans="1:10" x14ac:dyDescent="0.35">
      <c r="B6" s="900" t="s">
        <v>2</v>
      </c>
      <c r="C6" s="900"/>
      <c r="D6" s="900"/>
      <c r="E6" s="900"/>
      <c r="F6" s="900"/>
      <c r="G6" s="900"/>
      <c r="H6" s="318"/>
    </row>
    <row r="7" spans="1:10" x14ac:dyDescent="0.35">
      <c r="A7" s="319"/>
      <c r="B7" s="505"/>
      <c r="C7" s="505"/>
      <c r="D7" s="505"/>
      <c r="E7" s="505"/>
      <c r="F7" s="505"/>
      <c r="G7" s="317"/>
      <c r="H7" s="154"/>
    </row>
    <row r="8" spans="1:10" x14ac:dyDescent="0.35">
      <c r="A8" s="320" t="s">
        <v>3</v>
      </c>
      <c r="B8" s="316"/>
      <c r="C8" s="316"/>
      <c r="D8" s="316"/>
      <c r="E8" s="505"/>
      <c r="F8" s="505"/>
      <c r="G8" s="316"/>
      <c r="H8" s="320" t="s">
        <v>3</v>
      </c>
    </row>
    <row r="9" spans="1:10" x14ac:dyDescent="0.35">
      <c r="A9" s="320" t="s">
        <v>4</v>
      </c>
      <c r="B9" s="316"/>
      <c r="C9" s="316"/>
      <c r="D9" s="316"/>
      <c r="E9" s="508" t="s">
        <v>6</v>
      </c>
      <c r="F9" s="321"/>
      <c r="G9" s="508" t="s">
        <v>7</v>
      </c>
      <c r="H9" s="320" t="s">
        <v>4</v>
      </c>
    </row>
    <row r="10" spans="1:10" x14ac:dyDescent="0.35">
      <c r="A10" s="320"/>
      <c r="B10" s="316"/>
      <c r="C10" s="316"/>
      <c r="D10" s="316"/>
      <c r="E10" s="505"/>
      <c r="F10" s="321"/>
      <c r="G10" s="505"/>
      <c r="H10" s="320"/>
    </row>
    <row r="11" spans="1:10" x14ac:dyDescent="0.35">
      <c r="A11" s="320">
        <v>1</v>
      </c>
      <c r="B11" s="322" t="s">
        <v>63</v>
      </c>
      <c r="C11" s="322"/>
      <c r="D11" s="322"/>
      <c r="E11" s="317"/>
      <c r="F11" s="317"/>
      <c r="G11" s="505"/>
      <c r="H11" s="320">
        <f>A11</f>
        <v>1</v>
      </c>
    </row>
    <row r="12" spans="1:10" x14ac:dyDescent="0.35">
      <c r="A12" s="320">
        <f>A11+1</f>
        <v>2</v>
      </c>
      <c r="B12" s="323" t="s">
        <v>64</v>
      </c>
      <c r="C12" s="324"/>
      <c r="D12" s="324"/>
      <c r="E12" s="812">
        <f>E57</f>
        <v>8.1350334823801947E-3</v>
      </c>
      <c r="F12" s="23" t="s">
        <v>27</v>
      </c>
      <c r="G12" s="325" t="s">
        <v>558</v>
      </c>
      <c r="H12" s="320">
        <f>H11+1</f>
        <v>2</v>
      </c>
    </row>
    <row r="13" spans="1:10" x14ac:dyDescent="0.35">
      <c r="A13" s="320">
        <f t="shared" ref="A13:A35" si="0">A12+1</f>
        <v>3</v>
      </c>
      <c r="B13" s="316"/>
      <c r="C13" s="326"/>
      <c r="D13" s="326"/>
      <c r="E13" s="327"/>
      <c r="F13" s="321"/>
      <c r="G13" s="325"/>
      <c r="H13" s="320">
        <f t="shared" ref="H13:H35" si="1">H12+1</f>
        <v>3</v>
      </c>
    </row>
    <row r="14" spans="1:10" x14ac:dyDescent="0.35">
      <c r="A14" s="320">
        <f t="shared" si="0"/>
        <v>4</v>
      </c>
      <c r="B14" s="323" t="s">
        <v>65</v>
      </c>
      <c r="C14" s="324"/>
      <c r="D14" s="324"/>
      <c r="E14" s="812">
        <f>E62</f>
        <v>9.4895622634042897E-3</v>
      </c>
      <c r="F14" s="23" t="s">
        <v>27</v>
      </c>
      <c r="G14" s="325" t="s">
        <v>559</v>
      </c>
      <c r="H14" s="320">
        <f t="shared" si="1"/>
        <v>4</v>
      </c>
    </row>
    <row r="15" spans="1:10" x14ac:dyDescent="0.35">
      <c r="A15" s="320">
        <f t="shared" si="0"/>
        <v>5</v>
      </c>
      <c r="B15" s="317"/>
      <c r="C15" s="319"/>
      <c r="D15" s="319"/>
      <c r="E15" s="330"/>
      <c r="F15" s="331"/>
      <c r="G15" s="325"/>
      <c r="H15" s="320">
        <f t="shared" si="1"/>
        <v>5</v>
      </c>
    </row>
    <row r="16" spans="1:10" x14ac:dyDescent="0.35">
      <c r="A16" s="320">
        <f t="shared" si="0"/>
        <v>6</v>
      </c>
      <c r="B16" s="317" t="s">
        <v>66</v>
      </c>
      <c r="C16" s="319"/>
      <c r="D16" s="319"/>
      <c r="E16" s="328">
        <f>E67</f>
        <v>1.104324876931328E-2</v>
      </c>
      <c r="F16" s="331"/>
      <c r="G16" s="325" t="s">
        <v>404</v>
      </c>
      <c r="H16" s="320">
        <f t="shared" si="1"/>
        <v>6</v>
      </c>
    </row>
    <row r="17" spans="1:10" x14ac:dyDescent="0.35">
      <c r="A17" s="320">
        <f t="shared" si="0"/>
        <v>7</v>
      </c>
      <c r="B17" s="317"/>
      <c r="C17" s="319"/>
      <c r="D17" s="319"/>
      <c r="E17" s="330"/>
      <c r="F17" s="331"/>
      <c r="G17" s="325"/>
      <c r="H17" s="320">
        <f t="shared" si="1"/>
        <v>7</v>
      </c>
    </row>
    <row r="18" spans="1:10" x14ac:dyDescent="0.35">
      <c r="A18" s="320">
        <f t="shared" si="0"/>
        <v>8</v>
      </c>
      <c r="B18" s="323" t="s">
        <v>67</v>
      </c>
      <c r="C18" s="324"/>
      <c r="D18" s="324"/>
      <c r="E18" s="328">
        <f>E72</f>
        <v>3.040116975035068E-4</v>
      </c>
      <c r="F18" s="329"/>
      <c r="G18" s="325" t="s">
        <v>560</v>
      </c>
      <c r="H18" s="320">
        <f t="shared" si="1"/>
        <v>8</v>
      </c>
    </row>
    <row r="19" spans="1:10" x14ac:dyDescent="0.35">
      <c r="A19" s="320">
        <f t="shared" si="0"/>
        <v>9</v>
      </c>
      <c r="B19" s="316"/>
      <c r="C19" s="326"/>
      <c r="D19" s="326"/>
      <c r="E19" s="327"/>
      <c r="F19" s="321"/>
      <c r="G19" s="325"/>
      <c r="H19" s="320">
        <f t="shared" si="1"/>
        <v>9</v>
      </c>
    </row>
    <row r="20" spans="1:10" x14ac:dyDescent="0.35">
      <c r="A20" s="320">
        <f t="shared" si="0"/>
        <v>10</v>
      </c>
      <c r="B20" s="323" t="s">
        <v>68</v>
      </c>
      <c r="C20" s="326"/>
      <c r="D20" s="326"/>
      <c r="E20" s="328">
        <f>E85</f>
        <v>1.6649533606670004E-3</v>
      </c>
      <c r="F20" s="321"/>
      <c r="G20" s="325" t="s">
        <v>561</v>
      </c>
      <c r="H20" s="320">
        <f t="shared" si="1"/>
        <v>10</v>
      </c>
    </row>
    <row r="21" spans="1:10" x14ac:dyDescent="0.35">
      <c r="A21" s="320">
        <f t="shared" si="0"/>
        <v>11</v>
      </c>
      <c r="B21" s="316"/>
      <c r="C21" s="326"/>
      <c r="D21" s="326"/>
      <c r="E21" s="327"/>
      <c r="F21" s="321"/>
      <c r="G21" s="325"/>
      <c r="H21" s="320">
        <f t="shared" si="1"/>
        <v>11</v>
      </c>
    </row>
    <row r="22" spans="1:10" x14ac:dyDescent="0.35">
      <c r="A22" s="320">
        <f t="shared" si="0"/>
        <v>12</v>
      </c>
      <c r="B22" s="323" t="s">
        <v>69</v>
      </c>
      <c r="C22" s="324"/>
      <c r="D22" s="324"/>
      <c r="E22" s="328">
        <f>E102</f>
        <v>5.1011137539851235E-3</v>
      </c>
      <c r="F22" s="329"/>
      <c r="G22" s="325" t="s">
        <v>562</v>
      </c>
      <c r="H22" s="320">
        <f t="shared" si="1"/>
        <v>12</v>
      </c>
    </row>
    <row r="23" spans="1:10" x14ac:dyDescent="0.35">
      <c r="A23" s="320">
        <f t="shared" si="0"/>
        <v>13</v>
      </c>
      <c r="B23" s="332"/>
      <c r="C23" s="333"/>
      <c r="D23" s="333"/>
      <c r="E23" s="334"/>
      <c r="F23" s="335"/>
      <c r="G23" s="325"/>
      <c r="H23" s="320">
        <f t="shared" si="1"/>
        <v>13</v>
      </c>
    </row>
    <row r="24" spans="1:10" x14ac:dyDescent="0.35">
      <c r="A24" s="320">
        <f t="shared" si="0"/>
        <v>14</v>
      </c>
      <c r="B24" s="323" t="s">
        <v>70</v>
      </c>
      <c r="C24" s="324"/>
      <c r="D24" s="324"/>
      <c r="E24" s="813">
        <f>SUM(E12:E22)</f>
        <v>3.5737923327253389E-2</v>
      </c>
      <c r="F24" s="23" t="s">
        <v>27</v>
      </c>
      <c r="G24" s="325" t="s">
        <v>563</v>
      </c>
      <c r="H24" s="320">
        <f t="shared" si="1"/>
        <v>14</v>
      </c>
    </row>
    <row r="25" spans="1:10" x14ac:dyDescent="0.35">
      <c r="A25" s="320">
        <f t="shared" si="0"/>
        <v>15</v>
      </c>
      <c r="B25" s="316"/>
      <c r="C25" s="326"/>
      <c r="D25" s="326"/>
      <c r="E25" s="336"/>
      <c r="F25" s="337"/>
      <c r="G25" s="325"/>
      <c r="H25" s="320">
        <f t="shared" si="1"/>
        <v>15</v>
      </c>
    </row>
    <row r="26" spans="1:10" x14ac:dyDescent="0.35">
      <c r="A26" s="320">
        <f t="shared" si="0"/>
        <v>16</v>
      </c>
      <c r="B26" s="317" t="s">
        <v>71</v>
      </c>
      <c r="C26" s="338">
        <v>1.0207000000000001E-2</v>
      </c>
      <c r="D26" s="326"/>
      <c r="E26" s="339">
        <f>E24*C26</f>
        <v>3.6477698340127537E-4</v>
      </c>
      <c r="F26" s="340"/>
      <c r="G26" s="325" t="s">
        <v>564</v>
      </c>
      <c r="H26" s="320">
        <f t="shared" si="1"/>
        <v>16</v>
      </c>
    </row>
    <row r="27" spans="1:10" x14ac:dyDescent="0.35">
      <c r="A27" s="320">
        <f t="shared" si="0"/>
        <v>17</v>
      </c>
      <c r="B27" s="316"/>
      <c r="C27" s="326"/>
      <c r="D27" s="326"/>
      <c r="E27" s="341"/>
      <c r="F27" s="342"/>
      <c r="G27" s="325"/>
      <c r="H27" s="320">
        <f t="shared" si="1"/>
        <v>17</v>
      </c>
    </row>
    <row r="28" spans="1:10" ht="16" thickBot="1" x14ac:dyDescent="0.4">
      <c r="A28" s="320">
        <f t="shared" si="0"/>
        <v>18</v>
      </c>
      <c r="B28" s="316" t="s">
        <v>72</v>
      </c>
      <c r="C28" s="326"/>
      <c r="D28" s="326"/>
      <c r="E28" s="814">
        <f>E24+E26</f>
        <v>3.6102700310654663E-2</v>
      </c>
      <c r="F28" s="23" t="s">
        <v>27</v>
      </c>
      <c r="G28" s="325" t="s">
        <v>565</v>
      </c>
      <c r="H28" s="320">
        <f t="shared" si="1"/>
        <v>18</v>
      </c>
    </row>
    <row r="29" spans="1:10" ht="16" thickTop="1" x14ac:dyDescent="0.35">
      <c r="A29" s="320">
        <f t="shared" si="0"/>
        <v>19</v>
      </c>
      <c r="B29" s="317"/>
      <c r="C29" s="319"/>
      <c r="D29" s="319"/>
      <c r="E29" s="326"/>
      <c r="F29" s="316"/>
      <c r="G29" s="316"/>
      <c r="H29" s="320">
        <f t="shared" si="1"/>
        <v>19</v>
      </c>
    </row>
    <row r="30" spans="1:10" x14ac:dyDescent="0.35">
      <c r="A30" s="320">
        <f t="shared" si="0"/>
        <v>20</v>
      </c>
      <c r="B30" s="322" t="s">
        <v>73</v>
      </c>
      <c r="C30" s="343"/>
      <c r="D30" s="343"/>
      <c r="E30" s="319"/>
      <c r="F30" s="317"/>
      <c r="G30" s="316"/>
      <c r="H30" s="320">
        <f t="shared" si="1"/>
        <v>20</v>
      </c>
    </row>
    <row r="31" spans="1:10" x14ac:dyDescent="0.35">
      <c r="A31" s="320">
        <f t="shared" si="0"/>
        <v>21</v>
      </c>
      <c r="B31" s="323" t="s">
        <v>74</v>
      </c>
      <c r="C31" s="324"/>
      <c r="D31" s="324"/>
      <c r="E31" s="261">
        <v>85194</v>
      </c>
      <c r="F31" s="321"/>
      <c r="G31" s="325" t="s">
        <v>75</v>
      </c>
      <c r="H31" s="320">
        <f t="shared" si="1"/>
        <v>21</v>
      </c>
      <c r="J31" s="382"/>
    </row>
    <row r="32" spans="1:10" x14ac:dyDescent="0.35">
      <c r="A32" s="320">
        <f t="shared" si="0"/>
        <v>22</v>
      </c>
      <c r="B32" s="323"/>
      <c r="C32" s="324"/>
      <c r="D32" s="324"/>
      <c r="E32" s="324"/>
      <c r="F32" s="323"/>
      <c r="G32" s="325"/>
      <c r="H32" s="320">
        <f t="shared" si="1"/>
        <v>22</v>
      </c>
    </row>
    <row r="33" spans="1:8" x14ac:dyDescent="0.35">
      <c r="A33" s="320">
        <f t="shared" si="0"/>
        <v>23</v>
      </c>
      <c r="B33" s="323" t="s">
        <v>76</v>
      </c>
      <c r="C33" s="324"/>
      <c r="D33" s="324"/>
      <c r="E33" s="813">
        <f>+E28</f>
        <v>3.6102700310654663E-2</v>
      </c>
      <c r="F33" s="23" t="s">
        <v>27</v>
      </c>
      <c r="G33" s="325" t="s">
        <v>566</v>
      </c>
      <c r="H33" s="320">
        <f t="shared" si="1"/>
        <v>23</v>
      </c>
    </row>
    <row r="34" spans="1:8" x14ac:dyDescent="0.35">
      <c r="A34" s="320">
        <f t="shared" si="0"/>
        <v>24</v>
      </c>
      <c r="B34" s="316"/>
      <c r="C34" s="326"/>
      <c r="D34" s="326"/>
      <c r="E34" s="344"/>
      <c r="F34" s="345"/>
      <c r="G34" s="325"/>
      <c r="H34" s="320">
        <f t="shared" si="1"/>
        <v>24</v>
      </c>
    </row>
    <row r="35" spans="1:8" ht="16" thickBot="1" x14ac:dyDescent="0.4">
      <c r="A35" s="320">
        <f t="shared" si="0"/>
        <v>25</v>
      </c>
      <c r="B35" s="316" t="s">
        <v>77</v>
      </c>
      <c r="C35" s="324"/>
      <c r="D35" s="324"/>
      <c r="E35" s="346">
        <f>E31*E33</f>
        <v>3075.7334502659132</v>
      </c>
      <c r="F35" s="23" t="s">
        <v>27</v>
      </c>
      <c r="G35" s="325" t="s">
        <v>567</v>
      </c>
      <c r="H35" s="320">
        <f t="shared" si="1"/>
        <v>25</v>
      </c>
    </row>
    <row r="36" spans="1:8" ht="16" thickTop="1" x14ac:dyDescent="0.35">
      <c r="A36" s="320"/>
      <c r="B36" s="316"/>
      <c r="C36" s="324"/>
      <c r="D36" s="324"/>
      <c r="E36" s="654"/>
      <c r="F36" s="23"/>
      <c r="G36" s="325"/>
      <c r="H36" s="320"/>
    </row>
    <row r="37" spans="1:8" x14ac:dyDescent="0.35">
      <c r="A37" s="320"/>
      <c r="B37" s="316"/>
      <c r="C37" s="323"/>
      <c r="D37" s="323"/>
      <c r="E37" s="347"/>
      <c r="F37" s="348"/>
      <c r="G37" s="325"/>
      <c r="H37" s="320"/>
    </row>
    <row r="38" spans="1:8" x14ac:dyDescent="0.35">
      <c r="A38" s="23" t="s">
        <v>27</v>
      </c>
      <c r="B38" s="588" t="s">
        <v>813</v>
      </c>
      <c r="C38" s="316"/>
      <c r="D38" s="316"/>
      <c r="E38" s="332"/>
      <c r="F38" s="332"/>
      <c r="G38" s="317"/>
      <c r="H38" s="154"/>
    </row>
    <row r="39" spans="1:8" x14ac:dyDescent="0.35">
      <c r="A39" s="23"/>
      <c r="B39" s="588" t="s">
        <v>819</v>
      </c>
      <c r="C39" s="316"/>
      <c r="D39" s="316"/>
      <c r="E39" s="332"/>
      <c r="F39" s="332"/>
      <c r="G39" s="317"/>
      <c r="H39" s="154"/>
    </row>
    <row r="40" spans="1:8" x14ac:dyDescent="0.35">
      <c r="A40" s="23"/>
      <c r="B40" s="21" t="s">
        <v>820</v>
      </c>
      <c r="C40" s="316"/>
      <c r="D40" s="316"/>
      <c r="E40" s="332"/>
      <c r="F40" s="332"/>
      <c r="G40" s="317"/>
      <c r="H40" s="154"/>
    </row>
    <row r="41" spans="1:8" x14ac:dyDescent="0.35">
      <c r="A41" s="23"/>
      <c r="B41" s="21"/>
      <c r="C41" s="316"/>
      <c r="D41" s="316"/>
      <c r="E41" s="332"/>
      <c r="F41" s="332"/>
      <c r="G41" s="317"/>
      <c r="H41" s="154"/>
    </row>
    <row r="42" spans="1:8" x14ac:dyDescent="0.35">
      <c r="A42" s="23"/>
      <c r="B42" s="316"/>
      <c r="C42" s="316"/>
      <c r="D42" s="316"/>
      <c r="E42" s="332"/>
      <c r="F42" s="332"/>
      <c r="G42" s="317"/>
      <c r="H42" s="154"/>
    </row>
    <row r="43" spans="1:8" x14ac:dyDescent="0.35">
      <c r="A43" s="319"/>
      <c r="B43" s="901" t="str">
        <f>B2</f>
        <v>SAN DIEGO GAS &amp; ELECTRIC COMPANY</v>
      </c>
      <c r="C43" s="901"/>
      <c r="D43" s="901"/>
      <c r="E43" s="901"/>
      <c r="F43" s="901"/>
      <c r="G43" s="901"/>
      <c r="H43" s="154"/>
    </row>
    <row r="44" spans="1:8" x14ac:dyDescent="0.35">
      <c r="B44" s="901" t="str">
        <f>B3</f>
        <v>CITIZENS' SHARE OF THE BORDER EAST LINE</v>
      </c>
      <c r="C44" s="901"/>
      <c r="D44" s="901"/>
      <c r="E44" s="901"/>
      <c r="F44" s="901"/>
      <c r="G44" s="901"/>
      <c r="H44" s="333"/>
    </row>
    <row r="45" spans="1:8" x14ac:dyDescent="0.35">
      <c r="B45" s="902" t="str">
        <f>B4</f>
        <v xml:space="preserve">Section 2 - Non-Direct Expense Cost Component </v>
      </c>
      <c r="C45" s="902"/>
      <c r="D45" s="902"/>
      <c r="E45" s="902"/>
      <c r="F45" s="902"/>
      <c r="G45" s="902"/>
      <c r="H45" s="326"/>
    </row>
    <row r="46" spans="1:8" x14ac:dyDescent="0.35">
      <c r="B46" s="903" t="str">
        <f>B5</f>
        <v>Base Period &amp; True-Up Period 12 - Months Ending December 31, 2022</v>
      </c>
      <c r="C46" s="903"/>
      <c r="D46" s="903"/>
      <c r="E46" s="903"/>
      <c r="F46" s="903"/>
      <c r="G46" s="903"/>
      <c r="H46" s="326"/>
    </row>
    <row r="47" spans="1:8" x14ac:dyDescent="0.35">
      <c r="B47" s="900" t="str">
        <f>B6</f>
        <v>($1,000)</v>
      </c>
      <c r="C47" s="897"/>
      <c r="D47" s="897"/>
      <c r="E47" s="897"/>
      <c r="F47" s="897"/>
      <c r="G47" s="897"/>
      <c r="H47" s="81"/>
    </row>
    <row r="48" spans="1:8" x14ac:dyDescent="0.35">
      <c r="A48" s="349"/>
      <c r="B48" s="316"/>
      <c r="C48" s="316"/>
      <c r="D48" s="316"/>
      <c r="E48" s="316"/>
      <c r="F48" s="316"/>
      <c r="G48" s="316"/>
      <c r="H48" s="154"/>
    </row>
    <row r="49" spans="1:10" x14ac:dyDescent="0.35">
      <c r="A49" s="320" t="s">
        <v>3</v>
      </c>
      <c r="B49" s="316"/>
      <c r="C49" s="316"/>
      <c r="D49" s="316"/>
      <c r="E49" s="505"/>
      <c r="F49" s="505"/>
      <c r="G49" s="316"/>
      <c r="H49" s="320" t="s">
        <v>3</v>
      </c>
    </row>
    <row r="50" spans="1:10" x14ac:dyDescent="0.35">
      <c r="A50" s="320" t="s">
        <v>4</v>
      </c>
      <c r="B50" s="316"/>
      <c r="C50" s="316"/>
      <c r="D50" s="316"/>
      <c r="E50" s="508" t="s">
        <v>6</v>
      </c>
      <c r="F50" s="325"/>
      <c r="G50" s="508" t="s">
        <v>7</v>
      </c>
      <c r="H50" s="320" t="s">
        <v>4</v>
      </c>
    </row>
    <row r="51" spans="1:10" x14ac:dyDescent="0.35">
      <c r="A51" s="320"/>
      <c r="B51" s="316"/>
      <c r="C51" s="316"/>
      <c r="D51" s="316"/>
      <c r="E51" s="505"/>
      <c r="F51" s="505"/>
      <c r="G51" s="316"/>
      <c r="H51" s="320"/>
    </row>
    <row r="52" spans="1:10" x14ac:dyDescent="0.35">
      <c r="A52" s="320">
        <v>1</v>
      </c>
      <c r="B52" s="350" t="s">
        <v>78</v>
      </c>
      <c r="C52" s="350"/>
      <c r="D52" s="350"/>
      <c r="E52" s="528">
        <v>5929042.8692725813</v>
      </c>
      <c r="F52" s="505"/>
      <c r="G52" s="325" t="s">
        <v>79</v>
      </c>
      <c r="H52" s="320">
        <f>A52</f>
        <v>1</v>
      </c>
    </row>
    <row r="53" spans="1:10" x14ac:dyDescent="0.35">
      <c r="A53" s="320">
        <f>A52+1</f>
        <v>2</v>
      </c>
      <c r="B53" s="316"/>
      <c r="C53" s="316"/>
      <c r="D53" s="316"/>
      <c r="E53" s="315"/>
      <c r="F53" s="505"/>
      <c r="G53" s="316"/>
      <c r="H53" s="320">
        <f>H52+1</f>
        <v>2</v>
      </c>
    </row>
    <row r="54" spans="1:10" x14ac:dyDescent="0.35">
      <c r="A54" s="320">
        <f t="shared" ref="A54:A102" si="2">A53+1</f>
        <v>3</v>
      </c>
      <c r="B54" s="322" t="s">
        <v>80</v>
      </c>
      <c r="C54" s="322"/>
      <c r="D54" s="322"/>
      <c r="E54" s="351"/>
      <c r="F54" s="352"/>
      <c r="G54" s="316"/>
      <c r="H54" s="320">
        <f t="shared" ref="H54:H102" si="3">H53+1</f>
        <v>3</v>
      </c>
    </row>
    <row r="55" spans="1:10" x14ac:dyDescent="0.35">
      <c r="A55" s="320">
        <f t="shared" si="2"/>
        <v>4</v>
      </c>
      <c r="B55" s="323" t="s">
        <v>81</v>
      </c>
      <c r="C55" s="323"/>
      <c r="D55" s="323"/>
      <c r="E55" s="811">
        <f>'Pg9 Rev Stmt AH'!E28</f>
        <v>48232.962259999993</v>
      </c>
      <c r="F55" s="23" t="s">
        <v>27</v>
      </c>
      <c r="G55" s="325" t="s">
        <v>790</v>
      </c>
      <c r="H55" s="320">
        <f t="shared" si="3"/>
        <v>4</v>
      </c>
      <c r="J55" s="353"/>
    </row>
    <row r="56" spans="1:10" x14ac:dyDescent="0.35">
      <c r="A56" s="320">
        <f t="shared" si="2"/>
        <v>5</v>
      </c>
      <c r="B56" s="323"/>
      <c r="C56" s="323"/>
      <c r="D56" s="323"/>
      <c r="E56" s="262"/>
      <c r="F56" s="354"/>
      <c r="G56" s="325"/>
      <c r="H56" s="320">
        <f t="shared" si="3"/>
        <v>5</v>
      </c>
      <c r="J56" s="353"/>
    </row>
    <row r="57" spans="1:10" x14ac:dyDescent="0.35">
      <c r="A57" s="320">
        <f t="shared" si="2"/>
        <v>6</v>
      </c>
      <c r="B57" s="323" t="s">
        <v>82</v>
      </c>
      <c r="C57" s="316"/>
      <c r="D57" s="316"/>
      <c r="E57" s="815">
        <f>E55/E52</f>
        <v>8.1350334823801947E-3</v>
      </c>
      <c r="F57" s="23" t="s">
        <v>27</v>
      </c>
      <c r="G57" s="325" t="s">
        <v>83</v>
      </c>
      <c r="H57" s="320">
        <f t="shared" si="3"/>
        <v>6</v>
      </c>
      <c r="J57" s="353"/>
    </row>
    <row r="58" spans="1:10" x14ac:dyDescent="0.35">
      <c r="A58" s="320">
        <f t="shared" si="2"/>
        <v>7</v>
      </c>
      <c r="B58" s="323"/>
      <c r="C58" s="323"/>
      <c r="D58" s="323"/>
      <c r="E58" s="357"/>
      <c r="F58" s="358"/>
      <c r="G58" s="325"/>
      <c r="H58" s="320">
        <f t="shared" si="3"/>
        <v>7</v>
      </c>
    </row>
    <row r="59" spans="1:10" x14ac:dyDescent="0.35">
      <c r="A59" s="320">
        <f t="shared" si="2"/>
        <v>8</v>
      </c>
      <c r="B59" s="322" t="s">
        <v>84</v>
      </c>
      <c r="C59" s="322"/>
      <c r="D59" s="322"/>
      <c r="E59" s="359"/>
      <c r="F59" s="360"/>
      <c r="G59" s="361"/>
      <c r="H59" s="320">
        <f t="shared" si="3"/>
        <v>8</v>
      </c>
    </row>
    <row r="60" spans="1:10" x14ac:dyDescent="0.35">
      <c r="A60" s="320">
        <f t="shared" si="2"/>
        <v>9</v>
      </c>
      <c r="B60" s="323" t="s">
        <v>85</v>
      </c>
      <c r="C60" s="323"/>
      <c r="D60" s="323"/>
      <c r="E60" s="362">
        <f>'Pg9 Rev Stmt AH'!E51</f>
        <v>56264.021470355379</v>
      </c>
      <c r="F60" s="23" t="s">
        <v>27</v>
      </c>
      <c r="G60" s="325" t="s">
        <v>791</v>
      </c>
      <c r="H60" s="320">
        <f t="shared" si="3"/>
        <v>9</v>
      </c>
    </row>
    <row r="61" spans="1:10" x14ac:dyDescent="0.35">
      <c r="A61" s="320">
        <f t="shared" si="2"/>
        <v>10</v>
      </c>
      <c r="B61" s="316"/>
      <c r="C61" s="316"/>
      <c r="D61" s="316"/>
      <c r="E61" s="359"/>
      <c r="F61" s="360"/>
      <c r="G61" s="325"/>
      <c r="H61" s="320">
        <f t="shared" si="3"/>
        <v>10</v>
      </c>
    </row>
    <row r="62" spans="1:10" x14ac:dyDescent="0.35">
      <c r="A62" s="320">
        <f t="shared" si="2"/>
        <v>11</v>
      </c>
      <c r="B62" s="363" t="s">
        <v>86</v>
      </c>
      <c r="C62" s="361"/>
      <c r="D62" s="361"/>
      <c r="E62" s="815">
        <f>E60/E52</f>
        <v>9.4895622634042897E-3</v>
      </c>
      <c r="F62" s="23" t="s">
        <v>27</v>
      </c>
      <c r="G62" s="325" t="s">
        <v>87</v>
      </c>
      <c r="H62" s="320">
        <f t="shared" si="3"/>
        <v>11</v>
      </c>
    </row>
    <row r="63" spans="1:10" x14ac:dyDescent="0.35">
      <c r="A63" s="320">
        <f t="shared" si="2"/>
        <v>12</v>
      </c>
      <c r="B63" s="361"/>
      <c r="C63" s="361"/>
      <c r="D63" s="361"/>
      <c r="E63" s="364"/>
      <c r="F63" s="365"/>
      <c r="G63" s="325"/>
      <c r="H63" s="320">
        <f t="shared" si="3"/>
        <v>12</v>
      </c>
    </row>
    <row r="64" spans="1:10" x14ac:dyDescent="0.35">
      <c r="A64" s="320">
        <f t="shared" si="2"/>
        <v>13</v>
      </c>
      <c r="B64" s="322" t="s">
        <v>88</v>
      </c>
      <c r="C64" s="361"/>
      <c r="D64" s="361"/>
      <c r="E64" s="364"/>
      <c r="F64" s="365"/>
      <c r="G64" s="325"/>
      <c r="H64" s="320">
        <f t="shared" si="3"/>
        <v>13</v>
      </c>
    </row>
    <row r="65" spans="1:8" x14ac:dyDescent="0.35">
      <c r="A65" s="320">
        <f t="shared" si="2"/>
        <v>14</v>
      </c>
      <c r="B65" s="363" t="s">
        <v>66</v>
      </c>
      <c r="C65" s="361"/>
      <c r="D65" s="361"/>
      <c r="E65" s="366">
        <v>65475.895369300109</v>
      </c>
      <c r="F65" s="365"/>
      <c r="G65" s="325" t="s">
        <v>89</v>
      </c>
      <c r="H65" s="320">
        <f t="shared" si="3"/>
        <v>14</v>
      </c>
    </row>
    <row r="66" spans="1:8" x14ac:dyDescent="0.35">
      <c r="A66" s="320">
        <f t="shared" si="2"/>
        <v>15</v>
      </c>
      <c r="B66" s="361"/>
      <c r="C66" s="361"/>
      <c r="D66" s="361"/>
      <c r="E66" s="359"/>
      <c r="F66" s="365"/>
      <c r="G66" s="325"/>
      <c r="H66" s="320">
        <f t="shared" si="3"/>
        <v>15</v>
      </c>
    </row>
    <row r="67" spans="1:8" x14ac:dyDescent="0.35">
      <c r="A67" s="320">
        <f t="shared" si="2"/>
        <v>16</v>
      </c>
      <c r="B67" s="363" t="s">
        <v>90</v>
      </c>
      <c r="C67" s="361"/>
      <c r="D67" s="361"/>
      <c r="E67" s="355">
        <f>E65/E52</f>
        <v>1.104324876931328E-2</v>
      </c>
      <c r="F67" s="365"/>
      <c r="G67" s="325" t="s">
        <v>91</v>
      </c>
      <c r="H67" s="320">
        <f t="shared" si="3"/>
        <v>16</v>
      </c>
    </row>
    <row r="68" spans="1:8" x14ac:dyDescent="0.35">
      <c r="A68" s="320">
        <f t="shared" si="2"/>
        <v>17</v>
      </c>
      <c r="B68" s="361"/>
      <c r="C68" s="361"/>
      <c r="D68" s="361"/>
      <c r="E68" s="364"/>
      <c r="F68" s="365"/>
      <c r="G68" s="325"/>
      <c r="H68" s="320">
        <f t="shared" si="3"/>
        <v>17</v>
      </c>
    </row>
    <row r="69" spans="1:8" x14ac:dyDescent="0.35">
      <c r="A69" s="320">
        <f t="shared" si="2"/>
        <v>18</v>
      </c>
      <c r="B69" s="322" t="s">
        <v>92</v>
      </c>
      <c r="C69" s="322"/>
      <c r="D69" s="322"/>
      <c r="E69" s="364"/>
      <c r="F69" s="365"/>
      <c r="G69" s="325"/>
      <c r="H69" s="320">
        <f t="shared" si="3"/>
        <v>18</v>
      </c>
    </row>
    <row r="70" spans="1:8" x14ac:dyDescent="0.35">
      <c r="A70" s="320">
        <f t="shared" si="2"/>
        <v>19</v>
      </c>
      <c r="B70" s="323" t="s">
        <v>67</v>
      </c>
      <c r="C70" s="323"/>
      <c r="D70" s="323"/>
      <c r="E70" s="366">
        <v>1802.4983872586199</v>
      </c>
      <c r="F70" s="505"/>
      <c r="G70" s="325" t="s">
        <v>93</v>
      </c>
      <c r="H70" s="320">
        <f t="shared" si="3"/>
        <v>19</v>
      </c>
    </row>
    <row r="71" spans="1:8" x14ac:dyDescent="0.35">
      <c r="A71" s="320">
        <f t="shared" si="2"/>
        <v>20</v>
      </c>
      <c r="B71" s="361"/>
      <c r="C71" s="361"/>
      <c r="D71" s="361"/>
      <c r="E71" s="364"/>
      <c r="F71" s="365"/>
      <c r="G71" s="325"/>
      <c r="H71" s="320">
        <f t="shared" si="3"/>
        <v>20</v>
      </c>
    </row>
    <row r="72" spans="1:8" x14ac:dyDescent="0.35">
      <c r="A72" s="320">
        <f t="shared" si="2"/>
        <v>21</v>
      </c>
      <c r="B72" s="363" t="s">
        <v>94</v>
      </c>
      <c r="C72" s="361"/>
      <c r="D72" s="361"/>
      <c r="E72" s="355">
        <f>E70/E52</f>
        <v>3.040116975035068E-4</v>
      </c>
      <c r="F72" s="356"/>
      <c r="G72" s="325" t="s">
        <v>95</v>
      </c>
      <c r="H72" s="320">
        <f t="shared" si="3"/>
        <v>21</v>
      </c>
    </row>
    <row r="73" spans="1:8" x14ac:dyDescent="0.35">
      <c r="A73" s="320">
        <f t="shared" si="2"/>
        <v>22</v>
      </c>
      <c r="B73" s="361"/>
      <c r="C73" s="361"/>
      <c r="D73" s="361"/>
      <c r="E73" s="364"/>
      <c r="F73" s="365"/>
      <c r="G73" s="325"/>
      <c r="H73" s="320">
        <f t="shared" si="3"/>
        <v>22</v>
      </c>
    </row>
    <row r="74" spans="1:8" x14ac:dyDescent="0.35">
      <c r="A74" s="320">
        <f t="shared" si="2"/>
        <v>23</v>
      </c>
      <c r="B74" s="322" t="s">
        <v>96</v>
      </c>
      <c r="C74" s="322"/>
      <c r="D74" s="322"/>
      <c r="E74" s="367"/>
      <c r="F74" s="368"/>
      <c r="G74" s="325"/>
      <c r="H74" s="320">
        <f t="shared" si="3"/>
        <v>23</v>
      </c>
    </row>
    <row r="75" spans="1:8" x14ac:dyDescent="0.35">
      <c r="A75" s="320">
        <f t="shared" si="2"/>
        <v>24</v>
      </c>
      <c r="B75" s="369" t="s">
        <v>97</v>
      </c>
      <c r="C75" s="316"/>
      <c r="D75" s="316"/>
      <c r="E75" s="367"/>
      <c r="F75" s="368"/>
      <c r="G75" s="325"/>
      <c r="H75" s="320">
        <f t="shared" si="3"/>
        <v>24</v>
      </c>
    </row>
    <row r="76" spans="1:8" x14ac:dyDescent="0.35">
      <c r="A76" s="320">
        <f t="shared" si="2"/>
        <v>25</v>
      </c>
      <c r="B76" s="323" t="s">
        <v>98</v>
      </c>
      <c r="C76" s="323"/>
      <c r="D76" s="323"/>
      <c r="E76" s="370">
        <v>45902.493837903698</v>
      </c>
      <c r="F76" s="505"/>
      <c r="G76" s="325" t="s">
        <v>99</v>
      </c>
      <c r="H76" s="320">
        <f t="shared" si="3"/>
        <v>25</v>
      </c>
    </row>
    <row r="77" spans="1:8" x14ac:dyDescent="0.35">
      <c r="A77" s="320">
        <f t="shared" si="2"/>
        <v>26</v>
      </c>
      <c r="B77" s="323" t="s">
        <v>100</v>
      </c>
      <c r="C77" s="323"/>
      <c r="D77" s="323"/>
      <c r="E77" s="371">
        <v>44016.025239812618</v>
      </c>
      <c r="F77" s="505"/>
      <c r="G77" s="325" t="s">
        <v>101</v>
      </c>
      <c r="H77" s="320">
        <f t="shared" si="3"/>
        <v>26</v>
      </c>
    </row>
    <row r="78" spans="1:8" x14ac:dyDescent="0.35">
      <c r="A78" s="320">
        <f t="shared" si="2"/>
        <v>27</v>
      </c>
      <c r="B78" s="323" t="s">
        <v>102</v>
      </c>
      <c r="C78" s="323"/>
      <c r="D78" s="323"/>
      <c r="E78" s="372">
        <f>'Pg10 Rev Stmt AL'!E29</f>
        <v>13062.122966294421</v>
      </c>
      <c r="F78" s="23" t="s">
        <v>27</v>
      </c>
      <c r="G78" s="325" t="s">
        <v>793</v>
      </c>
      <c r="H78" s="320">
        <f t="shared" si="3"/>
        <v>27</v>
      </c>
    </row>
    <row r="79" spans="1:8" x14ac:dyDescent="0.35">
      <c r="A79" s="320">
        <f t="shared" si="2"/>
        <v>28</v>
      </c>
      <c r="B79" s="323" t="s">
        <v>104</v>
      </c>
      <c r="C79" s="316"/>
      <c r="D79" s="316"/>
      <c r="E79" s="373">
        <f>SUM(E76:E78)</f>
        <v>102980.64204401073</v>
      </c>
      <c r="F79" s="23" t="s">
        <v>27</v>
      </c>
      <c r="G79" s="325" t="s">
        <v>105</v>
      </c>
      <c r="H79" s="320">
        <f t="shared" si="3"/>
        <v>28</v>
      </c>
    </row>
    <row r="80" spans="1:8" x14ac:dyDescent="0.35">
      <c r="A80" s="320">
        <f t="shared" si="2"/>
        <v>29</v>
      </c>
      <c r="B80" s="316"/>
      <c r="C80" s="316"/>
      <c r="D80" s="316"/>
      <c r="E80" s="374"/>
      <c r="F80" s="375"/>
      <c r="G80" s="325"/>
      <c r="H80" s="320">
        <f t="shared" si="3"/>
        <v>29</v>
      </c>
    </row>
    <row r="81" spans="1:8" x14ac:dyDescent="0.35">
      <c r="A81" s="320">
        <f t="shared" si="2"/>
        <v>30</v>
      </c>
      <c r="B81" s="323" t="s">
        <v>106</v>
      </c>
      <c r="C81" s="323"/>
      <c r="D81" s="323"/>
      <c r="E81" s="376">
        <f>'Pg11 Rev Stmt AV'!G110</f>
        <v>9.5858596866343987E-2</v>
      </c>
      <c r="F81" s="505"/>
      <c r="G81" s="325" t="s">
        <v>795</v>
      </c>
      <c r="H81" s="320">
        <f t="shared" si="3"/>
        <v>30</v>
      </c>
    </row>
    <row r="82" spans="1:8" x14ac:dyDescent="0.35">
      <c r="A82" s="320">
        <f t="shared" si="2"/>
        <v>31</v>
      </c>
      <c r="B82" s="316"/>
      <c r="C82" s="316"/>
      <c r="D82" s="316"/>
      <c r="E82" s="374"/>
      <c r="F82" s="375"/>
      <c r="G82" s="325"/>
      <c r="H82" s="320">
        <f t="shared" si="3"/>
        <v>31</v>
      </c>
    </row>
    <row r="83" spans="1:8" x14ac:dyDescent="0.35">
      <c r="A83" s="320">
        <f t="shared" si="2"/>
        <v>32</v>
      </c>
      <c r="B83" s="323" t="s">
        <v>107</v>
      </c>
      <c r="C83" s="316"/>
      <c r="D83" s="316"/>
      <c r="E83" s="830">
        <f>E79*E81</f>
        <v>9871.5798507340987</v>
      </c>
      <c r="F83" s="23" t="s">
        <v>27</v>
      </c>
      <c r="G83" s="325" t="s">
        <v>108</v>
      </c>
      <c r="H83" s="320">
        <f t="shared" si="3"/>
        <v>32</v>
      </c>
    </row>
    <row r="84" spans="1:8" x14ac:dyDescent="0.35">
      <c r="A84" s="320">
        <f t="shared" si="2"/>
        <v>33</v>
      </c>
      <c r="B84" s="316"/>
      <c r="C84" s="316"/>
      <c r="D84" s="316"/>
      <c r="E84" s="374"/>
      <c r="F84" s="375"/>
      <c r="G84" s="325"/>
      <c r="H84" s="320">
        <f t="shared" si="3"/>
        <v>33</v>
      </c>
    </row>
    <row r="85" spans="1:8" x14ac:dyDescent="0.35">
      <c r="A85" s="320">
        <f t="shared" si="2"/>
        <v>34</v>
      </c>
      <c r="B85" s="323" t="s">
        <v>109</v>
      </c>
      <c r="C85" s="316"/>
      <c r="D85" s="316"/>
      <c r="E85" s="355">
        <f>E83/E52</f>
        <v>1.6649533606670004E-3</v>
      </c>
      <c r="F85" s="356"/>
      <c r="G85" s="325" t="s">
        <v>110</v>
      </c>
      <c r="H85" s="320">
        <f t="shared" si="3"/>
        <v>34</v>
      </c>
    </row>
    <row r="86" spans="1:8" x14ac:dyDescent="0.35">
      <c r="A86" s="320">
        <f t="shared" si="2"/>
        <v>35</v>
      </c>
      <c r="B86" s="323"/>
      <c r="C86" s="316"/>
      <c r="D86" s="316"/>
      <c r="E86" s="377"/>
      <c r="F86" s="356"/>
      <c r="G86" s="325"/>
      <c r="H86" s="320">
        <f t="shared" si="3"/>
        <v>35</v>
      </c>
    </row>
    <row r="87" spans="1:8" x14ac:dyDescent="0.35">
      <c r="A87" s="320">
        <f t="shared" si="2"/>
        <v>36</v>
      </c>
      <c r="B87" s="322" t="s">
        <v>111</v>
      </c>
      <c r="C87" s="378"/>
      <c r="D87" s="378"/>
      <c r="E87" s="379"/>
      <c r="F87" s="379"/>
      <c r="G87" s="379"/>
      <c r="H87" s="320">
        <f t="shared" si="3"/>
        <v>36</v>
      </c>
    </row>
    <row r="88" spans="1:8" x14ac:dyDescent="0.35">
      <c r="A88" s="320">
        <f t="shared" si="2"/>
        <v>37</v>
      </c>
      <c r="B88" s="323" t="s">
        <v>112</v>
      </c>
      <c r="C88" s="378"/>
      <c r="D88" s="378"/>
      <c r="E88" s="29">
        <v>33689.422074071481</v>
      </c>
      <c r="F88" s="379"/>
      <c r="G88" s="325" t="s">
        <v>113</v>
      </c>
      <c r="H88" s="320">
        <f t="shared" si="3"/>
        <v>37</v>
      </c>
    </row>
    <row r="89" spans="1:8" x14ac:dyDescent="0.35">
      <c r="A89" s="320">
        <f t="shared" si="2"/>
        <v>38</v>
      </c>
      <c r="B89" s="322"/>
      <c r="C89" s="378"/>
      <c r="D89" s="378"/>
      <c r="E89" s="380"/>
      <c r="F89" s="379"/>
      <c r="G89" s="379"/>
      <c r="H89" s="320">
        <f t="shared" si="3"/>
        <v>38</v>
      </c>
    </row>
    <row r="90" spans="1:8" x14ac:dyDescent="0.35">
      <c r="A90" s="320">
        <f t="shared" si="2"/>
        <v>39</v>
      </c>
      <c r="B90" s="323" t="s">
        <v>114</v>
      </c>
      <c r="C90" s="378"/>
      <c r="D90" s="378"/>
      <c r="E90" s="381">
        <v>95078.209743511849</v>
      </c>
      <c r="F90" s="379"/>
      <c r="G90" s="325" t="s">
        <v>115</v>
      </c>
      <c r="H90" s="320">
        <f t="shared" si="3"/>
        <v>39</v>
      </c>
    </row>
    <row r="91" spans="1:8" ht="18" x14ac:dyDescent="0.6">
      <c r="A91" s="320">
        <f t="shared" si="2"/>
        <v>40</v>
      </c>
      <c r="B91" s="378"/>
      <c r="C91" s="382"/>
      <c r="D91" s="382"/>
      <c r="E91" s="383"/>
      <c r="F91" s="384"/>
      <c r="G91" s="378"/>
      <c r="H91" s="320">
        <f t="shared" si="3"/>
        <v>40</v>
      </c>
    </row>
    <row r="92" spans="1:8" x14ac:dyDescent="0.35">
      <c r="A92" s="320">
        <f t="shared" si="2"/>
        <v>41</v>
      </c>
      <c r="B92" s="323" t="s">
        <v>116</v>
      </c>
      <c r="C92" s="382"/>
      <c r="D92" s="382"/>
      <c r="E92" s="385">
        <f>E88+E90</f>
        <v>128767.63181758333</v>
      </c>
      <c r="F92" s="386"/>
      <c r="G92" s="325" t="s">
        <v>117</v>
      </c>
      <c r="H92" s="320">
        <f t="shared" si="3"/>
        <v>41</v>
      </c>
    </row>
    <row r="93" spans="1:8" x14ac:dyDescent="0.35">
      <c r="A93" s="320">
        <f t="shared" si="2"/>
        <v>42</v>
      </c>
      <c r="B93" s="387"/>
      <c r="C93" s="382"/>
      <c r="D93" s="382"/>
      <c r="E93" s="388"/>
      <c r="F93" s="386"/>
      <c r="G93" s="389"/>
      <c r="H93" s="320">
        <f t="shared" si="3"/>
        <v>42</v>
      </c>
    </row>
    <row r="94" spans="1:8" x14ac:dyDescent="0.35">
      <c r="A94" s="320">
        <f t="shared" si="2"/>
        <v>43</v>
      </c>
      <c r="B94" s="323" t="s">
        <v>106</v>
      </c>
      <c r="C94" s="382"/>
      <c r="D94" s="382"/>
      <c r="E94" s="390">
        <f>E81</f>
        <v>9.5858596866343987E-2</v>
      </c>
      <c r="F94" s="386"/>
      <c r="G94" s="325" t="s">
        <v>118</v>
      </c>
      <c r="H94" s="320">
        <f t="shared" si="3"/>
        <v>43</v>
      </c>
    </row>
    <row r="95" spans="1:8" x14ac:dyDescent="0.35">
      <c r="A95" s="320">
        <f t="shared" si="2"/>
        <v>44</v>
      </c>
      <c r="B95" s="378"/>
      <c r="C95" s="382"/>
      <c r="D95" s="382"/>
      <c r="E95" s="391"/>
      <c r="F95" s="392"/>
      <c r="G95" s="378"/>
      <c r="H95" s="320">
        <f t="shared" si="3"/>
        <v>44</v>
      </c>
    </row>
    <row r="96" spans="1:8" x14ac:dyDescent="0.35">
      <c r="A96" s="320">
        <f t="shared" si="2"/>
        <v>45</v>
      </c>
      <c r="B96" s="323" t="s">
        <v>119</v>
      </c>
      <c r="C96" s="382"/>
      <c r="D96" s="382"/>
      <c r="E96" s="393">
        <f>E92*E94</f>
        <v>12343.48450783553</v>
      </c>
      <c r="F96" s="394"/>
      <c r="G96" s="325" t="s">
        <v>120</v>
      </c>
      <c r="H96" s="320">
        <f t="shared" si="3"/>
        <v>45</v>
      </c>
    </row>
    <row r="97" spans="1:9" x14ac:dyDescent="0.35">
      <c r="A97" s="320">
        <f t="shared" si="2"/>
        <v>46</v>
      </c>
      <c r="B97" s="387"/>
      <c r="C97" s="382"/>
      <c r="D97" s="382"/>
      <c r="E97" s="395"/>
      <c r="F97" s="394"/>
      <c r="G97" s="389"/>
      <c r="H97" s="320">
        <f t="shared" si="3"/>
        <v>46</v>
      </c>
    </row>
    <row r="98" spans="1:9" x14ac:dyDescent="0.35">
      <c r="A98" s="320">
        <f t="shared" si="2"/>
        <v>47</v>
      </c>
      <c r="B98" s="323" t="s">
        <v>121</v>
      </c>
      <c r="C98" s="382"/>
      <c r="D98" s="382"/>
      <c r="E98" s="396">
        <v>17901.237620578257</v>
      </c>
      <c r="F98" s="394"/>
      <c r="G98" s="325" t="s">
        <v>122</v>
      </c>
      <c r="H98" s="320">
        <f t="shared" si="3"/>
        <v>47</v>
      </c>
      <c r="I98" s="382"/>
    </row>
    <row r="99" spans="1:9" x14ac:dyDescent="0.35">
      <c r="A99" s="320">
        <f t="shared" si="2"/>
        <v>48</v>
      </c>
      <c r="B99" s="323"/>
      <c r="C99" s="382"/>
      <c r="D99" s="382"/>
      <c r="E99" s="236"/>
      <c r="F99" s="394"/>
      <c r="G99" s="325"/>
      <c r="H99" s="320">
        <f t="shared" si="3"/>
        <v>48</v>
      </c>
    </row>
    <row r="100" spans="1:9" x14ac:dyDescent="0.35">
      <c r="A100" s="320">
        <f t="shared" si="2"/>
        <v>49</v>
      </c>
      <c r="B100" s="323" t="s">
        <v>123</v>
      </c>
      <c r="C100" s="382"/>
      <c r="D100" s="382"/>
      <c r="E100" s="236">
        <f>E96+E98</f>
        <v>30244.722128413785</v>
      </c>
      <c r="F100" s="394"/>
      <c r="G100" s="325" t="s">
        <v>124</v>
      </c>
      <c r="H100" s="320">
        <f t="shared" si="3"/>
        <v>49</v>
      </c>
    </row>
    <row r="101" spans="1:9" x14ac:dyDescent="0.35">
      <c r="A101" s="320">
        <f t="shared" si="2"/>
        <v>50</v>
      </c>
      <c r="B101" s="378"/>
      <c r="C101" s="382"/>
      <c r="D101" s="382"/>
      <c r="E101" s="397"/>
      <c r="F101" s="378"/>
      <c r="G101" s="378"/>
      <c r="H101" s="320">
        <f t="shared" si="3"/>
        <v>50</v>
      </c>
    </row>
    <row r="102" spans="1:9" ht="16" thickBot="1" x14ac:dyDescent="0.4">
      <c r="A102" s="320">
        <f t="shared" si="2"/>
        <v>51</v>
      </c>
      <c r="B102" s="323" t="s">
        <v>125</v>
      </c>
      <c r="C102" s="382"/>
      <c r="D102" s="382"/>
      <c r="E102" s="398">
        <f>E100/E52</f>
        <v>5.1011137539851235E-3</v>
      </c>
      <c r="F102" s="399"/>
      <c r="G102" s="325" t="s">
        <v>126</v>
      </c>
      <c r="H102" s="320">
        <f t="shared" si="3"/>
        <v>51</v>
      </c>
    </row>
    <row r="103" spans="1:9" ht="16" thickTop="1" x14ac:dyDescent="0.35">
      <c r="A103" s="326"/>
    </row>
    <row r="104" spans="1:9" x14ac:dyDescent="0.35">
      <c r="A104" s="326"/>
    </row>
    <row r="105" spans="1:9" x14ac:dyDescent="0.35">
      <c r="A105" s="23" t="s">
        <v>27</v>
      </c>
      <c r="B105" s="588" t="str">
        <f>B38</f>
        <v xml:space="preserve">Items in BOLD have changed to correct the over-allocation of "Duplicate Charges (Company Energy Use)" Credit accounted for in FERC account 929, adjustments attributed to </v>
      </c>
    </row>
    <row r="106" spans="1:9" x14ac:dyDescent="0.35">
      <c r="A106" s="326"/>
      <c r="B106" s="21" t="str">
        <f>B39</f>
        <v xml:space="preserve">Accrued Bonus DTA and Fire Brigade Expenses as required in SDG&amp;E's FERC Order ER24-524, and other adjustments in SDG&amp;E's December filing that did not get included in </v>
      </c>
    </row>
    <row r="107" spans="1:9" x14ac:dyDescent="0.35">
      <c r="A107" s="326"/>
      <c r="B107" s="21" t="str">
        <f>B40</f>
        <v>Appendix X Cycle 12 ER24-176 October filing.</v>
      </c>
    </row>
    <row r="108" spans="1:9" x14ac:dyDescent="0.35">
      <c r="A108" s="326"/>
    </row>
    <row r="109" spans="1:9" x14ac:dyDescent="0.35">
      <c r="A109" s="326"/>
    </row>
    <row r="110" spans="1:9" x14ac:dyDescent="0.35">
      <c r="A110" s="326"/>
    </row>
    <row r="111" spans="1:9" x14ac:dyDescent="0.35">
      <c r="A111" s="326"/>
    </row>
    <row r="112" spans="1:9" x14ac:dyDescent="0.35">
      <c r="A112" s="326"/>
    </row>
    <row r="113" spans="1:1" x14ac:dyDescent="0.35">
      <c r="A113" s="326"/>
    </row>
    <row r="114" spans="1:1" x14ac:dyDescent="0.35">
      <c r="A114" s="326"/>
    </row>
    <row r="115" spans="1:1" x14ac:dyDescent="0.35">
      <c r="A115" s="326"/>
    </row>
    <row r="116" spans="1:1" x14ac:dyDescent="0.35">
      <c r="A116" s="326"/>
    </row>
    <row r="117" spans="1:1" x14ac:dyDescent="0.35">
      <c r="A117" s="326"/>
    </row>
    <row r="118" spans="1:1" x14ac:dyDescent="0.35">
      <c r="A118" s="326"/>
    </row>
    <row r="119" spans="1:1" x14ac:dyDescent="0.35">
      <c r="A119" s="326"/>
    </row>
    <row r="120" spans="1:1" x14ac:dyDescent="0.35">
      <c r="A120" s="326"/>
    </row>
    <row r="121" spans="1:1" x14ac:dyDescent="0.35">
      <c r="A121" s="326"/>
    </row>
    <row r="122" spans="1:1" x14ac:dyDescent="0.35">
      <c r="A122" s="326"/>
    </row>
    <row r="123" spans="1:1" x14ac:dyDescent="0.35">
      <c r="A123" s="326"/>
    </row>
    <row r="124" spans="1:1" x14ac:dyDescent="0.35">
      <c r="A124" s="326"/>
    </row>
    <row r="125" spans="1:1" x14ac:dyDescent="0.35">
      <c r="A125" s="326"/>
    </row>
    <row r="126" spans="1:1" x14ac:dyDescent="0.35">
      <c r="A126" s="326"/>
    </row>
    <row r="127" spans="1:1" x14ac:dyDescent="0.35">
      <c r="A127" s="326"/>
    </row>
    <row r="128" spans="1:1" x14ac:dyDescent="0.35">
      <c r="A128" s="326"/>
    </row>
    <row r="129" spans="1:1" x14ac:dyDescent="0.35">
      <c r="A129" s="326"/>
    </row>
    <row r="130" spans="1:1" x14ac:dyDescent="0.35">
      <c r="A130" s="326"/>
    </row>
    <row r="131" spans="1:1" x14ac:dyDescent="0.35">
      <c r="A131" s="326"/>
    </row>
    <row r="132" spans="1:1" x14ac:dyDescent="0.35">
      <c r="A132" s="326"/>
    </row>
    <row r="133" spans="1:1" x14ac:dyDescent="0.35">
      <c r="A133" s="326"/>
    </row>
    <row r="134" spans="1:1" x14ac:dyDescent="0.35">
      <c r="A134" s="326"/>
    </row>
    <row r="135" spans="1:1" x14ac:dyDescent="0.35">
      <c r="A135" s="326"/>
    </row>
    <row r="136" spans="1:1" x14ac:dyDescent="0.35">
      <c r="A136" s="326"/>
    </row>
    <row r="137" spans="1:1" x14ac:dyDescent="0.35">
      <c r="A137" s="326"/>
    </row>
    <row r="138" spans="1:1" x14ac:dyDescent="0.35">
      <c r="A138" s="326"/>
    </row>
    <row r="139" spans="1:1" x14ac:dyDescent="0.35">
      <c r="A139" s="326"/>
    </row>
    <row r="140" spans="1:1" x14ac:dyDescent="0.35">
      <c r="A140" s="326"/>
    </row>
    <row r="141" spans="1:1" x14ac:dyDescent="0.35">
      <c r="A141" s="326"/>
    </row>
    <row r="142" spans="1:1" x14ac:dyDescent="0.35">
      <c r="A142" s="326"/>
    </row>
    <row r="143" spans="1:1" x14ac:dyDescent="0.35">
      <c r="A143" s="326"/>
    </row>
    <row r="144" spans="1:1" x14ac:dyDescent="0.35">
      <c r="A144" s="326"/>
    </row>
    <row r="145" spans="1:6" x14ac:dyDescent="0.35">
      <c r="A145" s="326"/>
    </row>
    <row r="146" spans="1:6" x14ac:dyDescent="0.35">
      <c r="A146" s="326"/>
    </row>
    <row r="147" spans="1:6" x14ac:dyDescent="0.35">
      <c r="A147" s="326"/>
    </row>
    <row r="148" spans="1:6" x14ac:dyDescent="0.35">
      <c r="A148" s="326"/>
    </row>
    <row r="149" spans="1:6" x14ac:dyDescent="0.35">
      <c r="A149" s="326"/>
    </row>
    <row r="150" spans="1:6" x14ac:dyDescent="0.35">
      <c r="A150" s="326"/>
    </row>
    <row r="151" spans="1:6" x14ac:dyDescent="0.35">
      <c r="A151" s="326"/>
    </row>
    <row r="152" spans="1:6" x14ac:dyDescent="0.35">
      <c r="A152" s="326"/>
    </row>
    <row r="153" spans="1:6" x14ac:dyDescent="0.35">
      <c r="A153" s="326"/>
    </row>
    <row r="154" spans="1:6" x14ac:dyDescent="0.35">
      <c r="A154" s="326"/>
    </row>
    <row r="155" spans="1:6" x14ac:dyDescent="0.35">
      <c r="A155" s="326"/>
    </row>
    <row r="156" spans="1:6" x14ac:dyDescent="0.35">
      <c r="A156" s="326"/>
    </row>
    <row r="157" spans="1:6" x14ac:dyDescent="0.35">
      <c r="A157" s="326"/>
      <c r="B157" s="317"/>
      <c r="C157" s="317"/>
      <c r="D157" s="317"/>
      <c r="E157" s="317"/>
      <c r="F157" s="317"/>
    </row>
    <row r="158" spans="1:6" x14ac:dyDescent="0.35">
      <c r="A158" s="326"/>
      <c r="B158" s="317"/>
      <c r="C158" s="317"/>
      <c r="D158" s="317"/>
      <c r="E158" s="317"/>
      <c r="F158" s="317"/>
    </row>
    <row r="163" spans="1:6" x14ac:dyDescent="0.35">
      <c r="A163" s="319"/>
      <c r="B163" s="317"/>
      <c r="C163" s="317"/>
      <c r="D163" s="317"/>
      <c r="E163" s="400"/>
      <c r="F163" s="400"/>
    </row>
  </sheetData>
  <mergeCells count="10">
    <mergeCell ref="B47:G47"/>
    <mergeCell ref="B44:G44"/>
    <mergeCell ref="B45:G45"/>
    <mergeCell ref="B46:G46"/>
    <mergeCell ref="B2:G2"/>
    <mergeCell ref="B3:G3"/>
    <mergeCell ref="B4:G4"/>
    <mergeCell ref="B5:G5"/>
    <mergeCell ref="B43:G43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59"/>
  <sheetViews>
    <sheetView zoomScale="80" zoomScaleNormal="80" workbookViewId="0"/>
  </sheetViews>
  <sheetFormatPr defaultColWidth="8.6328125" defaultRowHeight="15.5" x14ac:dyDescent="0.35"/>
  <cols>
    <col min="1" max="1" width="5.08984375" style="34" customWidth="1"/>
    <col min="2" max="2" width="93.08984375" style="17" bestFit="1" customWidth="1"/>
    <col min="3" max="3" width="10.453125" style="17" customWidth="1"/>
    <col min="4" max="4" width="1.54296875" style="17" customWidth="1"/>
    <col min="5" max="5" width="16.90625" style="17" customWidth="1"/>
    <col min="6" max="6" width="1.54296875" style="17" customWidth="1"/>
    <col min="7" max="7" width="43.453125" style="17" customWidth="1"/>
    <col min="8" max="8" width="5.08984375" style="33" customWidth="1"/>
    <col min="9" max="9" width="8.6328125" style="17"/>
    <col min="10" max="10" width="9.90625" style="17" bestFit="1" customWidth="1"/>
    <col min="11" max="16384" width="8.6328125" style="17"/>
  </cols>
  <sheetData>
    <row r="1" spans="1:10" x14ac:dyDescent="0.35">
      <c r="A1" s="554" t="s">
        <v>811</v>
      </c>
    </row>
    <row r="2" spans="1:10" x14ac:dyDescent="0.35">
      <c r="A2" s="315"/>
      <c r="B2" s="316"/>
      <c r="C2" s="316"/>
      <c r="D2" s="316"/>
      <c r="E2" s="317"/>
      <c r="F2" s="317"/>
      <c r="G2" s="317"/>
      <c r="H2" s="154"/>
    </row>
    <row r="3" spans="1:10" x14ac:dyDescent="0.35">
      <c r="A3" s="315"/>
      <c r="B3" s="902" t="s">
        <v>16</v>
      </c>
      <c r="C3" s="902"/>
      <c r="D3" s="902"/>
      <c r="E3" s="902"/>
      <c r="F3" s="902"/>
      <c r="G3" s="902"/>
      <c r="H3" s="154"/>
    </row>
    <row r="4" spans="1:10" x14ac:dyDescent="0.35">
      <c r="B4" s="902" t="s">
        <v>51</v>
      </c>
      <c r="C4" s="902"/>
      <c r="D4" s="902"/>
      <c r="E4" s="902"/>
      <c r="F4" s="902"/>
      <c r="G4" s="902"/>
      <c r="H4" s="315"/>
    </row>
    <row r="5" spans="1:10" x14ac:dyDescent="0.35">
      <c r="B5" s="902" t="s">
        <v>62</v>
      </c>
      <c r="C5" s="902"/>
      <c r="D5" s="902"/>
      <c r="E5" s="902"/>
      <c r="F5" s="902"/>
      <c r="G5" s="902"/>
      <c r="H5" s="315"/>
    </row>
    <row r="6" spans="1:10" x14ac:dyDescent="0.35">
      <c r="B6" s="903" t="s">
        <v>596</v>
      </c>
      <c r="C6" s="903"/>
      <c r="D6" s="903"/>
      <c r="E6" s="903"/>
      <c r="F6" s="903"/>
      <c r="G6" s="903"/>
      <c r="H6" s="315"/>
      <c r="J6" s="382"/>
    </row>
    <row r="7" spans="1:10" x14ac:dyDescent="0.35">
      <c r="B7" s="900" t="s">
        <v>2</v>
      </c>
      <c r="C7" s="900"/>
      <c r="D7" s="900"/>
      <c r="E7" s="900"/>
      <c r="F7" s="900"/>
      <c r="G7" s="900"/>
      <c r="H7" s="318"/>
    </row>
    <row r="8" spans="1:10" x14ac:dyDescent="0.35">
      <c r="A8" s="319"/>
      <c r="B8" s="505"/>
      <c r="C8" s="505"/>
      <c r="D8" s="505"/>
      <c r="E8" s="505"/>
      <c r="F8" s="505"/>
      <c r="G8" s="317"/>
      <c r="H8" s="154"/>
    </row>
    <row r="9" spans="1:10" x14ac:dyDescent="0.35">
      <c r="A9" s="320" t="s">
        <v>3</v>
      </c>
      <c r="B9" s="316"/>
      <c r="C9" s="316"/>
      <c r="D9" s="316"/>
      <c r="E9" s="505"/>
      <c r="F9" s="505"/>
      <c r="G9" s="316"/>
      <c r="H9" s="320" t="s">
        <v>3</v>
      </c>
    </row>
    <row r="10" spans="1:10" x14ac:dyDescent="0.35">
      <c r="A10" s="320" t="s">
        <v>4</v>
      </c>
      <c r="B10" s="316"/>
      <c r="C10" s="316"/>
      <c r="D10" s="316"/>
      <c r="E10" s="508" t="s">
        <v>6</v>
      </c>
      <c r="F10" s="321"/>
      <c r="G10" s="508" t="s">
        <v>7</v>
      </c>
      <c r="H10" s="320" t="s">
        <v>4</v>
      </c>
    </row>
    <row r="11" spans="1:10" x14ac:dyDescent="0.35">
      <c r="A11" s="320"/>
      <c r="B11" s="316"/>
      <c r="C11" s="316"/>
      <c r="D11" s="316"/>
      <c r="E11" s="505"/>
      <c r="F11" s="321"/>
      <c r="G11" s="505"/>
      <c r="H11" s="320"/>
    </row>
    <row r="12" spans="1:10" x14ac:dyDescent="0.35">
      <c r="A12" s="320">
        <v>1</v>
      </c>
      <c r="B12" s="322" t="s">
        <v>63</v>
      </c>
      <c r="C12" s="322"/>
      <c r="D12" s="322"/>
      <c r="E12" s="317"/>
      <c r="F12" s="317"/>
      <c r="G12" s="505"/>
      <c r="H12" s="320">
        <f>A12</f>
        <v>1</v>
      </c>
    </row>
    <row r="13" spans="1:10" x14ac:dyDescent="0.35">
      <c r="A13" s="320">
        <f>A12+1</f>
        <v>2</v>
      </c>
      <c r="B13" s="323" t="s">
        <v>64</v>
      </c>
      <c r="C13" s="324"/>
      <c r="D13" s="324"/>
      <c r="E13" s="328">
        <f>E53</f>
        <v>8.3326883359272023E-3</v>
      </c>
      <c r="F13" s="329"/>
      <c r="G13" s="325" t="s">
        <v>558</v>
      </c>
      <c r="H13" s="320">
        <f>H12+1</f>
        <v>2</v>
      </c>
    </row>
    <row r="14" spans="1:10" x14ac:dyDescent="0.35">
      <c r="A14" s="320">
        <f t="shared" ref="A14:A36" si="0">A13+1</f>
        <v>3</v>
      </c>
      <c r="B14" s="316"/>
      <c r="C14" s="326"/>
      <c r="D14" s="326"/>
      <c r="E14" s="327"/>
      <c r="F14" s="321"/>
      <c r="G14" s="325"/>
      <c r="H14" s="320">
        <f t="shared" ref="H14:H36" si="1">H13+1</f>
        <v>3</v>
      </c>
    </row>
    <row r="15" spans="1:10" x14ac:dyDescent="0.35">
      <c r="A15" s="320">
        <f t="shared" si="0"/>
        <v>4</v>
      </c>
      <c r="B15" s="323" t="s">
        <v>65</v>
      </c>
      <c r="C15" s="324"/>
      <c r="D15" s="324"/>
      <c r="E15" s="328">
        <f>E58</f>
        <v>9.3566699005139774E-3</v>
      </c>
      <c r="F15" s="329"/>
      <c r="G15" s="325" t="s">
        <v>559</v>
      </c>
      <c r="H15" s="320">
        <f t="shared" si="1"/>
        <v>4</v>
      </c>
    </row>
    <row r="16" spans="1:10" x14ac:dyDescent="0.35">
      <c r="A16" s="320">
        <f t="shared" si="0"/>
        <v>5</v>
      </c>
      <c r="B16" s="317"/>
      <c r="C16" s="319"/>
      <c r="D16" s="319"/>
      <c r="E16" s="330"/>
      <c r="F16" s="331"/>
      <c r="G16" s="325"/>
      <c r="H16" s="320">
        <f t="shared" si="1"/>
        <v>5</v>
      </c>
    </row>
    <row r="17" spans="1:10" x14ac:dyDescent="0.35">
      <c r="A17" s="320">
        <f t="shared" si="0"/>
        <v>6</v>
      </c>
      <c r="B17" s="317" t="s">
        <v>66</v>
      </c>
      <c r="C17" s="319"/>
      <c r="D17" s="319"/>
      <c r="E17" s="328">
        <f>E63</f>
        <v>1.104324876931328E-2</v>
      </c>
      <c r="F17" s="331"/>
      <c r="G17" s="325" t="s">
        <v>404</v>
      </c>
      <c r="H17" s="320">
        <f t="shared" si="1"/>
        <v>6</v>
      </c>
    </row>
    <row r="18" spans="1:10" x14ac:dyDescent="0.35">
      <c r="A18" s="320">
        <f t="shared" si="0"/>
        <v>7</v>
      </c>
      <c r="B18" s="317"/>
      <c r="C18" s="319"/>
      <c r="D18" s="319"/>
      <c r="E18" s="330"/>
      <c r="F18" s="331"/>
      <c r="G18" s="325"/>
      <c r="H18" s="320">
        <f t="shared" si="1"/>
        <v>7</v>
      </c>
    </row>
    <row r="19" spans="1:10" x14ac:dyDescent="0.35">
      <c r="A19" s="320">
        <f t="shared" si="0"/>
        <v>8</v>
      </c>
      <c r="B19" s="323" t="s">
        <v>67</v>
      </c>
      <c r="C19" s="324"/>
      <c r="D19" s="324"/>
      <c r="E19" s="328">
        <f>E68</f>
        <v>3.040116975035068E-4</v>
      </c>
      <c r="F19" s="329"/>
      <c r="G19" s="325" t="s">
        <v>560</v>
      </c>
      <c r="H19" s="320">
        <f t="shared" si="1"/>
        <v>8</v>
      </c>
    </row>
    <row r="20" spans="1:10" x14ac:dyDescent="0.35">
      <c r="A20" s="320">
        <f t="shared" si="0"/>
        <v>9</v>
      </c>
      <c r="B20" s="316"/>
      <c r="C20" s="326"/>
      <c r="D20" s="326"/>
      <c r="E20" s="327"/>
      <c r="F20" s="321"/>
      <c r="G20" s="325"/>
      <c r="H20" s="320">
        <f t="shared" si="1"/>
        <v>9</v>
      </c>
    </row>
    <row r="21" spans="1:10" x14ac:dyDescent="0.35">
      <c r="A21" s="320">
        <f t="shared" si="0"/>
        <v>10</v>
      </c>
      <c r="B21" s="323" t="s">
        <v>68</v>
      </c>
      <c r="C21" s="326"/>
      <c r="D21" s="326"/>
      <c r="E21" s="328">
        <f>E81</f>
        <v>1.665729546324308E-3</v>
      </c>
      <c r="F21" s="321"/>
      <c r="G21" s="325" t="s">
        <v>561</v>
      </c>
      <c r="H21" s="320">
        <f t="shared" si="1"/>
        <v>10</v>
      </c>
    </row>
    <row r="22" spans="1:10" x14ac:dyDescent="0.35">
      <c r="A22" s="320">
        <f t="shared" si="0"/>
        <v>11</v>
      </c>
      <c r="B22" s="316"/>
      <c r="C22" s="326"/>
      <c r="D22" s="326"/>
      <c r="E22" s="327"/>
      <c r="F22" s="321"/>
      <c r="G22" s="325"/>
      <c r="H22" s="320">
        <f t="shared" si="1"/>
        <v>11</v>
      </c>
    </row>
    <row r="23" spans="1:10" x14ac:dyDescent="0.35">
      <c r="A23" s="320">
        <f t="shared" si="0"/>
        <v>12</v>
      </c>
      <c r="B23" s="323" t="s">
        <v>69</v>
      </c>
      <c r="C23" s="324"/>
      <c r="D23" s="324"/>
      <c r="E23" s="328">
        <f>E98</f>
        <v>5.1011139795430717E-3</v>
      </c>
      <c r="F23" s="329"/>
      <c r="G23" s="325" t="s">
        <v>562</v>
      </c>
      <c r="H23" s="320">
        <f t="shared" si="1"/>
        <v>12</v>
      </c>
    </row>
    <row r="24" spans="1:10" x14ac:dyDescent="0.35">
      <c r="A24" s="320">
        <f t="shared" si="0"/>
        <v>13</v>
      </c>
      <c r="B24" s="332"/>
      <c r="C24" s="333"/>
      <c r="D24" s="333"/>
      <c r="E24" s="334"/>
      <c r="F24" s="335"/>
      <c r="G24" s="325"/>
      <c r="H24" s="320">
        <f t="shared" si="1"/>
        <v>13</v>
      </c>
    </row>
    <row r="25" spans="1:10" x14ac:dyDescent="0.35">
      <c r="A25" s="320">
        <f t="shared" si="0"/>
        <v>14</v>
      </c>
      <c r="B25" s="323" t="s">
        <v>70</v>
      </c>
      <c r="C25" s="324"/>
      <c r="D25" s="324"/>
      <c r="E25" s="526">
        <f>SUM(E13:E23)</f>
        <v>3.5803462229125345E-2</v>
      </c>
      <c r="F25" s="329"/>
      <c r="G25" s="325" t="s">
        <v>563</v>
      </c>
      <c r="H25" s="320">
        <f t="shared" si="1"/>
        <v>14</v>
      </c>
    </row>
    <row r="26" spans="1:10" x14ac:dyDescent="0.35">
      <c r="A26" s="320">
        <f t="shared" si="0"/>
        <v>15</v>
      </c>
      <c r="B26" s="316"/>
      <c r="C26" s="326"/>
      <c r="D26" s="326"/>
      <c r="E26" s="336"/>
      <c r="F26" s="337"/>
      <c r="G26" s="325"/>
      <c r="H26" s="320">
        <f t="shared" si="1"/>
        <v>15</v>
      </c>
    </row>
    <row r="27" spans="1:10" x14ac:dyDescent="0.35">
      <c r="A27" s="320">
        <f t="shared" si="0"/>
        <v>16</v>
      </c>
      <c r="B27" s="317" t="s">
        <v>71</v>
      </c>
      <c r="C27" s="338">
        <v>1.0207000000000001E-2</v>
      </c>
      <c r="D27" s="326"/>
      <c r="E27" s="339">
        <f>E25*C27</f>
        <v>3.6544593897268243E-4</v>
      </c>
      <c r="F27" s="340"/>
      <c r="G27" s="325" t="s">
        <v>564</v>
      </c>
      <c r="H27" s="320">
        <f t="shared" si="1"/>
        <v>16</v>
      </c>
    </row>
    <row r="28" spans="1:10" x14ac:dyDescent="0.35">
      <c r="A28" s="320">
        <f t="shared" si="0"/>
        <v>17</v>
      </c>
      <c r="B28" s="316"/>
      <c r="C28" s="326"/>
      <c r="D28" s="326"/>
      <c r="E28" s="341"/>
      <c r="F28" s="342"/>
      <c r="G28" s="325"/>
      <c r="H28" s="320">
        <f t="shared" si="1"/>
        <v>17</v>
      </c>
    </row>
    <row r="29" spans="1:10" ht="16" thickBot="1" x14ac:dyDescent="0.4">
      <c r="A29" s="320">
        <f t="shared" si="0"/>
        <v>18</v>
      </c>
      <c r="B29" s="316" t="s">
        <v>72</v>
      </c>
      <c r="C29" s="326"/>
      <c r="D29" s="326"/>
      <c r="E29" s="527">
        <f>E25+E27</f>
        <v>3.6168908168098028E-2</v>
      </c>
      <c r="F29" s="606"/>
      <c r="G29" s="325" t="s">
        <v>565</v>
      </c>
      <c r="H29" s="320">
        <f t="shared" si="1"/>
        <v>18</v>
      </c>
    </row>
    <row r="30" spans="1:10" ht="16" thickTop="1" x14ac:dyDescent="0.35">
      <c r="A30" s="320">
        <f t="shared" si="0"/>
        <v>19</v>
      </c>
      <c r="B30" s="317"/>
      <c r="C30" s="319"/>
      <c r="D30" s="319"/>
      <c r="E30" s="326"/>
      <c r="F30" s="316"/>
      <c r="G30" s="316"/>
      <c r="H30" s="320">
        <f t="shared" si="1"/>
        <v>19</v>
      </c>
    </row>
    <row r="31" spans="1:10" x14ac:dyDescent="0.35">
      <c r="A31" s="320">
        <f t="shared" si="0"/>
        <v>20</v>
      </c>
      <c r="B31" s="322" t="s">
        <v>73</v>
      </c>
      <c r="C31" s="343"/>
      <c r="D31" s="343"/>
      <c r="E31" s="319"/>
      <c r="F31" s="317"/>
      <c r="G31" s="316"/>
      <c r="H31" s="320">
        <f t="shared" si="1"/>
        <v>20</v>
      </c>
    </row>
    <row r="32" spans="1:10" x14ac:dyDescent="0.35">
      <c r="A32" s="320">
        <f t="shared" si="0"/>
        <v>21</v>
      </c>
      <c r="B32" s="323" t="s">
        <v>74</v>
      </c>
      <c r="C32" s="324"/>
      <c r="D32" s="324"/>
      <c r="E32" s="261">
        <v>85194</v>
      </c>
      <c r="F32" s="321"/>
      <c r="G32" s="325" t="s">
        <v>75</v>
      </c>
      <c r="H32" s="320">
        <f t="shared" si="1"/>
        <v>21</v>
      </c>
      <c r="J32" s="382"/>
    </row>
    <row r="33" spans="1:8" x14ac:dyDescent="0.35">
      <c r="A33" s="320">
        <f t="shared" si="0"/>
        <v>22</v>
      </c>
      <c r="B33" s="323"/>
      <c r="C33" s="324"/>
      <c r="D33" s="324"/>
      <c r="E33" s="324"/>
      <c r="F33" s="323"/>
      <c r="G33" s="325"/>
      <c r="H33" s="320">
        <f t="shared" si="1"/>
        <v>22</v>
      </c>
    </row>
    <row r="34" spans="1:8" x14ac:dyDescent="0.35">
      <c r="A34" s="320">
        <f t="shared" si="0"/>
        <v>23</v>
      </c>
      <c r="B34" s="323" t="s">
        <v>76</v>
      </c>
      <c r="C34" s="324"/>
      <c r="D34" s="324"/>
      <c r="E34" s="526">
        <f>+E29</f>
        <v>3.6168908168098028E-2</v>
      </c>
      <c r="F34" s="329"/>
      <c r="G34" s="325" t="s">
        <v>566</v>
      </c>
      <c r="H34" s="320">
        <f t="shared" si="1"/>
        <v>23</v>
      </c>
    </row>
    <row r="35" spans="1:8" x14ac:dyDescent="0.35">
      <c r="A35" s="320">
        <f t="shared" si="0"/>
        <v>24</v>
      </c>
      <c r="B35" s="316"/>
      <c r="C35" s="326"/>
      <c r="D35" s="326"/>
      <c r="E35" s="344"/>
      <c r="F35" s="345"/>
      <c r="G35" s="325"/>
      <c r="H35" s="320">
        <f t="shared" si="1"/>
        <v>24</v>
      </c>
    </row>
    <row r="36" spans="1:8" ht="16" thickBot="1" x14ac:dyDescent="0.4">
      <c r="A36" s="320">
        <f t="shared" si="0"/>
        <v>25</v>
      </c>
      <c r="B36" s="316" t="s">
        <v>77</v>
      </c>
      <c r="C36" s="324"/>
      <c r="D36" s="324"/>
      <c r="E36" s="607">
        <f>E32*E34</f>
        <v>3081.3739624729433</v>
      </c>
      <c r="F36" s="348"/>
      <c r="G36" s="325" t="s">
        <v>567</v>
      </c>
      <c r="H36" s="320">
        <f t="shared" si="1"/>
        <v>25</v>
      </c>
    </row>
    <row r="37" spans="1:8" ht="16" thickTop="1" x14ac:dyDescent="0.35">
      <c r="A37" s="320"/>
      <c r="B37" s="316"/>
      <c r="C37" s="323"/>
      <c r="D37" s="323"/>
      <c r="E37" s="347"/>
      <c r="F37" s="348"/>
      <c r="G37" s="325"/>
      <c r="H37" s="320"/>
    </row>
    <row r="38" spans="1:8" x14ac:dyDescent="0.35">
      <c r="A38" s="319"/>
      <c r="B38" s="316"/>
      <c r="C38" s="316"/>
      <c r="D38" s="316"/>
      <c r="E38" s="332"/>
      <c r="F38" s="332"/>
      <c r="G38" s="317"/>
      <c r="H38" s="154"/>
    </row>
    <row r="39" spans="1:8" x14ac:dyDescent="0.35">
      <c r="A39" s="319"/>
      <c r="B39" s="901" t="str">
        <f>B3</f>
        <v>SAN DIEGO GAS &amp; ELECTRIC COMPANY</v>
      </c>
      <c r="C39" s="901"/>
      <c r="D39" s="901"/>
      <c r="E39" s="901"/>
      <c r="F39" s="901"/>
      <c r="G39" s="901"/>
      <c r="H39" s="154"/>
    </row>
    <row r="40" spans="1:8" x14ac:dyDescent="0.35">
      <c r="B40" s="901" t="str">
        <f>B4</f>
        <v>CITIZENS' SHARE OF THE BORDER EAST LINE</v>
      </c>
      <c r="C40" s="901"/>
      <c r="D40" s="901"/>
      <c r="E40" s="901"/>
      <c r="F40" s="901"/>
      <c r="G40" s="901"/>
      <c r="H40" s="333"/>
    </row>
    <row r="41" spans="1:8" x14ac:dyDescent="0.35">
      <c r="B41" s="902" t="str">
        <f>B5</f>
        <v xml:space="preserve">Section 2 - Non-Direct Expense Cost Component </v>
      </c>
      <c r="C41" s="902"/>
      <c r="D41" s="902"/>
      <c r="E41" s="902"/>
      <c r="F41" s="902"/>
      <c r="G41" s="902"/>
      <c r="H41" s="326"/>
    </row>
    <row r="42" spans="1:8" x14ac:dyDescent="0.35">
      <c r="B42" s="903" t="str">
        <f>B6</f>
        <v>Base Period &amp; True-Up Period 12 - Months Ending December 31, 2022</v>
      </c>
      <c r="C42" s="903"/>
      <c r="D42" s="903"/>
      <c r="E42" s="903"/>
      <c r="F42" s="903"/>
      <c r="G42" s="903"/>
      <c r="H42" s="326"/>
    </row>
    <row r="43" spans="1:8" x14ac:dyDescent="0.35">
      <c r="B43" s="900" t="str">
        <f>B7</f>
        <v>($1,000)</v>
      </c>
      <c r="C43" s="897"/>
      <c r="D43" s="897"/>
      <c r="E43" s="897"/>
      <c r="F43" s="897"/>
      <c r="G43" s="897"/>
      <c r="H43" s="81"/>
    </row>
    <row r="44" spans="1:8" x14ac:dyDescent="0.35">
      <c r="A44" s="349"/>
      <c r="B44" s="316"/>
      <c r="C44" s="316"/>
      <c r="D44" s="316"/>
      <c r="E44" s="316"/>
      <c r="F44" s="316"/>
      <c r="G44" s="316"/>
      <c r="H44" s="154"/>
    </row>
    <row r="45" spans="1:8" x14ac:dyDescent="0.35">
      <c r="A45" s="320" t="s">
        <v>3</v>
      </c>
      <c r="B45" s="316"/>
      <c r="C45" s="316"/>
      <c r="D45" s="316"/>
      <c r="E45" s="505"/>
      <c r="F45" s="505"/>
      <c r="G45" s="316"/>
      <c r="H45" s="320" t="s">
        <v>3</v>
      </c>
    </row>
    <row r="46" spans="1:8" x14ac:dyDescent="0.35">
      <c r="A46" s="320" t="s">
        <v>4</v>
      </c>
      <c r="B46" s="316"/>
      <c r="C46" s="316"/>
      <c r="D46" s="316"/>
      <c r="E46" s="508" t="s">
        <v>6</v>
      </c>
      <c r="F46" s="325"/>
      <c r="G46" s="508" t="s">
        <v>7</v>
      </c>
      <c r="H46" s="320" t="s">
        <v>4</v>
      </c>
    </row>
    <row r="47" spans="1:8" x14ac:dyDescent="0.35">
      <c r="A47" s="320"/>
      <c r="B47" s="316"/>
      <c r="C47" s="316"/>
      <c r="D47" s="316"/>
      <c r="E47" s="505"/>
      <c r="F47" s="505"/>
      <c r="G47" s="316"/>
      <c r="H47" s="320"/>
    </row>
    <row r="48" spans="1:8" x14ac:dyDescent="0.35">
      <c r="A48" s="320">
        <v>1</v>
      </c>
      <c r="B48" s="350" t="s">
        <v>78</v>
      </c>
      <c r="C48" s="350"/>
      <c r="D48" s="350"/>
      <c r="E48" s="528">
        <v>5929042.8692725813</v>
      </c>
      <c r="F48" s="505"/>
      <c r="G48" s="325" t="s">
        <v>79</v>
      </c>
      <c r="H48" s="320">
        <f>A48</f>
        <v>1</v>
      </c>
    </row>
    <row r="49" spans="1:10" x14ac:dyDescent="0.35">
      <c r="A49" s="320">
        <f>A48+1</f>
        <v>2</v>
      </c>
      <c r="B49" s="316"/>
      <c r="C49" s="316"/>
      <c r="D49" s="316"/>
      <c r="E49" s="315"/>
      <c r="F49" s="505"/>
      <c r="G49" s="316"/>
      <c r="H49" s="320">
        <f>H48+1</f>
        <v>2</v>
      </c>
    </row>
    <row r="50" spans="1:10" x14ac:dyDescent="0.35">
      <c r="A50" s="320">
        <f t="shared" ref="A50:A98" si="2">A49+1</f>
        <v>3</v>
      </c>
      <c r="B50" s="322" t="s">
        <v>80</v>
      </c>
      <c r="C50" s="322"/>
      <c r="D50" s="322"/>
      <c r="E50" s="351"/>
      <c r="F50" s="352"/>
      <c r="G50" s="316"/>
      <c r="H50" s="320">
        <f t="shared" ref="H50:H98" si="3">H49+1</f>
        <v>3</v>
      </c>
    </row>
    <row r="51" spans="1:10" x14ac:dyDescent="0.35">
      <c r="A51" s="320">
        <f t="shared" si="2"/>
        <v>4</v>
      </c>
      <c r="B51" s="323" t="s">
        <v>81</v>
      </c>
      <c r="C51" s="323"/>
      <c r="D51" s="323"/>
      <c r="E51" s="529">
        <v>49404.866359999993</v>
      </c>
      <c r="F51" s="505"/>
      <c r="G51" s="325" t="s">
        <v>506</v>
      </c>
      <c r="H51" s="320">
        <f t="shared" si="3"/>
        <v>4</v>
      </c>
      <c r="J51" s="353"/>
    </row>
    <row r="52" spans="1:10" x14ac:dyDescent="0.35">
      <c r="A52" s="320">
        <f t="shared" si="2"/>
        <v>5</v>
      </c>
      <c r="B52" s="323"/>
      <c r="C52" s="323"/>
      <c r="D52" s="323"/>
      <c r="E52" s="262"/>
      <c r="F52" s="354"/>
      <c r="G52" s="325"/>
      <c r="H52" s="320">
        <f t="shared" si="3"/>
        <v>5</v>
      </c>
      <c r="J52" s="353"/>
    </row>
    <row r="53" spans="1:10" x14ac:dyDescent="0.35">
      <c r="A53" s="320">
        <f t="shared" si="2"/>
        <v>6</v>
      </c>
      <c r="B53" s="323" t="s">
        <v>82</v>
      </c>
      <c r="C53" s="316"/>
      <c r="D53" s="316"/>
      <c r="E53" s="355">
        <f>E51/E48</f>
        <v>8.3326883359272023E-3</v>
      </c>
      <c r="F53" s="356"/>
      <c r="G53" s="325" t="s">
        <v>83</v>
      </c>
      <c r="H53" s="320">
        <f t="shared" si="3"/>
        <v>6</v>
      </c>
      <c r="J53" s="353"/>
    </row>
    <row r="54" spans="1:10" x14ac:dyDescent="0.35">
      <c r="A54" s="320">
        <f t="shared" si="2"/>
        <v>7</v>
      </c>
      <c r="B54" s="323"/>
      <c r="C54" s="323"/>
      <c r="D54" s="323"/>
      <c r="E54" s="357"/>
      <c r="F54" s="358"/>
      <c r="G54" s="325"/>
      <c r="H54" s="320">
        <f t="shared" si="3"/>
        <v>7</v>
      </c>
    </row>
    <row r="55" spans="1:10" x14ac:dyDescent="0.35">
      <c r="A55" s="320">
        <f t="shared" si="2"/>
        <v>8</v>
      </c>
      <c r="B55" s="322" t="s">
        <v>84</v>
      </c>
      <c r="C55" s="322"/>
      <c r="D55" s="322"/>
      <c r="E55" s="359"/>
      <c r="F55" s="360"/>
      <c r="G55" s="361"/>
      <c r="H55" s="320">
        <f t="shared" si="3"/>
        <v>8</v>
      </c>
    </row>
    <row r="56" spans="1:10" x14ac:dyDescent="0.35">
      <c r="A56" s="320">
        <f t="shared" si="2"/>
        <v>9</v>
      </c>
      <c r="B56" s="323" t="s">
        <v>85</v>
      </c>
      <c r="C56" s="323"/>
      <c r="D56" s="323"/>
      <c r="E56" s="366">
        <v>55476.096953779786</v>
      </c>
      <c r="F56" s="505"/>
      <c r="G56" s="325" t="s">
        <v>507</v>
      </c>
      <c r="H56" s="320">
        <f t="shared" si="3"/>
        <v>9</v>
      </c>
    </row>
    <row r="57" spans="1:10" x14ac:dyDescent="0.35">
      <c r="A57" s="320">
        <f t="shared" si="2"/>
        <v>10</v>
      </c>
      <c r="B57" s="316"/>
      <c r="C57" s="316"/>
      <c r="D57" s="316"/>
      <c r="E57" s="359"/>
      <c r="F57" s="360"/>
      <c r="G57" s="325"/>
      <c r="H57" s="320">
        <f t="shared" si="3"/>
        <v>10</v>
      </c>
    </row>
    <row r="58" spans="1:10" x14ac:dyDescent="0.35">
      <c r="A58" s="320">
        <f t="shared" si="2"/>
        <v>11</v>
      </c>
      <c r="B58" s="363" t="s">
        <v>86</v>
      </c>
      <c r="C58" s="361"/>
      <c r="D58" s="361"/>
      <c r="E58" s="355">
        <f>E56/E48</f>
        <v>9.3566699005139774E-3</v>
      </c>
      <c r="F58" s="356"/>
      <c r="G58" s="325" t="s">
        <v>87</v>
      </c>
      <c r="H58" s="320">
        <f t="shared" si="3"/>
        <v>11</v>
      </c>
    </row>
    <row r="59" spans="1:10" x14ac:dyDescent="0.35">
      <c r="A59" s="320">
        <f t="shared" si="2"/>
        <v>12</v>
      </c>
      <c r="B59" s="361"/>
      <c r="C59" s="361"/>
      <c r="D59" s="361"/>
      <c r="E59" s="364"/>
      <c r="F59" s="365"/>
      <c r="G59" s="325"/>
      <c r="H59" s="320">
        <f t="shared" si="3"/>
        <v>12</v>
      </c>
    </row>
    <row r="60" spans="1:10" x14ac:dyDescent="0.35">
      <c r="A60" s="320">
        <f t="shared" si="2"/>
        <v>13</v>
      </c>
      <c r="B60" s="322" t="s">
        <v>88</v>
      </c>
      <c r="C60" s="361"/>
      <c r="D60" s="361"/>
      <c r="E60" s="364"/>
      <c r="F60" s="365"/>
      <c r="G60" s="325"/>
      <c r="H60" s="320">
        <f t="shared" si="3"/>
        <v>13</v>
      </c>
    </row>
    <row r="61" spans="1:10" x14ac:dyDescent="0.35">
      <c r="A61" s="320">
        <f t="shared" si="2"/>
        <v>14</v>
      </c>
      <c r="B61" s="363" t="s">
        <v>66</v>
      </c>
      <c r="C61" s="361"/>
      <c r="D61" s="361"/>
      <c r="E61" s="366">
        <v>65475.895369300109</v>
      </c>
      <c r="F61" s="365"/>
      <c r="G61" s="325" t="s">
        <v>89</v>
      </c>
      <c r="H61" s="320">
        <f t="shared" si="3"/>
        <v>14</v>
      </c>
    </row>
    <row r="62" spans="1:10" x14ac:dyDescent="0.35">
      <c r="A62" s="320">
        <f t="shared" si="2"/>
        <v>15</v>
      </c>
      <c r="B62" s="361"/>
      <c r="C62" s="361"/>
      <c r="D62" s="361"/>
      <c r="E62" s="359"/>
      <c r="F62" s="365"/>
      <c r="G62" s="325"/>
      <c r="H62" s="320">
        <f t="shared" si="3"/>
        <v>15</v>
      </c>
    </row>
    <row r="63" spans="1:10" x14ac:dyDescent="0.35">
      <c r="A63" s="320">
        <f t="shared" si="2"/>
        <v>16</v>
      </c>
      <c r="B63" s="363" t="s">
        <v>90</v>
      </c>
      <c r="C63" s="361"/>
      <c r="D63" s="361"/>
      <c r="E63" s="355">
        <f>E61/E48</f>
        <v>1.104324876931328E-2</v>
      </c>
      <c r="F63" s="365"/>
      <c r="G63" s="325" t="s">
        <v>91</v>
      </c>
      <c r="H63" s="320">
        <f t="shared" si="3"/>
        <v>16</v>
      </c>
    </row>
    <row r="64" spans="1:10" x14ac:dyDescent="0.35">
      <c r="A64" s="320">
        <f t="shared" si="2"/>
        <v>17</v>
      </c>
      <c r="B64" s="361"/>
      <c r="C64" s="361"/>
      <c r="D64" s="361"/>
      <c r="E64" s="364"/>
      <c r="F64" s="365"/>
      <c r="G64" s="325"/>
      <c r="H64" s="320">
        <f t="shared" si="3"/>
        <v>17</v>
      </c>
    </row>
    <row r="65" spans="1:8" x14ac:dyDescent="0.35">
      <c r="A65" s="320">
        <f t="shared" si="2"/>
        <v>18</v>
      </c>
      <c r="B65" s="322" t="s">
        <v>92</v>
      </c>
      <c r="C65" s="322"/>
      <c r="D65" s="322"/>
      <c r="E65" s="364"/>
      <c r="F65" s="365"/>
      <c r="G65" s="325"/>
      <c r="H65" s="320">
        <f t="shared" si="3"/>
        <v>18</v>
      </c>
    </row>
    <row r="66" spans="1:8" x14ac:dyDescent="0.35">
      <c r="A66" s="320">
        <f t="shared" si="2"/>
        <v>19</v>
      </c>
      <c r="B66" s="323" t="s">
        <v>67</v>
      </c>
      <c r="C66" s="323"/>
      <c r="D66" s="323"/>
      <c r="E66" s="366">
        <v>1802.4983872586199</v>
      </c>
      <c r="F66" s="505"/>
      <c r="G66" s="325" t="s">
        <v>93</v>
      </c>
      <c r="H66" s="320">
        <f t="shared" si="3"/>
        <v>19</v>
      </c>
    </row>
    <row r="67" spans="1:8" x14ac:dyDescent="0.35">
      <c r="A67" s="320">
        <f t="shared" si="2"/>
        <v>20</v>
      </c>
      <c r="B67" s="361"/>
      <c r="C67" s="361"/>
      <c r="D67" s="361"/>
      <c r="E67" s="364"/>
      <c r="F67" s="365"/>
      <c r="G67" s="325"/>
      <c r="H67" s="320">
        <f t="shared" si="3"/>
        <v>20</v>
      </c>
    </row>
    <row r="68" spans="1:8" x14ac:dyDescent="0.35">
      <c r="A68" s="320">
        <f t="shared" si="2"/>
        <v>21</v>
      </c>
      <c r="B68" s="363" t="s">
        <v>94</v>
      </c>
      <c r="C68" s="361"/>
      <c r="D68" s="361"/>
      <c r="E68" s="355">
        <f>E66/E48</f>
        <v>3.040116975035068E-4</v>
      </c>
      <c r="F68" s="356"/>
      <c r="G68" s="325" t="s">
        <v>95</v>
      </c>
      <c r="H68" s="320">
        <f t="shared" si="3"/>
        <v>21</v>
      </c>
    </row>
    <row r="69" spans="1:8" x14ac:dyDescent="0.35">
      <c r="A69" s="320">
        <f t="shared" si="2"/>
        <v>22</v>
      </c>
      <c r="B69" s="361"/>
      <c r="C69" s="361"/>
      <c r="D69" s="361"/>
      <c r="E69" s="364"/>
      <c r="F69" s="365"/>
      <c r="G69" s="325"/>
      <c r="H69" s="320">
        <f t="shared" si="3"/>
        <v>22</v>
      </c>
    </row>
    <row r="70" spans="1:8" x14ac:dyDescent="0.35">
      <c r="A70" s="320">
        <f t="shared" si="2"/>
        <v>23</v>
      </c>
      <c r="B70" s="322" t="s">
        <v>96</v>
      </c>
      <c r="C70" s="322"/>
      <c r="D70" s="322"/>
      <c r="E70" s="367"/>
      <c r="F70" s="368"/>
      <c r="G70" s="325"/>
      <c r="H70" s="320">
        <f t="shared" si="3"/>
        <v>23</v>
      </c>
    </row>
    <row r="71" spans="1:8" x14ac:dyDescent="0.35">
      <c r="A71" s="320">
        <f t="shared" si="2"/>
        <v>24</v>
      </c>
      <c r="B71" s="369" t="s">
        <v>97</v>
      </c>
      <c r="C71" s="316"/>
      <c r="D71" s="316"/>
      <c r="E71" s="367"/>
      <c r="F71" s="368"/>
      <c r="G71" s="325"/>
      <c r="H71" s="320">
        <f t="shared" si="3"/>
        <v>24</v>
      </c>
    </row>
    <row r="72" spans="1:8" x14ac:dyDescent="0.35">
      <c r="A72" s="320">
        <f t="shared" si="2"/>
        <v>25</v>
      </c>
      <c r="B72" s="323" t="s">
        <v>98</v>
      </c>
      <c r="C72" s="323"/>
      <c r="D72" s="323"/>
      <c r="E72" s="370">
        <v>45902.493837903698</v>
      </c>
      <c r="F72" s="505"/>
      <c r="G72" s="325" t="s">
        <v>99</v>
      </c>
      <c r="H72" s="320">
        <f t="shared" si="3"/>
        <v>25</v>
      </c>
    </row>
    <row r="73" spans="1:8" x14ac:dyDescent="0.35">
      <c r="A73" s="320">
        <f t="shared" si="2"/>
        <v>26</v>
      </c>
      <c r="B73" s="323" t="s">
        <v>100</v>
      </c>
      <c r="C73" s="323"/>
      <c r="D73" s="323"/>
      <c r="E73" s="371">
        <v>44016.025239812618</v>
      </c>
      <c r="F73" s="505"/>
      <c r="G73" s="325" t="s">
        <v>101</v>
      </c>
      <c r="H73" s="320">
        <f t="shared" si="3"/>
        <v>26</v>
      </c>
    </row>
    <row r="74" spans="1:8" x14ac:dyDescent="0.35">
      <c r="A74" s="320">
        <f t="shared" si="2"/>
        <v>27</v>
      </c>
      <c r="B74" s="323" t="s">
        <v>102</v>
      </c>
      <c r="C74" s="323"/>
      <c r="D74" s="323"/>
      <c r="E74" s="371">
        <v>13110.120414222472</v>
      </c>
      <c r="F74" s="505"/>
      <c r="G74" s="325" t="s">
        <v>103</v>
      </c>
      <c r="H74" s="320">
        <f t="shared" si="3"/>
        <v>27</v>
      </c>
    </row>
    <row r="75" spans="1:8" x14ac:dyDescent="0.35">
      <c r="A75" s="320">
        <f t="shared" si="2"/>
        <v>28</v>
      </c>
      <c r="B75" s="323" t="s">
        <v>104</v>
      </c>
      <c r="C75" s="316"/>
      <c r="D75" s="316"/>
      <c r="E75" s="608">
        <f>SUM(E72:E74)</f>
        <v>103028.63949193878</v>
      </c>
      <c r="F75" s="609"/>
      <c r="G75" s="325" t="s">
        <v>105</v>
      </c>
      <c r="H75" s="320">
        <f t="shared" si="3"/>
        <v>28</v>
      </c>
    </row>
    <row r="76" spans="1:8" x14ac:dyDescent="0.35">
      <c r="A76" s="320">
        <f t="shared" si="2"/>
        <v>29</v>
      </c>
      <c r="B76" s="316"/>
      <c r="C76" s="316"/>
      <c r="D76" s="316"/>
      <c r="E76" s="374"/>
      <c r="F76" s="375"/>
      <c r="G76" s="325"/>
      <c r="H76" s="320">
        <f t="shared" si="3"/>
        <v>29</v>
      </c>
    </row>
    <row r="77" spans="1:8" x14ac:dyDescent="0.35">
      <c r="A77" s="320">
        <f t="shared" si="2"/>
        <v>30</v>
      </c>
      <c r="B77" s="323" t="s">
        <v>106</v>
      </c>
      <c r="C77" s="323"/>
      <c r="D77" s="323"/>
      <c r="E77" s="376">
        <v>9.5858607252049824E-2</v>
      </c>
      <c r="F77" s="505"/>
      <c r="G77" s="325" t="s">
        <v>568</v>
      </c>
      <c r="H77" s="320">
        <f t="shared" si="3"/>
        <v>30</v>
      </c>
    </row>
    <row r="78" spans="1:8" x14ac:dyDescent="0.35">
      <c r="A78" s="320">
        <f t="shared" si="2"/>
        <v>31</v>
      </c>
      <c r="B78" s="316"/>
      <c r="C78" s="316"/>
      <c r="D78" s="316"/>
      <c r="E78" s="374"/>
      <c r="F78" s="375"/>
      <c r="G78" s="325"/>
      <c r="H78" s="320">
        <f t="shared" si="3"/>
        <v>31</v>
      </c>
    </row>
    <row r="79" spans="1:8" x14ac:dyDescent="0.35">
      <c r="A79" s="320">
        <f t="shared" si="2"/>
        <v>32</v>
      </c>
      <c r="B79" s="323" t="s">
        <v>107</v>
      </c>
      <c r="C79" s="316"/>
      <c r="D79" s="316"/>
      <c r="E79" s="530">
        <f>E75*E77</f>
        <v>9876.1818887707905</v>
      </c>
      <c r="F79" s="609"/>
      <c r="G79" s="325" t="s">
        <v>108</v>
      </c>
      <c r="H79" s="320">
        <f t="shared" si="3"/>
        <v>32</v>
      </c>
    </row>
    <row r="80" spans="1:8" x14ac:dyDescent="0.35">
      <c r="A80" s="320">
        <f t="shared" si="2"/>
        <v>33</v>
      </c>
      <c r="B80" s="316"/>
      <c r="C80" s="316"/>
      <c r="D80" s="316"/>
      <c r="E80" s="374"/>
      <c r="F80" s="375"/>
      <c r="G80" s="325"/>
      <c r="H80" s="320">
        <f t="shared" si="3"/>
        <v>33</v>
      </c>
    </row>
    <row r="81" spans="1:9" x14ac:dyDescent="0.35">
      <c r="A81" s="320">
        <f t="shared" si="2"/>
        <v>34</v>
      </c>
      <c r="B81" s="323" t="s">
        <v>109</v>
      </c>
      <c r="C81" s="316"/>
      <c r="D81" s="316"/>
      <c r="E81" s="355">
        <f>E79/E48</f>
        <v>1.665729546324308E-3</v>
      </c>
      <c r="F81" s="356"/>
      <c r="G81" s="325" t="s">
        <v>110</v>
      </c>
      <c r="H81" s="320">
        <f t="shared" si="3"/>
        <v>34</v>
      </c>
    </row>
    <row r="82" spans="1:9" x14ac:dyDescent="0.35">
      <c r="A82" s="320">
        <f t="shared" si="2"/>
        <v>35</v>
      </c>
      <c r="B82" s="323"/>
      <c r="C82" s="316"/>
      <c r="D82" s="316"/>
      <c r="E82" s="377"/>
      <c r="F82" s="356"/>
      <c r="G82" s="325"/>
      <c r="H82" s="320">
        <f t="shared" si="3"/>
        <v>35</v>
      </c>
    </row>
    <row r="83" spans="1:9" x14ac:dyDescent="0.35">
      <c r="A83" s="320">
        <f t="shared" si="2"/>
        <v>36</v>
      </c>
      <c r="B83" s="322" t="s">
        <v>111</v>
      </c>
      <c r="C83" s="378"/>
      <c r="D83" s="378"/>
      <c r="E83" s="379"/>
      <c r="F83" s="379"/>
      <c r="G83" s="379"/>
      <c r="H83" s="320">
        <f t="shared" si="3"/>
        <v>36</v>
      </c>
    </row>
    <row r="84" spans="1:9" x14ac:dyDescent="0.35">
      <c r="A84" s="320">
        <f t="shared" si="2"/>
        <v>37</v>
      </c>
      <c r="B84" s="323" t="s">
        <v>112</v>
      </c>
      <c r="C84" s="378"/>
      <c r="D84" s="378"/>
      <c r="E84" s="29">
        <v>33689.422074071481</v>
      </c>
      <c r="F84" s="379"/>
      <c r="G84" s="325" t="s">
        <v>113</v>
      </c>
      <c r="H84" s="320">
        <f t="shared" si="3"/>
        <v>37</v>
      </c>
    </row>
    <row r="85" spans="1:9" x14ac:dyDescent="0.35">
      <c r="A85" s="320">
        <f t="shared" si="2"/>
        <v>38</v>
      </c>
      <c r="B85" s="322"/>
      <c r="C85" s="378"/>
      <c r="D85" s="378"/>
      <c r="E85" s="380"/>
      <c r="F85" s="379"/>
      <c r="G85" s="379"/>
      <c r="H85" s="320">
        <f t="shared" si="3"/>
        <v>38</v>
      </c>
    </row>
    <row r="86" spans="1:9" x14ac:dyDescent="0.35">
      <c r="A86" s="320">
        <f t="shared" si="2"/>
        <v>39</v>
      </c>
      <c r="B86" s="323" t="s">
        <v>114</v>
      </c>
      <c r="C86" s="378"/>
      <c r="D86" s="378"/>
      <c r="E86" s="381">
        <v>95078.209743511849</v>
      </c>
      <c r="F86" s="379"/>
      <c r="G86" s="325" t="s">
        <v>115</v>
      </c>
      <c r="H86" s="320">
        <f t="shared" si="3"/>
        <v>39</v>
      </c>
    </row>
    <row r="87" spans="1:9" ht="18" x14ac:dyDescent="0.6">
      <c r="A87" s="320">
        <f t="shared" si="2"/>
        <v>40</v>
      </c>
      <c r="B87" s="378"/>
      <c r="C87" s="382"/>
      <c r="D87" s="382"/>
      <c r="E87" s="383"/>
      <c r="F87" s="384"/>
      <c r="G87" s="378"/>
      <c r="H87" s="320">
        <f t="shared" si="3"/>
        <v>40</v>
      </c>
    </row>
    <row r="88" spans="1:9" x14ac:dyDescent="0.35">
      <c r="A88" s="320">
        <f t="shared" si="2"/>
        <v>41</v>
      </c>
      <c r="B88" s="323" t="s">
        <v>116</v>
      </c>
      <c r="C88" s="382"/>
      <c r="D88" s="382"/>
      <c r="E88" s="385">
        <f>E84+E86</f>
        <v>128767.63181758333</v>
      </c>
      <c r="F88" s="386"/>
      <c r="G88" s="325" t="s">
        <v>117</v>
      </c>
      <c r="H88" s="320">
        <f t="shared" si="3"/>
        <v>41</v>
      </c>
    </row>
    <row r="89" spans="1:9" x14ac:dyDescent="0.35">
      <c r="A89" s="320">
        <f t="shared" si="2"/>
        <v>42</v>
      </c>
      <c r="B89" s="387"/>
      <c r="C89" s="382"/>
      <c r="D89" s="382"/>
      <c r="E89" s="388"/>
      <c r="F89" s="386"/>
      <c r="G89" s="389"/>
      <c r="H89" s="320">
        <f t="shared" si="3"/>
        <v>42</v>
      </c>
    </row>
    <row r="90" spans="1:9" x14ac:dyDescent="0.35">
      <c r="A90" s="320">
        <f t="shared" si="2"/>
        <v>43</v>
      </c>
      <c r="B90" s="323" t="s">
        <v>106</v>
      </c>
      <c r="C90" s="382"/>
      <c r="D90" s="382"/>
      <c r="E90" s="390">
        <f>E77</f>
        <v>9.5858607252049824E-2</v>
      </c>
      <c r="F90" s="386"/>
      <c r="G90" s="325" t="s">
        <v>118</v>
      </c>
      <c r="H90" s="320">
        <f t="shared" si="3"/>
        <v>43</v>
      </c>
    </row>
    <row r="91" spans="1:9" x14ac:dyDescent="0.35">
      <c r="A91" s="320">
        <f t="shared" si="2"/>
        <v>44</v>
      </c>
      <c r="B91" s="378"/>
      <c r="C91" s="382"/>
      <c r="D91" s="382"/>
      <c r="E91" s="391"/>
      <c r="F91" s="392"/>
      <c r="G91" s="378"/>
      <c r="H91" s="320">
        <f t="shared" si="3"/>
        <v>44</v>
      </c>
    </row>
    <row r="92" spans="1:9" x14ac:dyDescent="0.35">
      <c r="A92" s="320">
        <f t="shared" si="2"/>
        <v>45</v>
      </c>
      <c r="B92" s="323" t="s">
        <v>119</v>
      </c>
      <c r="C92" s="382"/>
      <c r="D92" s="382"/>
      <c r="E92" s="393">
        <f>E88*E90</f>
        <v>12343.485845178275</v>
      </c>
      <c r="F92" s="394"/>
      <c r="G92" s="325" t="s">
        <v>120</v>
      </c>
      <c r="H92" s="320">
        <f t="shared" si="3"/>
        <v>45</v>
      </c>
    </row>
    <row r="93" spans="1:9" x14ac:dyDescent="0.35">
      <c r="A93" s="320">
        <f t="shared" si="2"/>
        <v>46</v>
      </c>
      <c r="B93" s="387"/>
      <c r="C93" s="382"/>
      <c r="D93" s="382"/>
      <c r="E93" s="395"/>
      <c r="F93" s="394"/>
      <c r="G93" s="389"/>
      <c r="H93" s="320">
        <f t="shared" si="3"/>
        <v>46</v>
      </c>
    </row>
    <row r="94" spans="1:9" x14ac:dyDescent="0.35">
      <c r="A94" s="320">
        <f t="shared" si="2"/>
        <v>47</v>
      </c>
      <c r="B94" s="323" t="s">
        <v>121</v>
      </c>
      <c r="C94" s="382"/>
      <c r="D94" s="382"/>
      <c r="E94" s="396">
        <v>17901.237620578257</v>
      </c>
      <c r="F94" s="394"/>
      <c r="G94" s="325" t="s">
        <v>122</v>
      </c>
      <c r="H94" s="320">
        <f t="shared" si="3"/>
        <v>47</v>
      </c>
      <c r="I94" s="382"/>
    </row>
    <row r="95" spans="1:9" x14ac:dyDescent="0.35">
      <c r="A95" s="320">
        <f t="shared" si="2"/>
        <v>48</v>
      </c>
      <c r="B95" s="323"/>
      <c r="C95" s="382"/>
      <c r="D95" s="382"/>
      <c r="E95" s="236"/>
      <c r="F95" s="394"/>
      <c r="G95" s="325"/>
      <c r="H95" s="320">
        <f t="shared" si="3"/>
        <v>48</v>
      </c>
    </row>
    <row r="96" spans="1:9" x14ac:dyDescent="0.35">
      <c r="A96" s="320">
        <f t="shared" si="2"/>
        <v>49</v>
      </c>
      <c r="B96" s="323" t="s">
        <v>123</v>
      </c>
      <c r="C96" s="382"/>
      <c r="D96" s="382"/>
      <c r="E96" s="236">
        <f>E92+E94</f>
        <v>30244.723465756531</v>
      </c>
      <c r="F96" s="394"/>
      <c r="G96" s="325" t="s">
        <v>124</v>
      </c>
      <c r="H96" s="320">
        <f t="shared" si="3"/>
        <v>49</v>
      </c>
    </row>
    <row r="97" spans="1:8" x14ac:dyDescent="0.35">
      <c r="A97" s="320">
        <f t="shared" si="2"/>
        <v>50</v>
      </c>
      <c r="B97" s="378"/>
      <c r="C97" s="382"/>
      <c r="D97" s="382"/>
      <c r="E97" s="397"/>
      <c r="F97" s="378"/>
      <c r="G97" s="378"/>
      <c r="H97" s="320">
        <f t="shared" si="3"/>
        <v>50</v>
      </c>
    </row>
    <row r="98" spans="1:8" ht="16" thickBot="1" x14ac:dyDescent="0.4">
      <c r="A98" s="320">
        <f t="shared" si="2"/>
        <v>51</v>
      </c>
      <c r="B98" s="323" t="s">
        <v>125</v>
      </c>
      <c r="C98" s="382"/>
      <c r="D98" s="382"/>
      <c r="E98" s="398">
        <f>E96/E48</f>
        <v>5.1011139795430717E-3</v>
      </c>
      <c r="F98" s="399"/>
      <c r="G98" s="325" t="s">
        <v>126</v>
      </c>
      <c r="H98" s="320">
        <f t="shared" si="3"/>
        <v>51</v>
      </c>
    </row>
    <row r="99" spans="1:8" ht="16" thickTop="1" x14ac:dyDescent="0.35">
      <c r="A99" s="326"/>
    </row>
    <row r="100" spans="1:8" x14ac:dyDescent="0.35">
      <c r="A100" s="326"/>
    </row>
    <row r="101" spans="1:8" x14ac:dyDescent="0.35">
      <c r="A101" s="326"/>
    </row>
    <row r="102" spans="1:8" x14ac:dyDescent="0.35">
      <c r="A102" s="326"/>
    </row>
    <row r="103" spans="1:8" x14ac:dyDescent="0.35">
      <c r="A103" s="326"/>
    </row>
    <row r="104" spans="1:8" x14ac:dyDescent="0.35">
      <c r="A104" s="326"/>
    </row>
    <row r="105" spans="1:8" x14ac:dyDescent="0.35">
      <c r="A105" s="326"/>
    </row>
    <row r="106" spans="1:8" x14ac:dyDescent="0.35">
      <c r="A106" s="326"/>
    </row>
    <row r="107" spans="1:8" x14ac:dyDescent="0.35">
      <c r="A107" s="326"/>
    </row>
    <row r="108" spans="1:8" x14ac:dyDescent="0.35">
      <c r="A108" s="326"/>
    </row>
    <row r="109" spans="1:8" x14ac:dyDescent="0.35">
      <c r="A109" s="326"/>
    </row>
    <row r="110" spans="1:8" x14ac:dyDescent="0.35">
      <c r="A110" s="326"/>
    </row>
    <row r="111" spans="1:8" x14ac:dyDescent="0.35">
      <c r="A111" s="326"/>
    </row>
    <row r="112" spans="1:8" x14ac:dyDescent="0.35">
      <c r="A112" s="326"/>
    </row>
    <row r="113" spans="1:1" x14ac:dyDescent="0.35">
      <c r="A113" s="326"/>
    </row>
    <row r="114" spans="1:1" x14ac:dyDescent="0.35">
      <c r="A114" s="326"/>
    </row>
    <row r="115" spans="1:1" x14ac:dyDescent="0.35">
      <c r="A115" s="326"/>
    </row>
    <row r="116" spans="1:1" x14ac:dyDescent="0.35">
      <c r="A116" s="326"/>
    </row>
    <row r="117" spans="1:1" x14ac:dyDescent="0.35">
      <c r="A117" s="326"/>
    </row>
    <row r="118" spans="1:1" x14ac:dyDescent="0.35">
      <c r="A118" s="326"/>
    </row>
    <row r="119" spans="1:1" x14ac:dyDescent="0.35">
      <c r="A119" s="326"/>
    </row>
    <row r="120" spans="1:1" x14ac:dyDescent="0.35">
      <c r="A120" s="326"/>
    </row>
    <row r="121" spans="1:1" x14ac:dyDescent="0.35">
      <c r="A121" s="326"/>
    </row>
    <row r="122" spans="1:1" x14ac:dyDescent="0.35">
      <c r="A122" s="326"/>
    </row>
    <row r="123" spans="1:1" x14ac:dyDescent="0.35">
      <c r="A123" s="326"/>
    </row>
    <row r="124" spans="1:1" x14ac:dyDescent="0.35">
      <c r="A124" s="326"/>
    </row>
    <row r="125" spans="1:1" x14ac:dyDescent="0.35">
      <c r="A125" s="326"/>
    </row>
    <row r="126" spans="1:1" x14ac:dyDescent="0.35">
      <c r="A126" s="326"/>
    </row>
    <row r="127" spans="1:1" x14ac:dyDescent="0.35">
      <c r="A127" s="326"/>
    </row>
    <row r="128" spans="1:1" x14ac:dyDescent="0.35">
      <c r="A128" s="326"/>
    </row>
    <row r="129" spans="1:1" x14ac:dyDescent="0.35">
      <c r="A129" s="326"/>
    </row>
    <row r="130" spans="1:1" x14ac:dyDescent="0.35">
      <c r="A130" s="326"/>
    </row>
    <row r="131" spans="1:1" x14ac:dyDescent="0.35">
      <c r="A131" s="326"/>
    </row>
    <row r="132" spans="1:1" x14ac:dyDescent="0.35">
      <c r="A132" s="326"/>
    </row>
    <row r="133" spans="1:1" x14ac:dyDescent="0.35">
      <c r="A133" s="326"/>
    </row>
    <row r="134" spans="1:1" x14ac:dyDescent="0.35">
      <c r="A134" s="326"/>
    </row>
    <row r="135" spans="1:1" x14ac:dyDescent="0.35">
      <c r="A135" s="326"/>
    </row>
    <row r="136" spans="1:1" x14ac:dyDescent="0.35">
      <c r="A136" s="326"/>
    </row>
    <row r="137" spans="1:1" x14ac:dyDescent="0.35">
      <c r="A137" s="326"/>
    </row>
    <row r="138" spans="1:1" x14ac:dyDescent="0.35">
      <c r="A138" s="326"/>
    </row>
    <row r="139" spans="1:1" x14ac:dyDescent="0.35">
      <c r="A139" s="326"/>
    </row>
    <row r="140" spans="1:1" x14ac:dyDescent="0.35">
      <c r="A140" s="326"/>
    </row>
    <row r="141" spans="1:1" x14ac:dyDescent="0.35">
      <c r="A141" s="326"/>
    </row>
    <row r="142" spans="1:1" x14ac:dyDescent="0.35">
      <c r="A142" s="326"/>
    </row>
    <row r="143" spans="1:1" x14ac:dyDescent="0.35">
      <c r="A143" s="326"/>
    </row>
    <row r="144" spans="1:1" x14ac:dyDescent="0.35">
      <c r="A144" s="326"/>
    </row>
    <row r="145" spans="1:6" x14ac:dyDescent="0.35">
      <c r="A145" s="326"/>
    </row>
    <row r="146" spans="1:6" x14ac:dyDescent="0.35">
      <c r="A146" s="326"/>
    </row>
    <row r="147" spans="1:6" x14ac:dyDescent="0.35">
      <c r="A147" s="326"/>
    </row>
    <row r="148" spans="1:6" x14ac:dyDescent="0.35">
      <c r="A148" s="326"/>
    </row>
    <row r="149" spans="1:6" x14ac:dyDescent="0.35">
      <c r="A149" s="326"/>
    </row>
    <row r="150" spans="1:6" x14ac:dyDescent="0.35">
      <c r="A150" s="326"/>
    </row>
    <row r="151" spans="1:6" x14ac:dyDescent="0.35">
      <c r="A151" s="326"/>
    </row>
    <row r="152" spans="1:6" x14ac:dyDescent="0.35">
      <c r="A152" s="326"/>
    </row>
    <row r="153" spans="1:6" x14ac:dyDescent="0.35">
      <c r="A153" s="326"/>
      <c r="B153" s="317"/>
      <c r="C153" s="317"/>
      <c r="D153" s="317"/>
      <c r="E153" s="317"/>
      <c r="F153" s="317"/>
    </row>
    <row r="154" spans="1:6" x14ac:dyDescent="0.35">
      <c r="A154" s="326"/>
      <c r="B154" s="317"/>
      <c r="C154" s="317"/>
      <c r="D154" s="317"/>
      <c r="E154" s="317"/>
      <c r="F154" s="317"/>
    </row>
    <row r="159" spans="1:6" x14ac:dyDescent="0.35">
      <c r="A159" s="319"/>
      <c r="B159" s="317"/>
      <c r="C159" s="317"/>
      <c r="D159" s="317"/>
      <c r="E159" s="400"/>
      <c r="F159" s="400"/>
    </row>
  </sheetData>
  <mergeCells count="10">
    <mergeCell ref="B43:G43"/>
    <mergeCell ref="B5:G5"/>
    <mergeCell ref="B6:G6"/>
    <mergeCell ref="B7:G7"/>
    <mergeCell ref="B3:G3"/>
    <mergeCell ref="B39:G39"/>
    <mergeCell ref="B40:G40"/>
    <mergeCell ref="B41:G41"/>
    <mergeCell ref="B42:G42"/>
    <mergeCell ref="B4:G4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37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S43"/>
  <sheetViews>
    <sheetView zoomScale="80" zoomScaleNormal="80" workbookViewId="0"/>
  </sheetViews>
  <sheetFormatPr defaultColWidth="9.08984375" defaultRowHeight="15.5" x14ac:dyDescent="0.35"/>
  <cols>
    <col min="1" max="1" width="5.36328125" style="33" customWidth="1"/>
    <col min="2" max="2" width="12.54296875" style="34" customWidth="1"/>
    <col min="3" max="3" width="20" style="34" customWidth="1"/>
    <col min="4" max="7" width="21.54296875" style="34" customWidth="1"/>
    <col min="8" max="8" width="22.6328125" style="34" bestFit="1" customWidth="1"/>
    <col min="9" max="11" width="21.54296875" style="34" customWidth="1"/>
    <col min="12" max="12" width="2" style="34" bestFit="1" customWidth="1"/>
    <col min="13" max="14" width="21.54296875" style="34" customWidth="1"/>
    <col min="15" max="15" width="2" style="34" bestFit="1" customWidth="1"/>
    <col min="16" max="16" width="5.36328125" style="33" customWidth="1"/>
    <col min="17" max="17" width="13.54296875" style="34" customWidth="1"/>
    <col min="18" max="18" width="12.54296875" style="34" customWidth="1"/>
    <col min="19" max="16384" width="9.08984375" style="34"/>
  </cols>
  <sheetData>
    <row r="1" spans="1:16" x14ac:dyDescent="0.35">
      <c r="I1" s="506"/>
    </row>
    <row r="2" spans="1:16" x14ac:dyDescent="0.35">
      <c r="B2" s="906" t="s">
        <v>16</v>
      </c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</row>
    <row r="3" spans="1:16" x14ac:dyDescent="0.3">
      <c r="B3" s="897" t="s">
        <v>51</v>
      </c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</row>
    <row r="4" spans="1:16" x14ac:dyDescent="0.3">
      <c r="B4" s="897" t="s">
        <v>127</v>
      </c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</row>
    <row r="5" spans="1:16" x14ac:dyDescent="0.3">
      <c r="B5" s="905" t="s">
        <v>597</v>
      </c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</row>
    <row r="6" spans="1:16" x14ac:dyDescent="0.35">
      <c r="B6" s="904" t="s">
        <v>2</v>
      </c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667"/>
      <c r="P6" s="308"/>
    </row>
    <row r="7" spans="1:16" x14ac:dyDescent="0.35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</row>
    <row r="8" spans="1:16" x14ac:dyDescent="0.35">
      <c r="A8" s="33" t="s">
        <v>3</v>
      </c>
      <c r="B8" s="50"/>
      <c r="E8" s="40"/>
      <c r="F8" s="126"/>
      <c r="G8" s="126"/>
      <c r="P8" s="33" t="s">
        <v>3</v>
      </c>
    </row>
    <row r="9" spans="1:16" x14ac:dyDescent="0.35">
      <c r="A9" s="33" t="s">
        <v>4</v>
      </c>
      <c r="B9" s="50"/>
      <c r="E9" s="40"/>
      <c r="F9" s="126"/>
      <c r="G9" s="126"/>
      <c r="P9" s="33" t="s">
        <v>4</v>
      </c>
    </row>
    <row r="10" spans="1:16" x14ac:dyDescent="0.35">
      <c r="A10" s="33">
        <v>1</v>
      </c>
      <c r="E10" s="40"/>
      <c r="I10" s="263"/>
      <c r="J10" s="263"/>
      <c r="P10" s="33">
        <v>1</v>
      </c>
    </row>
    <row r="11" spans="1:16" x14ac:dyDescent="0.35">
      <c r="A11" s="33">
        <f t="shared" ref="A11:A31" si="0">A10+1</f>
        <v>2</v>
      </c>
      <c r="C11" s="264" t="s">
        <v>128</v>
      </c>
      <c r="D11" s="264" t="s">
        <v>129</v>
      </c>
      <c r="E11" s="264" t="s">
        <v>130</v>
      </c>
      <c r="F11" s="264" t="s">
        <v>131</v>
      </c>
      <c r="G11" s="264" t="s">
        <v>132</v>
      </c>
      <c r="H11" s="264" t="s">
        <v>133</v>
      </c>
      <c r="I11" s="264" t="s">
        <v>134</v>
      </c>
      <c r="J11" s="264" t="s">
        <v>135</v>
      </c>
      <c r="K11" s="264" t="s">
        <v>136</v>
      </c>
      <c r="L11" s="264"/>
      <c r="M11" s="264" t="s">
        <v>137</v>
      </c>
      <c r="N11" s="264" t="s">
        <v>138</v>
      </c>
      <c r="O11" s="264"/>
      <c r="P11" s="33">
        <f t="shared" ref="P11:P31" si="1">P10+1</f>
        <v>2</v>
      </c>
    </row>
    <row r="12" spans="1:16" x14ac:dyDescent="0.35">
      <c r="A12" s="33">
        <f t="shared" si="0"/>
        <v>3</v>
      </c>
      <c r="B12" s="40" t="s">
        <v>139</v>
      </c>
      <c r="C12" s="33"/>
      <c r="D12" s="33"/>
      <c r="E12" s="33"/>
      <c r="F12" s="33" t="str">
        <f>"= "&amp;F11&amp;"; Line "&amp;A31&amp;" / 12"</f>
        <v>= Col. 4; Line 22 / 12</v>
      </c>
      <c r="G12" s="33"/>
      <c r="H12" s="65" t="str">
        <f>"= Sum "&amp;E11&amp;" thru "&amp;G11</f>
        <v>= Sum Col. 3 thru Col. 5</v>
      </c>
      <c r="I12" s="65" t="str">
        <f>"= "&amp;D11&amp;" - "&amp;H11</f>
        <v>= Col. 2 - Col. 6</v>
      </c>
      <c r="J12" s="33"/>
      <c r="K12" s="33" t="str">
        <f>"See Footnote "&amp;A42</f>
        <v>See Footnote 6</v>
      </c>
      <c r="L12" s="33"/>
      <c r="M12" s="33" t="str">
        <f>"See Footnote "&amp;A43</f>
        <v>See Footnote 7</v>
      </c>
      <c r="N12" s="65" t="str">
        <f>"= "&amp;K11&amp;" + "&amp;M11</f>
        <v>= Col. 9 + Col. 10</v>
      </c>
      <c r="O12" s="65"/>
      <c r="P12" s="33">
        <f t="shared" si="1"/>
        <v>3</v>
      </c>
    </row>
    <row r="13" spans="1:16" x14ac:dyDescent="0.35">
      <c r="A13" s="33">
        <f t="shared" si="0"/>
        <v>4</v>
      </c>
      <c r="B13" s="40"/>
      <c r="C13" s="33"/>
      <c r="D13" s="33"/>
      <c r="E13" s="33"/>
      <c r="F13" s="33"/>
      <c r="G13" s="33"/>
      <c r="H13" s="65"/>
      <c r="I13" s="65"/>
      <c r="J13" s="33"/>
      <c r="K13" s="33"/>
      <c r="L13" s="33"/>
      <c r="M13" s="33"/>
      <c r="N13" s="65"/>
      <c r="O13" s="65"/>
      <c r="P13" s="33">
        <f t="shared" si="1"/>
        <v>4</v>
      </c>
    </row>
    <row r="14" spans="1:16" x14ac:dyDescent="0.35">
      <c r="A14" s="33">
        <f t="shared" si="0"/>
        <v>5</v>
      </c>
      <c r="C14" s="264"/>
      <c r="H14" s="308"/>
      <c r="K14" s="308" t="s">
        <v>140</v>
      </c>
      <c r="L14" s="308"/>
      <c r="N14" s="308" t="s">
        <v>140</v>
      </c>
      <c r="O14" s="308"/>
      <c r="P14" s="33">
        <f t="shared" si="1"/>
        <v>5</v>
      </c>
    </row>
    <row r="15" spans="1:16" x14ac:dyDescent="0.35">
      <c r="A15" s="33">
        <f t="shared" si="0"/>
        <v>6</v>
      </c>
      <c r="C15" s="264"/>
      <c r="F15" s="308"/>
      <c r="G15" s="308"/>
      <c r="H15" s="308"/>
      <c r="I15" s="308" t="s">
        <v>141</v>
      </c>
      <c r="J15" s="308"/>
      <c r="K15" s="308" t="s">
        <v>142</v>
      </c>
      <c r="L15" s="308"/>
      <c r="N15" s="308" t="s">
        <v>142</v>
      </c>
      <c r="O15" s="308"/>
      <c r="P15" s="33">
        <f t="shared" si="1"/>
        <v>6</v>
      </c>
    </row>
    <row r="16" spans="1:16" x14ac:dyDescent="0.35">
      <c r="A16" s="33">
        <f t="shared" si="0"/>
        <v>7</v>
      </c>
      <c r="C16" s="308"/>
      <c r="D16" s="308" t="s">
        <v>141</v>
      </c>
      <c r="E16" s="308" t="s">
        <v>141</v>
      </c>
      <c r="F16" s="308" t="s">
        <v>143</v>
      </c>
      <c r="G16" s="308"/>
      <c r="H16" s="308" t="s">
        <v>144</v>
      </c>
      <c r="I16" s="308" t="s">
        <v>142</v>
      </c>
      <c r="J16" s="308" t="s">
        <v>141</v>
      </c>
      <c r="K16" s="308" t="s">
        <v>145</v>
      </c>
      <c r="L16" s="308"/>
      <c r="N16" s="308" t="s">
        <v>145</v>
      </c>
      <c r="O16" s="308"/>
      <c r="P16" s="33">
        <f t="shared" si="1"/>
        <v>7</v>
      </c>
    </row>
    <row r="17" spans="1:19" x14ac:dyDescent="0.35">
      <c r="A17" s="33">
        <f t="shared" si="0"/>
        <v>8</v>
      </c>
      <c r="C17" s="308"/>
      <c r="D17" s="308" t="s">
        <v>146</v>
      </c>
      <c r="E17" s="308" t="s">
        <v>146</v>
      </c>
      <c r="F17" s="308" t="s">
        <v>146</v>
      </c>
      <c r="G17" s="308" t="s">
        <v>147</v>
      </c>
      <c r="H17" s="308" t="s">
        <v>146</v>
      </c>
      <c r="I17" s="308" t="s">
        <v>145</v>
      </c>
      <c r="J17" s="308" t="s">
        <v>148</v>
      </c>
      <c r="K17" s="308" t="s">
        <v>149</v>
      </c>
      <c r="L17" s="308"/>
      <c r="M17" s="308"/>
      <c r="N17" s="308" t="s">
        <v>149</v>
      </c>
      <c r="O17" s="308"/>
      <c r="P17" s="33">
        <f t="shared" si="1"/>
        <v>8</v>
      </c>
    </row>
    <row r="18" spans="1:19" ht="18" x14ac:dyDescent="0.35">
      <c r="A18" s="33">
        <f t="shared" si="0"/>
        <v>9</v>
      </c>
      <c r="B18" s="265" t="s">
        <v>150</v>
      </c>
      <c r="C18" s="265" t="s">
        <v>151</v>
      </c>
      <c r="D18" s="126" t="s">
        <v>152</v>
      </c>
      <c r="E18" s="126" t="s">
        <v>153</v>
      </c>
      <c r="F18" s="126" t="s">
        <v>154</v>
      </c>
      <c r="G18" s="126" t="s">
        <v>155</v>
      </c>
      <c r="H18" s="126" t="s">
        <v>156</v>
      </c>
      <c r="I18" s="126" t="s">
        <v>149</v>
      </c>
      <c r="J18" s="126" t="s">
        <v>157</v>
      </c>
      <c r="K18" s="126" t="s">
        <v>158</v>
      </c>
      <c r="L18" s="126"/>
      <c r="M18" s="126" t="s">
        <v>148</v>
      </c>
      <c r="N18" s="126" t="s">
        <v>159</v>
      </c>
      <c r="O18" s="126"/>
      <c r="P18" s="33">
        <f t="shared" si="1"/>
        <v>9</v>
      </c>
    </row>
    <row r="19" spans="1:19" x14ac:dyDescent="0.35">
      <c r="A19" s="33">
        <f t="shared" si="0"/>
        <v>10</v>
      </c>
      <c r="B19" s="89" t="s">
        <v>160</v>
      </c>
      <c r="C19" s="266" t="str">
        <f>RIGHT(B5,4)</f>
        <v>2022</v>
      </c>
      <c r="D19" s="124">
        <f>'Pg3 Rev App. X C12'!C40</f>
        <v>318.43716815950904</v>
      </c>
      <c r="E19" s="30">
        <v>438.39607010019654</v>
      </c>
      <c r="F19" s="30">
        <v>-127.04234138921072</v>
      </c>
      <c r="G19" s="313">
        <v>9.0633708308996983</v>
      </c>
      <c r="H19" s="236">
        <f>SUM(E19:G19)</f>
        <v>320.41709954188553</v>
      </c>
      <c r="I19" s="57">
        <f>D19-H19</f>
        <v>-1.9799313823764919</v>
      </c>
      <c r="J19" s="267">
        <v>2.8E-3</v>
      </c>
      <c r="K19" s="531">
        <f>I19</f>
        <v>-1.9799313823764919</v>
      </c>
      <c r="L19" s="591"/>
      <c r="M19" s="268">
        <f>(I19/2)*J19</f>
        <v>-2.7719039353270888E-3</v>
      </c>
      <c r="N19" s="268">
        <f t="shared" ref="N19:N30" si="2">K19+M19</f>
        <v>-1.982703286311819</v>
      </c>
      <c r="O19" s="314"/>
      <c r="P19" s="33">
        <f t="shared" si="1"/>
        <v>10</v>
      </c>
      <c r="Q19" s="32"/>
    </row>
    <row r="20" spans="1:19" x14ac:dyDescent="0.35">
      <c r="A20" s="33">
        <f t="shared" si="0"/>
        <v>11</v>
      </c>
      <c r="B20" s="89" t="s">
        <v>161</v>
      </c>
      <c r="C20" s="266" t="str">
        <f>C19</f>
        <v>2022</v>
      </c>
      <c r="D20" s="816">
        <f>$D$19</f>
        <v>318.43716815950904</v>
      </c>
      <c r="E20" s="109">
        <f>$E$19</f>
        <v>438.39607010019654</v>
      </c>
      <c r="F20" s="109">
        <f>$F$19</f>
        <v>-127.04234138921072</v>
      </c>
      <c r="G20" s="109">
        <f>$G$19</f>
        <v>9.0633708308996983</v>
      </c>
      <c r="H20" s="172">
        <f>SUM(E20:G20)</f>
        <v>320.41709954188553</v>
      </c>
      <c r="I20" s="109">
        <f t="shared" ref="I20:I30" si="3">D20-H20</f>
        <v>-1.9799313823764919</v>
      </c>
      <c r="J20" s="267">
        <v>2.5000000000000001E-3</v>
      </c>
      <c r="K20" s="271">
        <f t="shared" ref="K20:K30" si="4">N19+I20</f>
        <v>-3.9626346686883109</v>
      </c>
      <c r="L20" s="665" t="s">
        <v>27</v>
      </c>
      <c r="M20" s="269">
        <f t="shared" ref="M20:M30" si="5">(N19+K20)/2*J20</f>
        <v>-7.4316724437501628E-3</v>
      </c>
      <c r="N20" s="272">
        <f t="shared" si="2"/>
        <v>-3.9700663411320609</v>
      </c>
      <c r="O20" s="665" t="s">
        <v>27</v>
      </c>
      <c r="P20" s="33">
        <f t="shared" si="1"/>
        <v>11</v>
      </c>
      <c r="Q20" s="125"/>
    </row>
    <row r="21" spans="1:19" x14ac:dyDescent="0.35">
      <c r="A21" s="33">
        <f t="shared" si="0"/>
        <v>12</v>
      </c>
      <c r="B21" s="89" t="s">
        <v>162</v>
      </c>
      <c r="C21" s="266" t="str">
        <f>C19</f>
        <v>2022</v>
      </c>
      <c r="D21" s="816">
        <f t="shared" ref="D21:D30" si="6">$D$19</f>
        <v>318.43716815950904</v>
      </c>
      <c r="E21" s="109">
        <f>$E$19</f>
        <v>438.39607010019654</v>
      </c>
      <c r="F21" s="109">
        <f t="shared" ref="F21:F30" si="7">$F$19</f>
        <v>-127.04234138921072</v>
      </c>
      <c r="G21" s="109">
        <f t="shared" ref="G21:G30" si="8">$G$19</f>
        <v>9.0633708308996983</v>
      </c>
      <c r="H21" s="172">
        <f t="shared" ref="H21:H29" si="9">SUM(E21:G21)</f>
        <v>320.41709954188553</v>
      </c>
      <c r="I21" s="109">
        <f t="shared" si="3"/>
        <v>-1.9799313823764919</v>
      </c>
      <c r="J21" s="267">
        <v>2.8E-3</v>
      </c>
      <c r="K21" s="271">
        <f t="shared" si="4"/>
        <v>-5.9499977235085524</v>
      </c>
      <c r="L21" s="665" t="s">
        <v>27</v>
      </c>
      <c r="M21" s="269">
        <f t="shared" si="5"/>
        <v>-1.3888089690496859E-2</v>
      </c>
      <c r="N21" s="272">
        <f t="shared" si="2"/>
        <v>-5.9638858131990489</v>
      </c>
      <c r="O21" s="665" t="s">
        <v>27</v>
      </c>
      <c r="P21" s="33">
        <f t="shared" si="1"/>
        <v>12</v>
      </c>
      <c r="Q21" s="125"/>
    </row>
    <row r="22" spans="1:19" x14ac:dyDescent="0.35">
      <c r="A22" s="33">
        <f t="shared" si="0"/>
        <v>13</v>
      </c>
      <c r="B22" s="89" t="s">
        <v>163</v>
      </c>
      <c r="C22" s="266" t="str">
        <f>C19</f>
        <v>2022</v>
      </c>
      <c r="D22" s="816">
        <f t="shared" si="6"/>
        <v>318.43716815950904</v>
      </c>
      <c r="E22" s="109">
        <f>$E$19</f>
        <v>438.39607010019654</v>
      </c>
      <c r="F22" s="109">
        <f t="shared" si="7"/>
        <v>-127.04234138921072</v>
      </c>
      <c r="G22" s="109">
        <f t="shared" si="8"/>
        <v>9.0633708308996983</v>
      </c>
      <c r="H22" s="172">
        <f t="shared" si="9"/>
        <v>320.41709954188553</v>
      </c>
      <c r="I22" s="109">
        <f>D22-H22</f>
        <v>-1.9799313823764919</v>
      </c>
      <c r="J22" s="267">
        <v>2.7000000000000001E-3</v>
      </c>
      <c r="K22" s="271">
        <f t="shared" si="4"/>
        <v>-7.9438171955755408</v>
      </c>
      <c r="L22" s="665" t="s">
        <v>27</v>
      </c>
      <c r="M22" s="269">
        <f t="shared" si="5"/>
        <v>-1.8775399061845697E-2</v>
      </c>
      <c r="N22" s="272">
        <f t="shared" si="2"/>
        <v>-7.9625925946373863</v>
      </c>
      <c r="O22" s="665" t="s">
        <v>27</v>
      </c>
      <c r="P22" s="33">
        <f t="shared" si="1"/>
        <v>13</v>
      </c>
      <c r="Q22" s="125"/>
      <c r="S22" s="270"/>
    </row>
    <row r="23" spans="1:19" x14ac:dyDescent="0.35">
      <c r="A23" s="33">
        <f t="shared" si="0"/>
        <v>14</v>
      </c>
      <c r="B23" s="89" t="s">
        <v>164</v>
      </c>
      <c r="C23" s="266" t="str">
        <f>C19</f>
        <v>2022</v>
      </c>
      <c r="D23" s="816">
        <f t="shared" si="6"/>
        <v>318.43716815950904</v>
      </c>
      <c r="E23" s="109">
        <f>$E$19</f>
        <v>438.39607010019654</v>
      </c>
      <c r="F23" s="109">
        <f t="shared" si="7"/>
        <v>-127.04234138921072</v>
      </c>
      <c r="G23" s="109">
        <f t="shared" si="8"/>
        <v>9.0633708308996983</v>
      </c>
      <c r="H23" s="172">
        <f t="shared" si="9"/>
        <v>320.41709954188553</v>
      </c>
      <c r="I23" s="109">
        <f t="shared" si="3"/>
        <v>-1.9799313823764919</v>
      </c>
      <c r="J23" s="267">
        <v>2.8E-3</v>
      </c>
      <c r="K23" s="271">
        <f t="shared" si="4"/>
        <v>-9.9425239770138774</v>
      </c>
      <c r="L23" s="665" t="s">
        <v>27</v>
      </c>
      <c r="M23" s="269">
        <f t="shared" si="5"/>
        <v>-2.5067163200311767E-2</v>
      </c>
      <c r="N23" s="272">
        <f t="shared" si="2"/>
        <v>-9.9675911402141892</v>
      </c>
      <c r="O23" s="665" t="s">
        <v>27</v>
      </c>
      <c r="P23" s="33">
        <f t="shared" si="1"/>
        <v>14</v>
      </c>
      <c r="Q23" s="125"/>
    </row>
    <row r="24" spans="1:19" x14ac:dyDescent="0.35">
      <c r="A24" s="33">
        <f t="shared" si="0"/>
        <v>15</v>
      </c>
      <c r="B24" s="89" t="s">
        <v>165</v>
      </c>
      <c r="C24" s="266" t="str">
        <f>C19</f>
        <v>2022</v>
      </c>
      <c r="D24" s="816">
        <f t="shared" si="6"/>
        <v>318.43716815950904</v>
      </c>
      <c r="E24" s="109">
        <f t="shared" ref="E24:E30" si="10">$E$19</f>
        <v>438.39607010019654</v>
      </c>
      <c r="F24" s="109">
        <f t="shared" si="7"/>
        <v>-127.04234138921072</v>
      </c>
      <c r="G24" s="109">
        <f t="shared" si="8"/>
        <v>9.0633708308996983</v>
      </c>
      <c r="H24" s="172">
        <f>SUM(E24:G24)</f>
        <v>320.41709954188553</v>
      </c>
      <c r="I24" s="109">
        <f t="shared" si="3"/>
        <v>-1.9799313823764919</v>
      </c>
      <c r="J24" s="267">
        <v>2.7000000000000001E-3</v>
      </c>
      <c r="K24" s="271">
        <f t="shared" si="4"/>
        <v>-11.947522522590681</v>
      </c>
      <c r="L24" s="665" t="s">
        <v>27</v>
      </c>
      <c r="M24" s="269">
        <f t="shared" si="5"/>
        <v>-2.9585403444786575E-2</v>
      </c>
      <c r="N24" s="272">
        <f t="shared" si="2"/>
        <v>-11.977107926035467</v>
      </c>
      <c r="O24" s="665" t="s">
        <v>27</v>
      </c>
      <c r="P24" s="33">
        <f t="shared" si="1"/>
        <v>15</v>
      </c>
      <c r="Q24" s="125"/>
    </row>
    <row r="25" spans="1:19" x14ac:dyDescent="0.35">
      <c r="A25" s="33">
        <f t="shared" si="0"/>
        <v>16</v>
      </c>
      <c r="B25" s="89" t="s">
        <v>166</v>
      </c>
      <c r="C25" s="266" t="str">
        <f>C19</f>
        <v>2022</v>
      </c>
      <c r="D25" s="816">
        <f t="shared" si="6"/>
        <v>318.43716815950904</v>
      </c>
      <c r="E25" s="109">
        <f t="shared" si="10"/>
        <v>438.39607010019654</v>
      </c>
      <c r="F25" s="109">
        <f t="shared" si="7"/>
        <v>-127.04234138921072</v>
      </c>
      <c r="G25" s="109">
        <f t="shared" si="8"/>
        <v>9.0633708308996983</v>
      </c>
      <c r="H25" s="172">
        <f t="shared" si="9"/>
        <v>320.41709954188553</v>
      </c>
      <c r="I25" s="109">
        <f t="shared" si="3"/>
        <v>-1.9799313823764919</v>
      </c>
      <c r="J25" s="267">
        <v>3.0999999999999999E-3</v>
      </c>
      <c r="K25" s="271">
        <f t="shared" si="4"/>
        <v>-13.957039308411959</v>
      </c>
      <c r="L25" s="665" t="s">
        <v>27</v>
      </c>
      <c r="M25" s="269">
        <f t="shared" si="5"/>
        <v>-4.0197928213393512E-2</v>
      </c>
      <c r="N25" s="272">
        <f t="shared" si="2"/>
        <v>-13.997237236625352</v>
      </c>
      <c r="O25" s="665" t="s">
        <v>27</v>
      </c>
      <c r="P25" s="33">
        <f t="shared" si="1"/>
        <v>16</v>
      </c>
      <c r="Q25" s="125"/>
    </row>
    <row r="26" spans="1:19" x14ac:dyDescent="0.35">
      <c r="A26" s="33">
        <f t="shared" si="0"/>
        <v>17</v>
      </c>
      <c r="B26" s="89" t="s">
        <v>167</v>
      </c>
      <c r="C26" s="266" t="str">
        <f>C19</f>
        <v>2022</v>
      </c>
      <c r="D26" s="816">
        <f t="shared" si="6"/>
        <v>318.43716815950904</v>
      </c>
      <c r="E26" s="109">
        <f t="shared" si="10"/>
        <v>438.39607010019654</v>
      </c>
      <c r="F26" s="109">
        <f t="shared" si="7"/>
        <v>-127.04234138921072</v>
      </c>
      <c r="G26" s="109">
        <f t="shared" si="8"/>
        <v>9.0633708308996983</v>
      </c>
      <c r="H26" s="172">
        <f t="shared" si="9"/>
        <v>320.41709954188553</v>
      </c>
      <c r="I26" s="109">
        <f t="shared" si="3"/>
        <v>-1.9799313823764919</v>
      </c>
      <c r="J26" s="267">
        <v>3.0999999999999999E-3</v>
      </c>
      <c r="K26" s="271">
        <f t="shared" si="4"/>
        <v>-15.977168619001844</v>
      </c>
      <c r="L26" s="665" t="s">
        <v>27</v>
      </c>
      <c r="M26" s="269">
        <f t="shared" si="5"/>
        <v>-4.6460329076222155E-2</v>
      </c>
      <c r="N26" s="272">
        <f t="shared" si="2"/>
        <v>-16.023628948078066</v>
      </c>
      <c r="O26" s="665" t="s">
        <v>27</v>
      </c>
      <c r="P26" s="33">
        <f t="shared" si="1"/>
        <v>17</v>
      </c>
      <c r="Q26" s="125"/>
    </row>
    <row r="27" spans="1:19" x14ac:dyDescent="0.35">
      <c r="A27" s="33">
        <f t="shared" si="0"/>
        <v>18</v>
      </c>
      <c r="B27" s="89" t="s">
        <v>168</v>
      </c>
      <c r="C27" s="266" t="str">
        <f>C19</f>
        <v>2022</v>
      </c>
      <c r="D27" s="816">
        <f t="shared" si="6"/>
        <v>318.43716815950904</v>
      </c>
      <c r="E27" s="109">
        <f t="shared" si="10"/>
        <v>438.39607010019654</v>
      </c>
      <c r="F27" s="109">
        <f t="shared" si="7"/>
        <v>-127.04234138921072</v>
      </c>
      <c r="G27" s="109">
        <f t="shared" si="8"/>
        <v>9.0633708308996983</v>
      </c>
      <c r="H27" s="172">
        <f t="shared" si="9"/>
        <v>320.41709954188553</v>
      </c>
      <c r="I27" s="109">
        <f t="shared" si="3"/>
        <v>-1.9799313823764919</v>
      </c>
      <c r="J27" s="267">
        <v>3.0000000000000001E-3</v>
      </c>
      <c r="K27" s="271">
        <f t="shared" si="4"/>
        <v>-18.003560330454558</v>
      </c>
      <c r="L27" s="665" t="s">
        <v>27</v>
      </c>
      <c r="M27" s="269">
        <f t="shared" si="5"/>
        <v>-5.104078391779894E-2</v>
      </c>
      <c r="N27" s="272">
        <f t="shared" si="2"/>
        <v>-18.054601114372357</v>
      </c>
      <c r="O27" s="665" t="s">
        <v>27</v>
      </c>
      <c r="P27" s="33">
        <f t="shared" si="1"/>
        <v>18</v>
      </c>
      <c r="Q27" s="125"/>
    </row>
    <row r="28" spans="1:19" x14ac:dyDescent="0.35">
      <c r="A28" s="33">
        <f t="shared" si="0"/>
        <v>19</v>
      </c>
      <c r="B28" s="89" t="s">
        <v>169</v>
      </c>
      <c r="C28" s="266" t="str">
        <f>C19</f>
        <v>2022</v>
      </c>
      <c r="D28" s="816">
        <f t="shared" si="6"/>
        <v>318.43716815950904</v>
      </c>
      <c r="E28" s="109">
        <f t="shared" si="10"/>
        <v>438.39607010019654</v>
      </c>
      <c r="F28" s="109">
        <f t="shared" si="7"/>
        <v>-127.04234138921072</v>
      </c>
      <c r="G28" s="109">
        <f t="shared" si="8"/>
        <v>9.0633708308996983</v>
      </c>
      <c r="H28" s="172">
        <f t="shared" si="9"/>
        <v>320.41709954188553</v>
      </c>
      <c r="I28" s="109">
        <f t="shared" si="3"/>
        <v>-1.9799313823764919</v>
      </c>
      <c r="J28" s="267">
        <v>4.1999999999999997E-3</v>
      </c>
      <c r="K28" s="271">
        <f t="shared" si="4"/>
        <v>-20.034532496748849</v>
      </c>
      <c r="L28" s="665" t="s">
        <v>27</v>
      </c>
      <c r="M28" s="269">
        <f t="shared" si="5"/>
        <v>-7.9987180583354522E-2</v>
      </c>
      <c r="N28" s="272">
        <f t="shared" si="2"/>
        <v>-20.114519677332204</v>
      </c>
      <c r="O28" s="665" t="s">
        <v>27</v>
      </c>
      <c r="P28" s="33">
        <f t="shared" si="1"/>
        <v>19</v>
      </c>
      <c r="Q28" s="125"/>
    </row>
    <row r="29" spans="1:19" x14ac:dyDescent="0.35">
      <c r="A29" s="33">
        <f t="shared" si="0"/>
        <v>20</v>
      </c>
      <c r="B29" s="89" t="s">
        <v>170</v>
      </c>
      <c r="C29" s="266" t="str">
        <f>C19</f>
        <v>2022</v>
      </c>
      <c r="D29" s="816">
        <f t="shared" si="6"/>
        <v>318.43716815950904</v>
      </c>
      <c r="E29" s="109">
        <f t="shared" si="10"/>
        <v>438.39607010019654</v>
      </c>
      <c r="F29" s="109">
        <f t="shared" si="7"/>
        <v>-127.04234138921072</v>
      </c>
      <c r="G29" s="109">
        <f t="shared" si="8"/>
        <v>9.0633708308996983</v>
      </c>
      <c r="H29" s="172">
        <f t="shared" si="9"/>
        <v>320.41709954188553</v>
      </c>
      <c r="I29" s="109">
        <f t="shared" si="3"/>
        <v>-1.9799313823764919</v>
      </c>
      <c r="J29" s="267">
        <v>4.0000000000000001E-3</v>
      </c>
      <c r="K29" s="271">
        <f t="shared" si="4"/>
        <v>-22.094451059708696</v>
      </c>
      <c r="L29" s="665" t="s">
        <v>27</v>
      </c>
      <c r="M29" s="269">
        <f t="shared" si="5"/>
        <v>-8.4417941474081798E-2</v>
      </c>
      <c r="N29" s="272">
        <f t="shared" si="2"/>
        <v>-22.178869001182779</v>
      </c>
      <c r="O29" s="665" t="s">
        <v>27</v>
      </c>
      <c r="P29" s="33">
        <f t="shared" si="1"/>
        <v>20</v>
      </c>
      <c r="Q29" s="125"/>
    </row>
    <row r="30" spans="1:19" x14ac:dyDescent="0.35">
      <c r="A30" s="33">
        <f t="shared" si="0"/>
        <v>21</v>
      </c>
      <c r="B30" s="563" t="s">
        <v>171</v>
      </c>
      <c r="C30" s="564" t="str">
        <f>C19</f>
        <v>2022</v>
      </c>
      <c r="D30" s="817">
        <f t="shared" si="6"/>
        <v>318.43716815950904</v>
      </c>
      <c r="E30" s="109">
        <f t="shared" si="10"/>
        <v>438.39607010019654</v>
      </c>
      <c r="F30" s="109">
        <f t="shared" si="7"/>
        <v>-127.04234138921072</v>
      </c>
      <c r="G30" s="109">
        <f t="shared" si="8"/>
        <v>9.0633708308996983</v>
      </c>
      <c r="H30" s="562">
        <f>SUM(E30:G30)</f>
        <v>320.41709954188553</v>
      </c>
      <c r="I30" s="551">
        <f t="shared" si="3"/>
        <v>-1.9799313823764919</v>
      </c>
      <c r="J30" s="820">
        <v>4.1999999999999997E-3</v>
      </c>
      <c r="K30" s="566">
        <f t="shared" si="4"/>
        <v>-24.158800383559271</v>
      </c>
      <c r="L30" s="665" t="s">
        <v>27</v>
      </c>
      <c r="M30" s="567">
        <f t="shared" si="5"/>
        <v>-9.7309105707958296E-2</v>
      </c>
      <c r="N30" s="817">
        <f t="shared" si="2"/>
        <v>-24.256109489267228</v>
      </c>
      <c r="O30" s="665" t="s">
        <v>27</v>
      </c>
      <c r="P30" s="33">
        <f t="shared" si="1"/>
        <v>21</v>
      </c>
      <c r="Q30" s="125"/>
    </row>
    <row r="31" spans="1:19" ht="16" thickBot="1" x14ac:dyDescent="0.4">
      <c r="A31" s="33">
        <f t="shared" si="0"/>
        <v>22</v>
      </c>
      <c r="D31" s="818">
        <f t="shared" ref="D31:I31" si="11">SUM(D19:D30)</f>
        <v>3821.2460179141076</v>
      </c>
      <c r="E31" s="273">
        <f>SUM(E19:E30)</f>
        <v>5260.7528412023585</v>
      </c>
      <c r="F31" s="273">
        <f t="shared" si="11"/>
        <v>-1524.5080966705291</v>
      </c>
      <c r="G31" s="273">
        <f t="shared" si="11"/>
        <v>108.76044997079639</v>
      </c>
      <c r="H31" s="273">
        <f t="shared" si="11"/>
        <v>3845.0051945026257</v>
      </c>
      <c r="I31" s="818">
        <f t="shared" si="11"/>
        <v>-23.759176588517903</v>
      </c>
      <c r="J31" s="819"/>
      <c r="K31" s="665"/>
      <c r="L31" s="665"/>
      <c r="M31" s="273">
        <f>SUM(M19:M30)</f>
        <v>-0.49693290074932744</v>
      </c>
      <c r="N31" s="665"/>
      <c r="O31" s="665"/>
      <c r="P31" s="33">
        <f t="shared" si="1"/>
        <v>22</v>
      </c>
    </row>
    <row r="32" spans="1:19" ht="16" thickTop="1" x14ac:dyDescent="0.35">
      <c r="D32" s="665" t="s">
        <v>27</v>
      </c>
      <c r="E32" s="275"/>
      <c r="F32" s="275"/>
      <c r="G32" s="275"/>
      <c r="H32" s="275"/>
      <c r="I32" s="665" t="s">
        <v>27</v>
      </c>
      <c r="J32" s="275"/>
      <c r="K32" s="275"/>
      <c r="L32" s="275"/>
      <c r="M32" s="665"/>
      <c r="N32" s="275"/>
      <c r="O32" s="275"/>
    </row>
    <row r="33" spans="1:15" x14ac:dyDescent="0.35"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</row>
    <row r="34" spans="1:15" x14ac:dyDescent="0.35">
      <c r="A34" s="23" t="s">
        <v>27</v>
      </c>
      <c r="B34" s="588" t="s">
        <v>825</v>
      </c>
      <c r="F34" s="276"/>
      <c r="G34" s="276"/>
    </row>
    <row r="35" spans="1:15" x14ac:dyDescent="0.35">
      <c r="A35" s="23"/>
      <c r="B35" s="588" t="s">
        <v>815</v>
      </c>
      <c r="F35" s="276"/>
      <c r="G35" s="276"/>
    </row>
    <row r="36" spans="1:15" ht="18" x14ac:dyDescent="0.35">
      <c r="A36" s="277">
        <v>1</v>
      </c>
      <c r="B36" s="34" t="s">
        <v>172</v>
      </c>
      <c r="F36" s="276"/>
      <c r="G36" s="276"/>
    </row>
    <row r="37" spans="1:15" ht="18" x14ac:dyDescent="0.35">
      <c r="A37" s="277">
        <v>2</v>
      </c>
      <c r="B37" s="34" t="s">
        <v>173</v>
      </c>
    </row>
    <row r="38" spans="1:15" ht="18" x14ac:dyDescent="0.35">
      <c r="A38" s="277">
        <v>3</v>
      </c>
      <c r="B38" s="34" t="s">
        <v>174</v>
      </c>
    </row>
    <row r="39" spans="1:15" ht="18" x14ac:dyDescent="0.35">
      <c r="A39" s="277">
        <v>4</v>
      </c>
      <c r="B39" s="34" t="s">
        <v>175</v>
      </c>
    </row>
    <row r="40" spans="1:15" ht="18" x14ac:dyDescent="0.35">
      <c r="A40" s="277"/>
      <c r="B40" s="34" t="s">
        <v>176</v>
      </c>
    </row>
    <row r="41" spans="1:15" ht="18" x14ac:dyDescent="0.35">
      <c r="A41" s="277">
        <v>5</v>
      </c>
      <c r="B41" s="34" t="s">
        <v>177</v>
      </c>
      <c r="C41" s="506"/>
    </row>
    <row r="42" spans="1:15" ht="18" x14ac:dyDescent="0.35">
      <c r="A42" s="277">
        <v>6</v>
      </c>
      <c r="B42" s="34" t="s">
        <v>178</v>
      </c>
    </row>
    <row r="43" spans="1:15" ht="18" x14ac:dyDescent="0.35">
      <c r="A43" s="277">
        <v>7</v>
      </c>
      <c r="B43" s="34" t="s">
        <v>179</v>
      </c>
    </row>
  </sheetData>
  <mergeCells count="5">
    <mergeCell ref="B6:N6"/>
    <mergeCell ref="B5:P5"/>
    <mergeCell ref="B2:P2"/>
    <mergeCell ref="B3:P3"/>
    <mergeCell ref="B4:P4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Roman,Bold"&amp;6REVISED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6485-D603-4FFE-9F88-A6FE7CCDF96A}">
  <sheetPr>
    <pageSetUpPr fitToPage="1"/>
  </sheetPr>
  <dimension ref="A1:Q42"/>
  <sheetViews>
    <sheetView zoomScale="80" zoomScaleNormal="80" workbookViewId="0"/>
  </sheetViews>
  <sheetFormatPr defaultColWidth="9.08984375" defaultRowHeight="15.5" x14ac:dyDescent="0.35"/>
  <cols>
    <col min="1" max="1" width="5.36328125" style="33" customWidth="1"/>
    <col min="2" max="2" width="12.54296875" style="34" customWidth="1"/>
    <col min="3" max="3" width="20" style="34" customWidth="1"/>
    <col min="4" max="7" width="21.54296875" style="34" customWidth="1"/>
    <col min="8" max="8" width="22.6328125" style="34" bestFit="1" customWidth="1"/>
    <col min="9" max="13" width="21.54296875" style="34" customWidth="1"/>
    <col min="14" max="14" width="5.36328125" style="33" customWidth="1"/>
    <col min="15" max="15" width="13.54296875" style="34" customWidth="1"/>
    <col min="16" max="16" width="12.54296875" style="34" customWidth="1"/>
    <col min="17" max="16384" width="9.08984375" style="34"/>
  </cols>
  <sheetData>
    <row r="1" spans="1:14" x14ac:dyDescent="0.35">
      <c r="A1" s="554" t="s">
        <v>812</v>
      </c>
    </row>
    <row r="2" spans="1:14" x14ac:dyDescent="0.35">
      <c r="I2" s="506"/>
    </row>
    <row r="3" spans="1:14" x14ac:dyDescent="0.35">
      <c r="B3" s="906" t="s">
        <v>16</v>
      </c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</row>
    <row r="4" spans="1:14" x14ac:dyDescent="0.3">
      <c r="B4" s="897" t="s">
        <v>51</v>
      </c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</row>
    <row r="5" spans="1:14" x14ac:dyDescent="0.3">
      <c r="B5" s="897" t="s">
        <v>127</v>
      </c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</row>
    <row r="6" spans="1:14" x14ac:dyDescent="0.3">
      <c r="B6" s="905" t="s">
        <v>597</v>
      </c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</row>
    <row r="7" spans="1:14" x14ac:dyDescent="0.35">
      <c r="B7" s="904" t="s">
        <v>2</v>
      </c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308"/>
    </row>
    <row r="8" spans="1:14" x14ac:dyDescent="0.35">
      <c r="A8" s="308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</row>
    <row r="9" spans="1:14" x14ac:dyDescent="0.35">
      <c r="A9" s="33" t="s">
        <v>3</v>
      </c>
      <c r="B9" s="50"/>
      <c r="E9" s="40"/>
      <c r="F9" s="126"/>
      <c r="G9" s="126"/>
      <c r="N9" s="33" t="s">
        <v>3</v>
      </c>
    </row>
    <row r="10" spans="1:14" x14ac:dyDescent="0.35">
      <c r="A10" s="33" t="s">
        <v>4</v>
      </c>
      <c r="B10" s="50"/>
      <c r="E10" s="40"/>
      <c r="F10" s="126"/>
      <c r="G10" s="126"/>
      <c r="N10" s="33" t="s">
        <v>4</v>
      </c>
    </row>
    <row r="11" spans="1:14" x14ac:dyDescent="0.35">
      <c r="A11" s="33">
        <v>1</v>
      </c>
      <c r="E11" s="40"/>
      <c r="I11" s="263"/>
      <c r="J11" s="263"/>
      <c r="N11" s="33">
        <v>1</v>
      </c>
    </row>
    <row r="12" spans="1:14" x14ac:dyDescent="0.35">
      <c r="A12" s="33">
        <f t="shared" ref="A12:A32" si="0">A11+1</f>
        <v>2</v>
      </c>
      <c r="C12" s="264" t="s">
        <v>128</v>
      </c>
      <c r="D12" s="264" t="s">
        <v>129</v>
      </c>
      <c r="E12" s="264" t="s">
        <v>130</v>
      </c>
      <c r="F12" s="264" t="s">
        <v>131</v>
      </c>
      <c r="G12" s="264" t="s">
        <v>132</v>
      </c>
      <c r="H12" s="264" t="s">
        <v>133</v>
      </c>
      <c r="I12" s="264" t="s">
        <v>134</v>
      </c>
      <c r="J12" s="264" t="s">
        <v>135</v>
      </c>
      <c r="K12" s="264" t="s">
        <v>136</v>
      </c>
      <c r="L12" s="264" t="s">
        <v>137</v>
      </c>
      <c r="M12" s="264" t="s">
        <v>138</v>
      </c>
      <c r="N12" s="33">
        <f t="shared" ref="N12:N32" si="1">N11+1</f>
        <v>2</v>
      </c>
    </row>
    <row r="13" spans="1:14" x14ac:dyDescent="0.35">
      <c r="A13" s="33">
        <f t="shared" si="0"/>
        <v>3</v>
      </c>
      <c r="B13" s="40" t="s">
        <v>139</v>
      </c>
      <c r="C13" s="33"/>
      <c r="D13" s="33"/>
      <c r="E13" s="33"/>
      <c r="F13" s="33" t="str">
        <f>"= "&amp;F12&amp;"; Line "&amp;A32&amp;" / 12"</f>
        <v>= Col. 4; Line 22 / 12</v>
      </c>
      <c r="G13" s="33"/>
      <c r="H13" s="65" t="str">
        <f>"= Sum "&amp;E12&amp;" thru "&amp;G12</f>
        <v>= Sum Col. 3 thru Col. 5</v>
      </c>
      <c r="I13" s="65" t="str">
        <f>"= "&amp;D12&amp;" - "&amp;H12</f>
        <v>= Col. 2 - Col. 6</v>
      </c>
      <c r="J13" s="33"/>
      <c r="K13" s="33" t="str">
        <f>"See Footnote "&amp;A41</f>
        <v>See Footnote 6</v>
      </c>
      <c r="L13" s="33" t="str">
        <f>"See Footnote "&amp;A42</f>
        <v>See Footnote 7</v>
      </c>
      <c r="M13" s="65" t="str">
        <f>"= "&amp;K12&amp;" + "&amp;L12</f>
        <v>= Col. 9 + Col. 10</v>
      </c>
      <c r="N13" s="33">
        <f t="shared" si="1"/>
        <v>3</v>
      </c>
    </row>
    <row r="14" spans="1:14" x14ac:dyDescent="0.35">
      <c r="A14" s="33">
        <f t="shared" si="0"/>
        <v>4</v>
      </c>
      <c r="B14" s="40"/>
      <c r="C14" s="33"/>
      <c r="D14" s="33"/>
      <c r="E14" s="33"/>
      <c r="F14" s="33"/>
      <c r="G14" s="33"/>
      <c r="H14" s="65"/>
      <c r="I14" s="65"/>
      <c r="J14" s="33"/>
      <c r="K14" s="33"/>
      <c r="L14" s="33"/>
      <c r="M14" s="65"/>
      <c r="N14" s="33">
        <f t="shared" si="1"/>
        <v>4</v>
      </c>
    </row>
    <row r="15" spans="1:14" x14ac:dyDescent="0.35">
      <c r="A15" s="33">
        <f t="shared" si="0"/>
        <v>5</v>
      </c>
      <c r="C15" s="264"/>
      <c r="H15" s="308"/>
      <c r="K15" s="308" t="s">
        <v>140</v>
      </c>
      <c r="M15" s="308" t="s">
        <v>140</v>
      </c>
      <c r="N15" s="33">
        <f t="shared" si="1"/>
        <v>5</v>
      </c>
    </row>
    <row r="16" spans="1:14" x14ac:dyDescent="0.35">
      <c r="A16" s="33">
        <f t="shared" si="0"/>
        <v>6</v>
      </c>
      <c r="C16" s="264"/>
      <c r="F16" s="308"/>
      <c r="G16" s="308"/>
      <c r="H16" s="308"/>
      <c r="I16" s="308" t="s">
        <v>141</v>
      </c>
      <c r="J16" s="308"/>
      <c r="K16" s="308" t="s">
        <v>142</v>
      </c>
      <c r="M16" s="308" t="s">
        <v>142</v>
      </c>
      <c r="N16" s="33">
        <f t="shared" si="1"/>
        <v>6</v>
      </c>
    </row>
    <row r="17" spans="1:17" x14ac:dyDescent="0.35">
      <c r="A17" s="33">
        <f t="shared" si="0"/>
        <v>7</v>
      </c>
      <c r="C17" s="308"/>
      <c r="D17" s="308" t="s">
        <v>141</v>
      </c>
      <c r="E17" s="308" t="s">
        <v>141</v>
      </c>
      <c r="F17" s="308" t="s">
        <v>143</v>
      </c>
      <c r="G17" s="308"/>
      <c r="H17" s="308" t="s">
        <v>144</v>
      </c>
      <c r="I17" s="308" t="s">
        <v>142</v>
      </c>
      <c r="J17" s="308" t="s">
        <v>141</v>
      </c>
      <c r="K17" s="308" t="s">
        <v>145</v>
      </c>
      <c r="M17" s="308" t="s">
        <v>145</v>
      </c>
      <c r="N17" s="33">
        <f t="shared" si="1"/>
        <v>7</v>
      </c>
    </row>
    <row r="18" spans="1:17" x14ac:dyDescent="0.35">
      <c r="A18" s="33">
        <f t="shared" si="0"/>
        <v>8</v>
      </c>
      <c r="C18" s="308"/>
      <c r="D18" s="308" t="s">
        <v>146</v>
      </c>
      <c r="E18" s="308" t="s">
        <v>146</v>
      </c>
      <c r="F18" s="308" t="s">
        <v>146</v>
      </c>
      <c r="G18" s="308" t="s">
        <v>147</v>
      </c>
      <c r="H18" s="308" t="s">
        <v>146</v>
      </c>
      <c r="I18" s="308" t="s">
        <v>145</v>
      </c>
      <c r="J18" s="308" t="s">
        <v>148</v>
      </c>
      <c r="K18" s="308" t="s">
        <v>149</v>
      </c>
      <c r="L18" s="308"/>
      <c r="M18" s="308" t="s">
        <v>149</v>
      </c>
      <c r="N18" s="33">
        <f t="shared" si="1"/>
        <v>8</v>
      </c>
    </row>
    <row r="19" spans="1:17" ht="18" x14ac:dyDescent="0.35">
      <c r="A19" s="33">
        <f t="shared" si="0"/>
        <v>9</v>
      </c>
      <c r="B19" s="265" t="s">
        <v>150</v>
      </c>
      <c r="C19" s="265" t="s">
        <v>151</v>
      </c>
      <c r="D19" s="126" t="s">
        <v>152</v>
      </c>
      <c r="E19" s="126" t="s">
        <v>153</v>
      </c>
      <c r="F19" s="126" t="s">
        <v>154</v>
      </c>
      <c r="G19" s="126" t="s">
        <v>155</v>
      </c>
      <c r="H19" s="126" t="s">
        <v>156</v>
      </c>
      <c r="I19" s="126" t="s">
        <v>149</v>
      </c>
      <c r="J19" s="126" t="s">
        <v>157</v>
      </c>
      <c r="K19" s="126" t="s">
        <v>158</v>
      </c>
      <c r="L19" s="126" t="s">
        <v>148</v>
      </c>
      <c r="M19" s="126" t="s">
        <v>159</v>
      </c>
      <c r="N19" s="33">
        <f t="shared" si="1"/>
        <v>9</v>
      </c>
    </row>
    <row r="20" spans="1:17" x14ac:dyDescent="0.35">
      <c r="A20" s="33">
        <f t="shared" si="0"/>
        <v>10</v>
      </c>
      <c r="B20" s="89" t="s">
        <v>160</v>
      </c>
      <c r="C20" s="266" t="str">
        <f>RIGHT(B6,4)</f>
        <v>2022</v>
      </c>
      <c r="D20" s="29">
        <f>'Pg4 As Filed-Orig. App X C12'!C41</f>
        <v>318.90721084342817</v>
      </c>
      <c r="E20" s="30">
        <v>438.39607010019654</v>
      </c>
      <c r="F20" s="30">
        <v>-127.04234138921072</v>
      </c>
      <c r="G20" s="313">
        <v>9.0633708308996983</v>
      </c>
      <c r="H20" s="236">
        <f>SUM(E20:G20)</f>
        <v>320.41709954188553</v>
      </c>
      <c r="I20" s="57">
        <f>D20-H20</f>
        <v>-1.5098886984573596</v>
      </c>
      <c r="J20" s="267">
        <v>2.8E-3</v>
      </c>
      <c r="K20" s="531">
        <f>I20</f>
        <v>-1.5098886984573596</v>
      </c>
      <c r="L20" s="268">
        <f>(I20/2)*J20</f>
        <v>-2.1138441778403034E-3</v>
      </c>
      <c r="M20" s="268">
        <f t="shared" ref="M20:M31" si="2">K20+L20</f>
        <v>-1.5120025426352</v>
      </c>
      <c r="N20" s="33">
        <f t="shared" si="1"/>
        <v>10</v>
      </c>
      <c r="O20" s="32"/>
    </row>
    <row r="21" spans="1:17" x14ac:dyDescent="0.35">
      <c r="A21" s="33">
        <f t="shared" si="0"/>
        <v>11</v>
      </c>
      <c r="B21" s="89" t="s">
        <v>161</v>
      </c>
      <c r="C21" s="266" t="str">
        <f>C20</f>
        <v>2022</v>
      </c>
      <c r="D21" s="518">
        <f>$D$20</f>
        <v>318.90721084342817</v>
      </c>
      <c r="E21" s="109">
        <f>$E$20</f>
        <v>438.39607010019654</v>
      </c>
      <c r="F21" s="109">
        <f>$F$20</f>
        <v>-127.04234138921072</v>
      </c>
      <c r="G21" s="109">
        <f>$G$20</f>
        <v>9.0633708308996983</v>
      </c>
      <c r="H21" s="172">
        <f>SUM(E21:G21)</f>
        <v>320.41709954188553</v>
      </c>
      <c r="I21" s="109">
        <f t="shared" ref="I21:I31" si="3">D21-H21</f>
        <v>-1.5098886984573596</v>
      </c>
      <c r="J21" s="267">
        <v>2.5000000000000001E-3</v>
      </c>
      <c r="K21" s="532">
        <f t="shared" ref="K21:K31" si="4">M20+I21</f>
        <v>-3.0218912410925594</v>
      </c>
      <c r="L21" s="269">
        <f t="shared" ref="L21:L31" si="5">(M20+K21)/2*J21</f>
        <v>-5.6673672296596988E-3</v>
      </c>
      <c r="M21" s="269">
        <f t="shared" si="2"/>
        <v>-3.0275586083222192</v>
      </c>
      <c r="N21" s="33">
        <f t="shared" si="1"/>
        <v>11</v>
      </c>
      <c r="O21" s="125"/>
    </row>
    <row r="22" spans="1:17" x14ac:dyDescent="0.35">
      <c r="A22" s="33">
        <f t="shared" si="0"/>
        <v>12</v>
      </c>
      <c r="B22" s="89" t="s">
        <v>162</v>
      </c>
      <c r="C22" s="266" t="str">
        <f>C20</f>
        <v>2022</v>
      </c>
      <c r="D22" s="518">
        <f t="shared" ref="D22:D31" si="6">$D$20</f>
        <v>318.90721084342817</v>
      </c>
      <c r="E22" s="109">
        <f>$E$20</f>
        <v>438.39607010019654</v>
      </c>
      <c r="F22" s="109">
        <f t="shared" ref="F22:F31" si="7">$F$20</f>
        <v>-127.04234138921072</v>
      </c>
      <c r="G22" s="109">
        <f t="shared" ref="G22:G31" si="8">$G$20</f>
        <v>9.0633708308996983</v>
      </c>
      <c r="H22" s="172">
        <f t="shared" ref="H22:H30" si="9">SUM(E22:G22)</f>
        <v>320.41709954188553</v>
      </c>
      <c r="I22" s="109">
        <f t="shared" si="3"/>
        <v>-1.5098886984573596</v>
      </c>
      <c r="J22" s="267">
        <v>2.8E-3</v>
      </c>
      <c r="K22" s="532">
        <f t="shared" si="4"/>
        <v>-4.5374473067795789</v>
      </c>
      <c r="L22" s="269">
        <f t="shared" si="5"/>
        <v>-1.0591008281142518E-2</v>
      </c>
      <c r="M22" s="269">
        <f t="shared" si="2"/>
        <v>-4.5480383150607215</v>
      </c>
      <c r="N22" s="33">
        <f t="shared" si="1"/>
        <v>12</v>
      </c>
      <c r="O22" s="125"/>
    </row>
    <row r="23" spans="1:17" x14ac:dyDescent="0.35">
      <c r="A23" s="33">
        <f t="shared" si="0"/>
        <v>13</v>
      </c>
      <c r="B23" s="89" t="s">
        <v>163</v>
      </c>
      <c r="C23" s="266" t="str">
        <f>C20</f>
        <v>2022</v>
      </c>
      <c r="D23" s="518">
        <f t="shared" si="6"/>
        <v>318.90721084342817</v>
      </c>
      <c r="E23" s="109">
        <f>$E$20</f>
        <v>438.39607010019654</v>
      </c>
      <c r="F23" s="109">
        <f t="shared" si="7"/>
        <v>-127.04234138921072</v>
      </c>
      <c r="G23" s="109">
        <f t="shared" si="8"/>
        <v>9.0633708308996983</v>
      </c>
      <c r="H23" s="172">
        <f t="shared" si="9"/>
        <v>320.41709954188553</v>
      </c>
      <c r="I23" s="109">
        <f>D23-H23</f>
        <v>-1.5098886984573596</v>
      </c>
      <c r="J23" s="267">
        <v>2.7000000000000001E-3</v>
      </c>
      <c r="K23" s="532">
        <f t="shared" si="4"/>
        <v>-6.0579270135180812</v>
      </c>
      <c r="L23" s="269">
        <f t="shared" si="5"/>
        <v>-1.4318053193581384E-2</v>
      </c>
      <c r="M23" s="269">
        <f t="shared" si="2"/>
        <v>-6.0722450667116625</v>
      </c>
      <c r="N23" s="33">
        <f t="shared" si="1"/>
        <v>13</v>
      </c>
      <c r="O23" s="125"/>
      <c r="Q23" s="270"/>
    </row>
    <row r="24" spans="1:17" x14ac:dyDescent="0.35">
      <c r="A24" s="33">
        <f t="shared" si="0"/>
        <v>14</v>
      </c>
      <c r="B24" s="89" t="s">
        <v>164</v>
      </c>
      <c r="C24" s="266" t="str">
        <f>C20</f>
        <v>2022</v>
      </c>
      <c r="D24" s="518">
        <f t="shared" si="6"/>
        <v>318.90721084342817</v>
      </c>
      <c r="E24" s="109">
        <f>$E$20</f>
        <v>438.39607010019654</v>
      </c>
      <c r="F24" s="109">
        <f t="shared" si="7"/>
        <v>-127.04234138921072</v>
      </c>
      <c r="G24" s="109">
        <f t="shared" si="8"/>
        <v>9.0633708308996983</v>
      </c>
      <c r="H24" s="172">
        <f t="shared" si="9"/>
        <v>320.41709954188553</v>
      </c>
      <c r="I24" s="109">
        <f t="shared" si="3"/>
        <v>-1.5098886984573596</v>
      </c>
      <c r="J24" s="267">
        <v>2.8E-3</v>
      </c>
      <c r="K24" s="532">
        <f t="shared" si="4"/>
        <v>-7.5821337651690222</v>
      </c>
      <c r="L24" s="269">
        <f t="shared" si="5"/>
        <v>-1.9116130364632958E-2</v>
      </c>
      <c r="M24" s="269">
        <f t="shared" si="2"/>
        <v>-7.6012498955336554</v>
      </c>
      <c r="N24" s="33">
        <f t="shared" si="1"/>
        <v>14</v>
      </c>
      <c r="O24" s="125"/>
    </row>
    <row r="25" spans="1:17" x14ac:dyDescent="0.35">
      <c r="A25" s="33">
        <f t="shared" si="0"/>
        <v>15</v>
      </c>
      <c r="B25" s="89" t="s">
        <v>165</v>
      </c>
      <c r="C25" s="266" t="str">
        <f>C20</f>
        <v>2022</v>
      </c>
      <c r="D25" s="518">
        <f t="shared" si="6"/>
        <v>318.90721084342817</v>
      </c>
      <c r="E25" s="109">
        <f t="shared" ref="E25:E31" si="10">$E$20</f>
        <v>438.39607010019654</v>
      </c>
      <c r="F25" s="109">
        <f t="shared" si="7"/>
        <v>-127.04234138921072</v>
      </c>
      <c r="G25" s="109">
        <f t="shared" si="8"/>
        <v>9.0633708308996983</v>
      </c>
      <c r="H25" s="172">
        <f>SUM(E25:G25)</f>
        <v>320.41709954188553</v>
      </c>
      <c r="I25" s="109">
        <f t="shared" si="3"/>
        <v>-1.5098886984573596</v>
      </c>
      <c r="J25" s="267">
        <v>2.7000000000000001E-3</v>
      </c>
      <c r="K25" s="532">
        <f t="shared" si="4"/>
        <v>-9.111138593991015</v>
      </c>
      <c r="L25" s="269">
        <f t="shared" si="5"/>
        <v>-2.2561724460858305E-2</v>
      </c>
      <c r="M25" s="269">
        <f t="shared" si="2"/>
        <v>-9.1337003184518739</v>
      </c>
      <c r="N25" s="33">
        <f t="shared" si="1"/>
        <v>15</v>
      </c>
      <c r="O25" s="125"/>
    </row>
    <row r="26" spans="1:17" x14ac:dyDescent="0.35">
      <c r="A26" s="33">
        <f t="shared" si="0"/>
        <v>16</v>
      </c>
      <c r="B26" s="89" t="s">
        <v>166</v>
      </c>
      <c r="C26" s="266" t="str">
        <f>C20</f>
        <v>2022</v>
      </c>
      <c r="D26" s="518">
        <f t="shared" si="6"/>
        <v>318.90721084342817</v>
      </c>
      <c r="E26" s="109">
        <f t="shared" si="10"/>
        <v>438.39607010019654</v>
      </c>
      <c r="F26" s="109">
        <f t="shared" si="7"/>
        <v>-127.04234138921072</v>
      </c>
      <c r="G26" s="109">
        <f t="shared" si="8"/>
        <v>9.0633708308996983</v>
      </c>
      <c r="H26" s="172">
        <f t="shared" si="9"/>
        <v>320.41709954188553</v>
      </c>
      <c r="I26" s="109">
        <f t="shared" si="3"/>
        <v>-1.5098886984573596</v>
      </c>
      <c r="J26" s="267">
        <v>3.0999999999999999E-3</v>
      </c>
      <c r="K26" s="532">
        <f t="shared" si="4"/>
        <v>-10.643589016909234</v>
      </c>
      <c r="L26" s="269">
        <f t="shared" si="5"/>
        <v>-3.0654798469809716E-2</v>
      </c>
      <c r="M26" s="269">
        <f t="shared" si="2"/>
        <v>-10.674243815379043</v>
      </c>
      <c r="N26" s="33">
        <f t="shared" si="1"/>
        <v>16</v>
      </c>
      <c r="O26" s="125"/>
    </row>
    <row r="27" spans="1:17" x14ac:dyDescent="0.35">
      <c r="A27" s="33">
        <f t="shared" si="0"/>
        <v>17</v>
      </c>
      <c r="B27" s="89" t="s">
        <v>167</v>
      </c>
      <c r="C27" s="266" t="str">
        <f>C20</f>
        <v>2022</v>
      </c>
      <c r="D27" s="518">
        <f t="shared" si="6"/>
        <v>318.90721084342817</v>
      </c>
      <c r="E27" s="109">
        <f t="shared" si="10"/>
        <v>438.39607010019654</v>
      </c>
      <c r="F27" s="109">
        <f t="shared" si="7"/>
        <v>-127.04234138921072</v>
      </c>
      <c r="G27" s="109">
        <f t="shared" si="8"/>
        <v>9.0633708308996983</v>
      </c>
      <c r="H27" s="172">
        <f t="shared" si="9"/>
        <v>320.41709954188553</v>
      </c>
      <c r="I27" s="109">
        <f t="shared" si="3"/>
        <v>-1.5098886984573596</v>
      </c>
      <c r="J27" s="267">
        <v>3.0999999999999999E-3</v>
      </c>
      <c r="K27" s="532">
        <f t="shared" si="4"/>
        <v>-12.184132513836403</v>
      </c>
      <c r="L27" s="269">
        <f t="shared" si="5"/>
        <v>-3.5430483310283943E-2</v>
      </c>
      <c r="M27" s="269">
        <f t="shared" si="2"/>
        <v>-12.219562997146687</v>
      </c>
      <c r="N27" s="33">
        <f t="shared" si="1"/>
        <v>17</v>
      </c>
      <c r="O27" s="125"/>
    </row>
    <row r="28" spans="1:17" x14ac:dyDescent="0.35">
      <c r="A28" s="33">
        <f t="shared" si="0"/>
        <v>18</v>
      </c>
      <c r="B28" s="89" t="s">
        <v>168</v>
      </c>
      <c r="C28" s="266" t="str">
        <f>C20</f>
        <v>2022</v>
      </c>
      <c r="D28" s="518">
        <f t="shared" si="6"/>
        <v>318.90721084342817</v>
      </c>
      <c r="E28" s="109">
        <f t="shared" si="10"/>
        <v>438.39607010019654</v>
      </c>
      <c r="F28" s="109">
        <f t="shared" si="7"/>
        <v>-127.04234138921072</v>
      </c>
      <c r="G28" s="109">
        <f t="shared" si="8"/>
        <v>9.0633708308996983</v>
      </c>
      <c r="H28" s="172">
        <f t="shared" si="9"/>
        <v>320.41709954188553</v>
      </c>
      <c r="I28" s="109">
        <f t="shared" si="3"/>
        <v>-1.5098886984573596</v>
      </c>
      <c r="J28" s="267">
        <v>3.0000000000000001E-3</v>
      </c>
      <c r="K28" s="532">
        <f t="shared" si="4"/>
        <v>-13.729451695604046</v>
      </c>
      <c r="L28" s="269">
        <f t="shared" si="5"/>
        <v>-3.89235220391261E-2</v>
      </c>
      <c r="M28" s="269">
        <f t="shared" si="2"/>
        <v>-13.768375217643172</v>
      </c>
      <c r="N28" s="33">
        <f t="shared" si="1"/>
        <v>18</v>
      </c>
      <c r="O28" s="125"/>
    </row>
    <row r="29" spans="1:17" x14ac:dyDescent="0.35">
      <c r="A29" s="33">
        <f t="shared" si="0"/>
        <v>19</v>
      </c>
      <c r="B29" s="89" t="s">
        <v>169</v>
      </c>
      <c r="C29" s="266" t="str">
        <f>C20</f>
        <v>2022</v>
      </c>
      <c r="D29" s="518">
        <f t="shared" si="6"/>
        <v>318.90721084342817</v>
      </c>
      <c r="E29" s="109">
        <f t="shared" si="10"/>
        <v>438.39607010019654</v>
      </c>
      <c r="F29" s="109">
        <f t="shared" si="7"/>
        <v>-127.04234138921072</v>
      </c>
      <c r="G29" s="109">
        <f t="shared" si="8"/>
        <v>9.0633708308996983</v>
      </c>
      <c r="H29" s="172">
        <f t="shared" si="9"/>
        <v>320.41709954188553</v>
      </c>
      <c r="I29" s="109">
        <f t="shared" si="3"/>
        <v>-1.5098886984573596</v>
      </c>
      <c r="J29" s="267">
        <v>4.1999999999999997E-3</v>
      </c>
      <c r="K29" s="532">
        <f t="shared" si="4"/>
        <v>-15.278263916100531</v>
      </c>
      <c r="L29" s="269">
        <f t="shared" si="5"/>
        <v>-6.0997942180861769E-2</v>
      </c>
      <c r="M29" s="269">
        <f t="shared" si="2"/>
        <v>-15.339261858281393</v>
      </c>
      <c r="N29" s="33">
        <f t="shared" si="1"/>
        <v>19</v>
      </c>
      <c r="O29" s="125"/>
    </row>
    <row r="30" spans="1:17" x14ac:dyDescent="0.35">
      <c r="A30" s="33">
        <f t="shared" si="0"/>
        <v>20</v>
      </c>
      <c r="B30" s="89" t="s">
        <v>170</v>
      </c>
      <c r="C30" s="266" t="str">
        <f>C20</f>
        <v>2022</v>
      </c>
      <c r="D30" s="518">
        <f t="shared" si="6"/>
        <v>318.90721084342817</v>
      </c>
      <c r="E30" s="109">
        <f t="shared" si="10"/>
        <v>438.39607010019654</v>
      </c>
      <c r="F30" s="109">
        <f t="shared" si="7"/>
        <v>-127.04234138921072</v>
      </c>
      <c r="G30" s="109">
        <f t="shared" si="8"/>
        <v>9.0633708308996983</v>
      </c>
      <c r="H30" s="172">
        <f t="shared" si="9"/>
        <v>320.41709954188553</v>
      </c>
      <c r="I30" s="109">
        <f t="shared" si="3"/>
        <v>-1.5098886984573596</v>
      </c>
      <c r="J30" s="267">
        <v>4.0000000000000001E-3</v>
      </c>
      <c r="K30" s="532">
        <f t="shared" si="4"/>
        <v>-16.849150556738753</v>
      </c>
      <c r="L30" s="269">
        <f t="shared" si="5"/>
        <v>-6.43768248300403E-2</v>
      </c>
      <c r="M30" s="269">
        <f t="shared" si="2"/>
        <v>-16.913527381568795</v>
      </c>
      <c r="N30" s="33">
        <f t="shared" si="1"/>
        <v>20</v>
      </c>
      <c r="O30" s="125"/>
    </row>
    <row r="31" spans="1:17" x14ac:dyDescent="0.35">
      <c r="A31" s="33">
        <f t="shared" si="0"/>
        <v>21</v>
      </c>
      <c r="B31" s="563" t="s">
        <v>171</v>
      </c>
      <c r="C31" s="564" t="str">
        <f>C20</f>
        <v>2022</v>
      </c>
      <c r="D31" s="562">
        <f t="shared" si="6"/>
        <v>318.90721084342817</v>
      </c>
      <c r="E31" s="109">
        <f t="shared" si="10"/>
        <v>438.39607010019654</v>
      </c>
      <c r="F31" s="109">
        <f t="shared" si="7"/>
        <v>-127.04234138921072</v>
      </c>
      <c r="G31" s="109">
        <f t="shared" si="8"/>
        <v>9.0633708308996983</v>
      </c>
      <c r="H31" s="562">
        <f>SUM(E31:G31)</f>
        <v>320.41709954188553</v>
      </c>
      <c r="I31" s="551">
        <f t="shared" si="3"/>
        <v>-1.5098886984573596</v>
      </c>
      <c r="J31" s="565">
        <v>4.1999999999999997E-3</v>
      </c>
      <c r="K31" s="610">
        <f t="shared" si="4"/>
        <v>-18.423416080026154</v>
      </c>
      <c r="L31" s="567">
        <f t="shared" si="5"/>
        <v>-7.4207581269349385E-2</v>
      </c>
      <c r="M31" s="562">
        <f t="shared" si="2"/>
        <v>-18.497623661295503</v>
      </c>
      <c r="N31" s="33">
        <f t="shared" si="1"/>
        <v>21</v>
      </c>
      <c r="O31" s="125"/>
    </row>
    <row r="32" spans="1:17" ht="16" thickBot="1" x14ac:dyDescent="0.4">
      <c r="A32" s="33">
        <f t="shared" si="0"/>
        <v>22</v>
      </c>
      <c r="D32" s="273">
        <f t="shared" ref="D32:I32" si="11">SUM(D20:D31)</f>
        <v>3826.886530121139</v>
      </c>
      <c r="E32" s="273">
        <f>SUM(E20:E31)</f>
        <v>5260.7528412023585</v>
      </c>
      <c r="F32" s="273">
        <f t="shared" si="11"/>
        <v>-1524.5080966705291</v>
      </c>
      <c r="G32" s="273">
        <f t="shared" si="11"/>
        <v>108.76044997079639</v>
      </c>
      <c r="H32" s="273">
        <f t="shared" si="11"/>
        <v>3845.0051945026257</v>
      </c>
      <c r="I32" s="273">
        <f t="shared" si="11"/>
        <v>-18.118664381488315</v>
      </c>
      <c r="J32" s="611"/>
      <c r="K32" s="274"/>
      <c r="L32" s="273">
        <f>SUM(L20:L31)</f>
        <v>-0.37895927980718641</v>
      </c>
      <c r="M32" s="274"/>
      <c r="N32" s="33">
        <f t="shared" si="1"/>
        <v>22</v>
      </c>
    </row>
    <row r="33" spans="1:13" ht="16" thickTop="1" x14ac:dyDescent="0.35"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 x14ac:dyDescent="0.35">
      <c r="B34" s="612"/>
      <c r="F34" s="276"/>
      <c r="G34" s="276"/>
    </row>
    <row r="35" spans="1:13" ht="18" x14ac:dyDescent="0.35">
      <c r="A35" s="277">
        <v>1</v>
      </c>
      <c r="B35" s="34" t="s">
        <v>172</v>
      </c>
      <c r="F35" s="276"/>
      <c r="G35" s="276"/>
    </row>
    <row r="36" spans="1:13" ht="18" x14ac:dyDescent="0.35">
      <c r="A36" s="277">
        <v>2</v>
      </c>
      <c r="B36" s="34" t="s">
        <v>173</v>
      </c>
    </row>
    <row r="37" spans="1:13" ht="18" x14ac:dyDescent="0.35">
      <c r="A37" s="277">
        <v>3</v>
      </c>
      <c r="B37" s="34" t="s">
        <v>174</v>
      </c>
    </row>
    <row r="38" spans="1:13" ht="18" x14ac:dyDescent="0.35">
      <c r="A38" s="277">
        <v>4</v>
      </c>
      <c r="B38" s="34" t="s">
        <v>175</v>
      </c>
    </row>
    <row r="39" spans="1:13" ht="18" x14ac:dyDescent="0.35">
      <c r="A39" s="277"/>
      <c r="B39" s="34" t="s">
        <v>176</v>
      </c>
    </row>
    <row r="40" spans="1:13" ht="18" x14ac:dyDescent="0.35">
      <c r="A40" s="277">
        <v>5</v>
      </c>
      <c r="B40" s="34" t="s">
        <v>177</v>
      </c>
      <c r="C40" s="506"/>
    </row>
    <row r="41" spans="1:13" ht="18" x14ac:dyDescent="0.35">
      <c r="A41" s="277">
        <v>6</v>
      </c>
      <c r="B41" s="34" t="s">
        <v>178</v>
      </c>
    </row>
    <row r="42" spans="1:13" ht="18" x14ac:dyDescent="0.35">
      <c r="A42" s="277">
        <v>7</v>
      </c>
      <c r="B42" s="34" t="s">
        <v>179</v>
      </c>
    </row>
  </sheetData>
  <mergeCells count="5">
    <mergeCell ref="B3:N3"/>
    <mergeCell ref="B4:N4"/>
    <mergeCell ref="B5:N5"/>
    <mergeCell ref="B6:N6"/>
    <mergeCell ref="B7:M7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Roman,Bold"&amp;6AS FILED</oddHeader>
    <oddFooter>&amp;L&amp;F&amp;CPage 7.1&amp;R&amp;A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72B1-CADA-41BA-B71E-20FBBA1F0AA2}">
  <sheetPr>
    <pageSetUpPr fitToPage="1"/>
  </sheetPr>
  <dimension ref="A1:N31"/>
  <sheetViews>
    <sheetView zoomScale="80" zoomScaleNormal="80" workbookViewId="0"/>
  </sheetViews>
  <sheetFormatPr defaultColWidth="9.1796875" defaultRowHeight="15.5" x14ac:dyDescent="0.35"/>
  <cols>
    <col min="1" max="1" width="5.1796875" style="33" customWidth="1"/>
    <col min="2" max="2" width="56" style="34" customWidth="1"/>
    <col min="3" max="3" width="24" style="34" customWidth="1"/>
    <col min="4" max="4" width="1.54296875" style="34" customWidth="1"/>
    <col min="5" max="5" width="16.81640625" style="34" customWidth="1"/>
    <col min="6" max="6" width="1.54296875" style="34" customWidth="1"/>
    <col min="7" max="7" width="16.81640625" style="34" customWidth="1"/>
    <col min="8" max="8" width="3.08984375" style="34" bestFit="1" customWidth="1"/>
    <col min="9" max="9" width="17.81640625" style="34" bestFit="1" customWidth="1"/>
    <col min="10" max="10" width="3.08984375" style="34" bestFit="1" customWidth="1"/>
    <col min="11" max="11" width="38.81640625" style="34" bestFit="1" customWidth="1"/>
    <col min="12" max="12" width="5.1796875" style="34" customWidth="1"/>
    <col min="13" max="13" width="9.1796875" style="34"/>
    <col min="14" max="14" width="20.453125" style="34" bestFit="1" customWidth="1"/>
    <col min="15" max="16384" width="9.1796875" style="34"/>
  </cols>
  <sheetData>
    <row r="1" spans="1:14" x14ac:dyDescent="0.35">
      <c r="H1" s="33"/>
      <c r="I1" s="33"/>
      <c r="J1" s="33"/>
      <c r="K1" s="33"/>
      <c r="L1" s="33"/>
    </row>
    <row r="2" spans="1:14" x14ac:dyDescent="0.35">
      <c r="B2" s="906" t="s">
        <v>16</v>
      </c>
      <c r="C2" s="906"/>
      <c r="D2" s="906"/>
      <c r="E2" s="906"/>
      <c r="F2" s="906"/>
      <c r="G2" s="906"/>
      <c r="H2" s="906"/>
      <c r="I2" s="906"/>
      <c r="J2" s="906"/>
      <c r="K2" s="906"/>
      <c r="L2" s="33"/>
    </row>
    <row r="3" spans="1:14" ht="18" x14ac:dyDescent="0.35">
      <c r="B3" s="906" t="s">
        <v>640</v>
      </c>
      <c r="C3" s="906"/>
      <c r="D3" s="906"/>
      <c r="E3" s="906"/>
      <c r="F3" s="906"/>
      <c r="G3" s="906"/>
      <c r="H3" s="906"/>
      <c r="I3" s="906"/>
      <c r="J3" s="906"/>
      <c r="K3" s="906"/>
      <c r="L3" s="33"/>
    </row>
    <row r="4" spans="1:14" x14ac:dyDescent="0.35">
      <c r="B4" s="906" t="s">
        <v>641</v>
      </c>
      <c r="C4" s="906"/>
      <c r="D4" s="906"/>
      <c r="E4" s="906"/>
      <c r="F4" s="906"/>
      <c r="G4" s="906"/>
      <c r="H4" s="906"/>
      <c r="I4" s="906"/>
      <c r="J4" s="906"/>
      <c r="K4" s="906"/>
      <c r="L4" s="33"/>
    </row>
    <row r="5" spans="1:14" x14ac:dyDescent="0.35">
      <c r="B5" s="907" t="s">
        <v>596</v>
      </c>
      <c r="C5" s="907"/>
      <c r="D5" s="907"/>
      <c r="E5" s="907"/>
      <c r="F5" s="907"/>
      <c r="G5" s="907"/>
      <c r="H5" s="907"/>
      <c r="I5" s="907"/>
      <c r="J5" s="907"/>
      <c r="K5" s="907"/>
      <c r="L5" s="33"/>
      <c r="N5" s="613"/>
    </row>
    <row r="6" spans="1:14" x14ac:dyDescent="0.35">
      <c r="B6" s="904" t="s">
        <v>2</v>
      </c>
      <c r="C6" s="908"/>
      <c r="D6" s="908"/>
      <c r="E6" s="908"/>
      <c r="F6" s="908"/>
      <c r="G6" s="908"/>
      <c r="H6" s="908"/>
      <c r="I6" s="908"/>
      <c r="J6" s="908"/>
      <c r="K6" s="908"/>
      <c r="L6" s="33"/>
    </row>
    <row r="7" spans="1:14" x14ac:dyDescent="0.3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4" x14ac:dyDescent="0.35">
      <c r="A8" s="33" t="s">
        <v>3</v>
      </c>
      <c r="B8" s="308"/>
      <c r="C8" s="33" t="s">
        <v>182</v>
      </c>
      <c r="D8" s="308"/>
      <c r="E8" s="65" t="s">
        <v>254</v>
      </c>
      <c r="F8" s="33"/>
      <c r="G8" s="65" t="s">
        <v>255</v>
      </c>
      <c r="H8" s="33"/>
      <c r="I8" s="65" t="s">
        <v>642</v>
      </c>
      <c r="J8" s="33"/>
      <c r="K8" s="33"/>
      <c r="L8" s="33" t="s">
        <v>3</v>
      </c>
    </row>
    <row r="9" spans="1:14" x14ac:dyDescent="0.35">
      <c r="A9" s="33" t="s">
        <v>4</v>
      </c>
      <c r="C9" s="680" t="s">
        <v>183</v>
      </c>
      <c r="E9" s="681" t="s">
        <v>681</v>
      </c>
      <c r="F9" s="151"/>
      <c r="G9" s="681" t="s">
        <v>682</v>
      </c>
      <c r="H9" s="308"/>
      <c r="I9" s="682" t="s">
        <v>295</v>
      </c>
      <c r="J9" s="308"/>
      <c r="K9" s="680" t="s">
        <v>7</v>
      </c>
      <c r="L9" s="33" t="s">
        <v>4</v>
      </c>
    </row>
    <row r="10" spans="1:14" x14ac:dyDescent="0.35">
      <c r="H10" s="33"/>
      <c r="I10" s="33"/>
      <c r="J10" s="33"/>
      <c r="K10" s="33"/>
      <c r="L10" s="33"/>
    </row>
    <row r="11" spans="1:14" x14ac:dyDescent="0.35">
      <c r="A11" s="33">
        <v>1</v>
      </c>
      <c r="B11" s="34" t="s">
        <v>643</v>
      </c>
      <c r="E11" s="683">
        <v>152607.56715560058</v>
      </c>
      <c r="F11" s="684"/>
      <c r="G11" s="716">
        <f>'Pg8.2 Rev AF-2'!I16+'Pg8.2 Rev AF-2'!I32</f>
        <v>110503.27134273868</v>
      </c>
      <c r="H11" s="23" t="s">
        <v>805</v>
      </c>
      <c r="I11" s="704">
        <f>(E11+G11)/2</f>
        <v>131555.41924916964</v>
      </c>
      <c r="J11" s="23" t="s">
        <v>805</v>
      </c>
      <c r="K11" s="33" t="s">
        <v>797</v>
      </c>
      <c r="L11" s="33">
        <f>A11</f>
        <v>1</v>
      </c>
      <c r="N11" s="613"/>
    </row>
    <row r="12" spans="1:14" x14ac:dyDescent="0.35">
      <c r="A12" s="33">
        <f>A11+1</f>
        <v>2</v>
      </c>
      <c r="H12" s="33"/>
      <c r="I12" s="33"/>
      <c r="J12" s="33"/>
      <c r="K12" s="33"/>
      <c r="L12" s="33">
        <f>L11+1</f>
        <v>2</v>
      </c>
    </row>
    <row r="13" spans="1:14" s="613" customFormat="1" x14ac:dyDescent="0.35">
      <c r="A13" s="33">
        <f t="shared" ref="A13:A23" si="0">A12+1</f>
        <v>3</v>
      </c>
      <c r="B13" s="34" t="s">
        <v>644</v>
      </c>
      <c r="C13" s="34"/>
      <c r="D13" s="34"/>
      <c r="E13" s="685">
        <v>-1173268.9677006095</v>
      </c>
      <c r="F13" s="23" t="s">
        <v>27</v>
      </c>
      <c r="G13" s="686">
        <f>'Pg8.2 Rev AF-2'!I21+'Pg8.2 Rev AF-2'!I37</f>
        <v>-1221282.4848146702</v>
      </c>
      <c r="H13" s="33"/>
      <c r="I13" s="687">
        <f>(E13+G13)/2</f>
        <v>-1197275.7262576399</v>
      </c>
      <c r="J13" s="33"/>
      <c r="K13" s="33" t="s">
        <v>798</v>
      </c>
      <c r="L13" s="33">
        <f t="shared" ref="L13:L23" si="1">L12+1</f>
        <v>3</v>
      </c>
      <c r="M13" s="34"/>
    </row>
    <row r="14" spans="1:14" s="613" customFormat="1" x14ac:dyDescent="0.35">
      <c r="A14" s="33">
        <f t="shared" si="0"/>
        <v>4</v>
      </c>
      <c r="B14" s="34"/>
      <c r="C14" s="34"/>
      <c r="D14" s="34"/>
      <c r="E14" s="34"/>
      <c r="F14" s="34"/>
      <c r="G14" s="34"/>
      <c r="H14" s="33"/>
      <c r="I14" s="33"/>
      <c r="J14" s="33"/>
      <c r="K14" s="8"/>
      <c r="L14" s="33">
        <f t="shared" si="1"/>
        <v>4</v>
      </c>
    </row>
    <row r="15" spans="1:14" s="613" customFormat="1" x14ac:dyDescent="0.35">
      <c r="A15" s="33">
        <f t="shared" si="0"/>
        <v>5</v>
      </c>
      <c r="B15" s="34" t="s">
        <v>645</v>
      </c>
      <c r="C15" s="34"/>
      <c r="D15" s="34"/>
      <c r="E15" s="511">
        <v>-7891.472320000008</v>
      </c>
      <c r="F15" s="34"/>
      <c r="G15" s="511">
        <f>'Pg8.2 Rev AF-2'!I26+'Pg8.2 Rev AF-2'!I42</f>
        <v>-8583.7620040680013</v>
      </c>
      <c r="H15" s="33"/>
      <c r="I15" s="688">
        <f>(E15+G15)/2</f>
        <v>-8237.6171620340047</v>
      </c>
      <c r="J15" s="33"/>
      <c r="K15" s="33" t="s">
        <v>799</v>
      </c>
      <c r="L15" s="33">
        <f t="shared" si="1"/>
        <v>5</v>
      </c>
      <c r="M15" s="34"/>
      <c r="N15" s="34"/>
    </row>
    <row r="16" spans="1:14" x14ac:dyDescent="0.35">
      <c r="A16" s="33">
        <f t="shared" si="0"/>
        <v>6</v>
      </c>
      <c r="B16" s="17"/>
      <c r="E16" s="684"/>
      <c r="F16" s="684"/>
      <c r="G16" s="684"/>
      <c r="I16" s="684"/>
      <c r="J16" s="33"/>
      <c r="K16" s="8"/>
      <c r="L16" s="33">
        <f t="shared" si="1"/>
        <v>6</v>
      </c>
    </row>
    <row r="17" spans="1:12" ht="19" thickBot="1" x14ac:dyDescent="0.4">
      <c r="A17" s="33">
        <f t="shared" si="0"/>
        <v>7</v>
      </c>
      <c r="B17" s="17" t="s">
        <v>646</v>
      </c>
      <c r="C17" s="33"/>
      <c r="E17" s="483">
        <f>SUM(E11:E15)</f>
        <v>-1028552.872865009</v>
      </c>
      <c r="F17" s="23" t="s">
        <v>27</v>
      </c>
      <c r="G17" s="483">
        <f>SUM(G11:G15)</f>
        <v>-1119362.9754759993</v>
      </c>
      <c r="H17" s="23" t="s">
        <v>805</v>
      </c>
      <c r="I17" s="483">
        <f>SUM(I11:I15)</f>
        <v>-1073957.9241705043</v>
      </c>
      <c r="J17" s="23" t="s">
        <v>805</v>
      </c>
      <c r="K17" s="690" t="s">
        <v>803</v>
      </c>
      <c r="L17" s="33">
        <f t="shared" si="1"/>
        <v>7</v>
      </c>
    </row>
    <row r="18" spans="1:12" ht="16" thickTop="1" x14ac:dyDescent="0.35">
      <c r="A18" s="33">
        <f t="shared" si="0"/>
        <v>8</v>
      </c>
      <c r="J18" s="33"/>
      <c r="K18" s="8"/>
      <c r="L18" s="33">
        <f t="shared" si="1"/>
        <v>8</v>
      </c>
    </row>
    <row r="19" spans="1:12" ht="16" thickBot="1" x14ac:dyDescent="0.4">
      <c r="A19" s="33">
        <f t="shared" si="0"/>
        <v>9</v>
      </c>
      <c r="B19" s="17" t="s">
        <v>647</v>
      </c>
      <c r="E19" s="691">
        <v>0</v>
      </c>
      <c r="G19" s="691">
        <v>0</v>
      </c>
      <c r="I19" s="692">
        <f>(E19+G19)/2</f>
        <v>0</v>
      </c>
      <c r="J19" s="33"/>
      <c r="K19" s="33" t="s">
        <v>232</v>
      </c>
      <c r="L19" s="33">
        <f t="shared" si="1"/>
        <v>9</v>
      </c>
    </row>
    <row r="20" spans="1:12" ht="16" thickTop="1" x14ac:dyDescent="0.35">
      <c r="A20" s="33">
        <f t="shared" si="0"/>
        <v>10</v>
      </c>
      <c r="B20" s="17"/>
      <c r="I20" s="506"/>
      <c r="J20" s="33"/>
      <c r="K20" s="8"/>
      <c r="L20" s="33">
        <f t="shared" si="1"/>
        <v>10</v>
      </c>
    </row>
    <row r="21" spans="1:12" ht="16" thickBot="1" x14ac:dyDescent="0.4">
      <c r="A21" s="33">
        <f t="shared" si="0"/>
        <v>11</v>
      </c>
      <c r="B21" s="17" t="s">
        <v>648</v>
      </c>
      <c r="E21" s="693">
        <v>0</v>
      </c>
      <c r="F21" s="694"/>
      <c r="G21" s="693">
        <v>0</v>
      </c>
      <c r="H21" s="695"/>
      <c r="I21" s="692">
        <f>(E21+G21)/2</f>
        <v>0</v>
      </c>
      <c r="K21" s="33" t="s">
        <v>800</v>
      </c>
      <c r="L21" s="33">
        <f t="shared" si="1"/>
        <v>11</v>
      </c>
    </row>
    <row r="22" spans="1:12" ht="16" thickTop="1" x14ac:dyDescent="0.35">
      <c r="A22" s="33">
        <f t="shared" si="0"/>
        <v>12</v>
      </c>
      <c r="B22" s="17"/>
      <c r="E22" s="31"/>
      <c r="F22" s="550"/>
      <c r="G22" s="31"/>
      <c r="H22" s="695"/>
      <c r="I22" s="506"/>
      <c r="K22" s="8"/>
      <c r="L22" s="33">
        <f t="shared" si="1"/>
        <v>12</v>
      </c>
    </row>
    <row r="23" spans="1:12" ht="16" thickBot="1" x14ac:dyDescent="0.4">
      <c r="A23" s="33">
        <f t="shared" si="0"/>
        <v>13</v>
      </c>
      <c r="B23" s="17" t="s">
        <v>649</v>
      </c>
      <c r="E23" s="691">
        <v>0</v>
      </c>
      <c r="F23" s="694"/>
      <c r="G23" s="691">
        <v>0</v>
      </c>
      <c r="H23" s="695"/>
      <c r="I23" s="692">
        <f>(E23+G23)/2</f>
        <v>0</v>
      </c>
      <c r="K23" s="33" t="s">
        <v>232</v>
      </c>
      <c r="L23" s="33">
        <f t="shared" si="1"/>
        <v>13</v>
      </c>
    </row>
    <row r="24" spans="1:12" ht="16" thickTop="1" x14ac:dyDescent="0.35">
      <c r="L24" s="33"/>
    </row>
    <row r="25" spans="1:12" x14ac:dyDescent="0.35">
      <c r="L25" s="33"/>
    </row>
    <row r="26" spans="1:12" x14ac:dyDescent="0.35">
      <c r="A26" s="23" t="s">
        <v>27</v>
      </c>
      <c r="B26" s="21" t="s">
        <v>650</v>
      </c>
      <c r="L26" s="33"/>
    </row>
    <row r="27" spans="1:12" x14ac:dyDescent="0.35">
      <c r="A27" s="23" t="s">
        <v>805</v>
      </c>
      <c r="B27" s="506" t="s">
        <v>824</v>
      </c>
    </row>
    <row r="28" spans="1:12" ht="18" x14ac:dyDescent="0.35">
      <c r="A28" s="90">
        <v>1</v>
      </c>
      <c r="B28" s="17" t="s">
        <v>651</v>
      </c>
    </row>
    <row r="29" spans="1:12" ht="18" x14ac:dyDescent="0.35">
      <c r="A29" s="90">
        <v>2</v>
      </c>
      <c r="B29" s="34" t="s">
        <v>652</v>
      </c>
    </row>
    <row r="30" spans="1:12" x14ac:dyDescent="0.35">
      <c r="A30" s="34"/>
      <c r="B30" s="40" t="s">
        <v>653</v>
      </c>
    </row>
    <row r="31" spans="1:12" x14ac:dyDescent="0.35">
      <c r="B31" s="613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4548d-ff52-42f9-a254-3bffe5157158">
      <Terms xmlns="http://schemas.microsoft.com/office/infopath/2007/PartnerControls"/>
    </lcf76f155ced4ddcb4097134ff3c332f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F033832634A47ACBF5D0BC7D2D682" ma:contentTypeVersion="9" ma:contentTypeDescription="Create a new document." ma:contentTypeScope="" ma:versionID="3a3a0556e2a07f679fa10fc3f4ab9cee">
  <xsd:schema xmlns:xsd="http://www.w3.org/2001/XMLSchema" xmlns:xs="http://www.w3.org/2001/XMLSchema" xmlns:p="http://schemas.microsoft.com/office/2006/metadata/properties" xmlns:ns2="6fc4548d-ff52-42f9-a254-3bffe5157158" xmlns:ns3="d3533485-01ac-4c85-a144-d07c02817ce0" targetNamespace="http://schemas.microsoft.com/office/2006/metadata/properties" ma:root="true" ma:fieldsID="3a0fa221147707eaa3da16d0478548a6" ns2:_="" ns3:_="">
    <xsd:import namespace="6fc4548d-ff52-42f9-a254-3bffe5157158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4548d-ff52-42f9-a254-3bffe5157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www.w3.org/XML/1998/namespace"/>
    <ds:schemaRef ds:uri="6fc4548d-ff52-42f9-a254-3bffe5157158"/>
    <ds:schemaRef ds:uri="http://schemas.microsoft.com/office/2006/metadata/properties"/>
    <ds:schemaRef ds:uri="http://schemas.microsoft.com/office/2006/documentManagement/types"/>
    <ds:schemaRef ds:uri="http://purl.org/dc/elements/1.1/"/>
    <ds:schemaRef ds:uri="d3533485-01ac-4c85-a144-d07c02817ce0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B3675D-0920-4196-9041-89135B2E5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4548d-ff52-42f9-a254-3bffe5157158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12</vt:i4>
      </vt:variant>
    </vt:vector>
  </HeadingPairs>
  <TitlesOfParts>
    <vt:vector size="37" baseType="lpstr">
      <vt:lpstr>Pg1 App X C12 Cost Adj</vt:lpstr>
      <vt:lpstr>Pg2 App X C12 Comparison</vt:lpstr>
      <vt:lpstr>Pg3 Rev App. X C12</vt:lpstr>
      <vt:lpstr>Pg4 As Filed-Orig. App X C12</vt:lpstr>
      <vt:lpstr>Pg5 Rev Sec.2-Non-Direct Exp</vt:lpstr>
      <vt:lpstr>Pg6 As Filed Sec 2-Non Dir Exp</vt:lpstr>
      <vt:lpstr>Pg7 Rev Sec 4-TU</vt:lpstr>
      <vt:lpstr>Pg7.1 As Filed Sec 4-TU</vt:lpstr>
      <vt:lpstr>Pg8 Rev Stmt AF</vt:lpstr>
      <vt:lpstr>Pg8.1 As Filed Stmt AF</vt:lpstr>
      <vt:lpstr>Pg8.2 Rev AF-2</vt:lpstr>
      <vt:lpstr>Pg8.3 As Filed AF-2</vt:lpstr>
      <vt:lpstr>Pg9 Rev Stmt AH</vt:lpstr>
      <vt:lpstr>Pg9.1 As Filed-Stmt AH</vt:lpstr>
      <vt:lpstr>Pg9.2 Rev AH-2</vt:lpstr>
      <vt:lpstr>Pg9.3 As Filed AH-2</vt:lpstr>
      <vt:lpstr>Pg9.4 Rev AH-3</vt:lpstr>
      <vt:lpstr>Pg9.5 As Filed-AH-3</vt:lpstr>
      <vt:lpstr>Pg10 Rev Stmt AL</vt:lpstr>
      <vt:lpstr>Pg10.1 As Filed-Smt AL</vt:lpstr>
      <vt:lpstr>Pg11 Rev Stmt AV</vt:lpstr>
      <vt:lpstr>Pg12 As Filed Stmt AV</vt:lpstr>
      <vt:lpstr>Pg13 Rev AV-4</vt:lpstr>
      <vt:lpstr>Pg14 As Filed AV-4</vt:lpstr>
      <vt:lpstr>Pg15 App X C12 Int Calc</vt:lpstr>
      <vt:lpstr>'Pg10.1 As Filed-Smt AL'!Print_Area</vt:lpstr>
      <vt:lpstr>'Pg12 As Filed Stmt AV'!Print_Area</vt:lpstr>
      <vt:lpstr>'Pg14 As Filed AV-4'!Print_Area</vt:lpstr>
      <vt:lpstr>'Pg4 As Filed-Orig. App X C12'!Print_Area</vt:lpstr>
      <vt:lpstr>'Pg6 As Filed Sec 2-Non Dir Exp'!Print_Area</vt:lpstr>
      <vt:lpstr>'Pg7.1 As Filed Sec 4-TU'!Print_Area</vt:lpstr>
      <vt:lpstr>'Pg8.1 As Filed Stmt AF'!Print_Area</vt:lpstr>
      <vt:lpstr>'Pg8.3 As Filed AF-2'!Print_Area</vt:lpstr>
      <vt:lpstr>'Pg9.1 As Filed-Stmt AH'!Print_Area</vt:lpstr>
      <vt:lpstr>'Pg9.3 As Filed AH-2'!Print_Area</vt:lpstr>
      <vt:lpstr>'Pg9.4 Rev AH-3'!Print_Area</vt:lpstr>
      <vt:lpstr>'Pg9.5 As Filed-AH-3'!Print_Area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2024-05-21T20:03:52Z</cp:lastPrinted>
  <dcterms:created xsi:type="dcterms:W3CDTF">2021-03-15T22:51:55Z</dcterms:created>
  <dcterms:modified xsi:type="dcterms:W3CDTF">2024-09-05T19:44:41Z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0x01010020AF033832634A47ACBF5D0BC7D2D682</vt:lpwstr>
  </property>
  <property fmtid="{D5CDD505-2E9C-101B-9397-08002B2CF9AE}" pid="3" name="MediaServiceImageTags">
    <vt:lpwstr/>
  </property>
</Properties>
</file>