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2/Citizens/Sunrise/Cycle 11 Annual Filing/Sunrise Cycle 11 Oct Filing/"/>
    </mc:Choice>
  </mc:AlternateContent>
  <xr:revisionPtr revIDLastSave="892" documentId="8_{C1EB33DF-D561-41A6-A517-2EB2DDBC6F48}" xr6:coauthVersionLast="47" xr6:coauthVersionMax="47" xr10:uidLastSave="{A49627B8-D619-4843-8732-5B3B51397993}"/>
  <bookViews>
    <workbookView xWindow="28680" yWindow="-120" windowWidth="20730" windowHeight="11160" xr2:uid="{A1AA674E-836A-4CFE-B14F-C8BAAC5651C2}"/>
  </bookViews>
  <sheets>
    <sheet name="Pg1 Appendix X C10 Cost Adj" sheetId="1" r:id="rId1"/>
    <sheet name="Pg2 Appendix X C10 Comparison" sheetId="16" r:id="rId2"/>
    <sheet name="Pg3 Rev Appendix X C10" sheetId="15" r:id="rId3"/>
    <sheet name="Pg4 As Filed Appendix X C10" sheetId="14" r:id="rId4"/>
    <sheet name="Pg5 Rev B.Sec.2-Non-Direct Exp" sheetId="13" r:id="rId5"/>
    <sheet name="Pg6 As Filed B.Sec.2-Non-D Ex" sheetId="27" r:id="rId6"/>
    <sheet name="Pg7 Rev C.Sec.3-Other Costs" sheetId="41" r:id="rId7"/>
    <sheet name="Pg7.1 As Filed C.Sec.3-O-Costs" sheetId="42" r:id="rId8"/>
    <sheet name="Pg8 Rev D.Sec.4-TU" sheetId="12" r:id="rId9"/>
    <sheet name="Pg8.1 As Filed D.Sec.4-TU" sheetId="28" r:id="rId10"/>
    <sheet name="Pg9 Rev Stmt AF" sheetId="36" r:id="rId11"/>
    <sheet name="Pg9.1 As Filed Stmt AF" sheetId="33" r:id="rId12"/>
    <sheet name="Pg9.2 Rev AF-1" sheetId="37" r:id="rId13"/>
    <sheet name="Pg9.2A As Filed AF-1" sheetId="32" r:id="rId14"/>
    <sheet name="Pg9.3 Rev AF-2" sheetId="38" r:id="rId15"/>
    <sheet name="Pg9.3A As Filed AF-2" sheetId="31" r:id="rId16"/>
    <sheet name="Pg10 Rev Stmt AH" sheetId="19" r:id="rId17"/>
    <sheet name="Pg10.1 As Filed Stmt AH" sheetId="44" r:id="rId18"/>
    <sheet name="Pg10.2 Rev AH-3" sheetId="18" r:id="rId19"/>
    <sheet name="Pg11 Rev Stmt AL" sheetId="17" r:id="rId20"/>
    <sheet name="Pg11.1 As Filed Stmt AL" sheetId="43" r:id="rId21"/>
    <sheet name="Pg12 Rev Stmt AR" sheetId="39" r:id="rId22"/>
    <sheet name="Pg12.1 As Filed Stmt AR" sheetId="35" r:id="rId23"/>
    <sheet name="Pg 12.2 Rev AR-1" sheetId="40" r:id="rId24"/>
    <sheet name="Pg12.2A As Filed AR-1" sheetId="34" r:id="rId25"/>
    <sheet name="Pg13 Rev Stmt AV" sheetId="11" r:id="rId26"/>
    <sheet name="Pg14 As Filed Stmt AV" sheetId="29" r:id="rId27"/>
    <sheet name="Pg15 Rev AV-4" sheetId="21" r:id="rId28"/>
    <sheet name="Pg16 As Filed AV-4" sheetId="30" r:id="rId29"/>
    <sheet name="Pg17 Appendix X C10 Int Calc" sheetId="26" r:id="rId30"/>
  </sheets>
  <definedNames>
    <definedName name="_xlnm.Print_Area" localSheetId="17">'Pg10.1 As Filed Stmt AH'!$A$2:$H$72</definedName>
    <definedName name="_xlnm.Print_Area" localSheetId="20">'Pg11.1 As Filed Stmt AL'!$A$2:$J$35</definedName>
    <definedName name="_xlnm.Print_Area" localSheetId="22">'Pg12.1 As Filed Stmt AR'!$A$2:$H$25</definedName>
    <definedName name="_xlnm.Print_Area" localSheetId="24">'Pg12.2A As Filed AR-1'!$A$3:$I$44</definedName>
    <definedName name="_xlnm.Print_Area" localSheetId="26">'Pg14 As Filed Stmt AV'!$A$2:$J$156</definedName>
    <definedName name="_xlnm.Print_Area" localSheetId="28">'Pg16 As Filed AV-4'!$A$2:$F$85</definedName>
    <definedName name="_xlnm.Print_Area" localSheetId="3">'Pg4 As Filed Appendix X C10'!$A$2:$E$54</definedName>
    <definedName name="_xlnm.Print_Area" localSheetId="5">'Pg6 As Filed B.Sec.2-Non-D Ex'!$A$2:$H$98</definedName>
    <definedName name="_xlnm.Print_Area" localSheetId="7">'Pg7.1 As Filed C.Sec.3-O-Costs'!$A$2:$J$43</definedName>
    <definedName name="_xlnm.Print_Area" localSheetId="9">'Pg8.1 As Filed D.Sec.4-TU'!$A$2:$N$42</definedName>
    <definedName name="_xlnm.Print_Area" localSheetId="11">'Pg9.1 As Filed Stmt AF'!$A$2:$L$29</definedName>
    <definedName name="_xlnm.Print_Area" localSheetId="13">'Pg9.2A As Filed AF-1'!$A$2:$K$46</definedName>
    <definedName name="_xlnm.Print_Area" localSheetId="15">'Pg9.3A As Filed AF-2'!$A$2:$K$46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2" i="21" l="1"/>
  <c r="B51" i="21"/>
  <c r="B114" i="11"/>
  <c r="B113" i="11"/>
  <c r="B35" i="12"/>
  <c r="B34" i="12"/>
  <c r="B46" i="41"/>
  <c r="B45" i="41"/>
  <c r="G49" i="16"/>
  <c r="G43" i="16"/>
  <c r="G41" i="16"/>
  <c r="G35" i="16"/>
  <c r="E59" i="44"/>
  <c r="E57" i="44"/>
  <c r="A13" i="44"/>
  <c r="A14" i="44" s="1"/>
  <c r="A15" i="44" s="1"/>
  <c r="A16" i="44" s="1"/>
  <c r="H12" i="44"/>
  <c r="H13" i="44" s="1"/>
  <c r="H14" i="44" s="1"/>
  <c r="H15" i="44" s="1"/>
  <c r="H16" i="44" s="1"/>
  <c r="H17" i="44" s="1"/>
  <c r="H18" i="44" s="1"/>
  <c r="H19" i="44" s="1"/>
  <c r="H20" i="44" s="1"/>
  <c r="H21" i="44" s="1"/>
  <c r="H22" i="44" s="1"/>
  <c r="H23" i="44" s="1"/>
  <c r="H24" i="44" s="1"/>
  <c r="H25" i="44" s="1"/>
  <c r="H26" i="44" s="1"/>
  <c r="H27" i="44" s="1"/>
  <c r="H28" i="44" s="1"/>
  <c r="H29" i="44" s="1"/>
  <c r="H30" i="44" s="1"/>
  <c r="H31" i="44" s="1"/>
  <c r="H32" i="44" s="1"/>
  <c r="H33" i="44" s="1"/>
  <c r="H34" i="44" s="1"/>
  <c r="H35" i="44" s="1"/>
  <c r="H36" i="44" s="1"/>
  <c r="H37" i="44" s="1"/>
  <c r="H38" i="44" s="1"/>
  <c r="H39" i="44" s="1"/>
  <c r="H40" i="44" s="1"/>
  <c r="H41" i="44" s="1"/>
  <c r="H42" i="44" s="1"/>
  <c r="H43" i="44" s="1"/>
  <c r="H44" i="44" s="1"/>
  <c r="H45" i="44" s="1"/>
  <c r="H46" i="44" s="1"/>
  <c r="H47" i="44" s="1"/>
  <c r="H48" i="44" s="1"/>
  <c r="H49" i="44" s="1"/>
  <c r="H50" i="44" s="1"/>
  <c r="H51" i="44" s="1"/>
  <c r="H52" i="44" s="1"/>
  <c r="H53" i="44" s="1"/>
  <c r="H54" i="44" s="1"/>
  <c r="H55" i="44" s="1"/>
  <c r="H56" i="44" s="1"/>
  <c r="H57" i="44" s="1"/>
  <c r="H58" i="44" s="1"/>
  <c r="H59" i="44" s="1"/>
  <c r="H60" i="44" s="1"/>
  <c r="H61" i="44" s="1"/>
  <c r="H62" i="44" s="1"/>
  <c r="H63" i="44" s="1"/>
  <c r="H64" i="44" s="1"/>
  <c r="H65" i="44" s="1"/>
  <c r="H66" i="44" s="1"/>
  <c r="H67" i="44" s="1"/>
  <c r="H68" i="44" s="1"/>
  <c r="H69" i="44" s="1"/>
  <c r="E67" i="44" l="1"/>
  <c r="E69" i="44" s="1"/>
  <c r="E49" i="44" s="1"/>
  <c r="E28" i="44"/>
  <c r="E44" i="44"/>
  <c r="E46" i="44" s="1"/>
  <c r="E48" i="44" s="1"/>
  <c r="A17" i="44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G28" i="44"/>
  <c r="E50" i="44" l="1"/>
  <c r="A32" i="44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l="1"/>
  <c r="G44" i="44"/>
  <c r="A46" i="44" l="1"/>
  <c r="G46" i="44"/>
  <c r="A47" i="44" l="1"/>
  <c r="A48" i="44" s="1"/>
  <c r="A49" i="44" l="1"/>
  <c r="A50" i="44" s="1"/>
  <c r="A51" i="44" s="1"/>
  <c r="A52" i="44" s="1"/>
  <c r="A53" i="44" s="1"/>
  <c r="G48" i="44"/>
  <c r="A54" i="44" l="1"/>
  <c r="A55" i="44" s="1"/>
  <c r="A56" i="44" s="1"/>
  <c r="A57" i="44" s="1"/>
  <c r="G59" i="44"/>
  <c r="G57" i="44"/>
  <c r="G50" i="44"/>
  <c r="A58" i="44" l="1"/>
  <c r="A59" i="44" s="1"/>
  <c r="A60" i="44" l="1"/>
  <c r="A61" i="44" s="1"/>
  <c r="A62" i="44" s="1"/>
  <c r="A63" i="44" s="1"/>
  <c r="A64" i="44" s="1"/>
  <c r="A65" i="44" s="1"/>
  <c r="A66" i="44" s="1"/>
  <c r="A67" i="44" s="1"/>
  <c r="G67" i="44"/>
  <c r="A68" i="44" l="1"/>
  <c r="A69" i="44" s="1"/>
  <c r="G49" i="44" s="1"/>
  <c r="G69" i="44"/>
  <c r="E28" i="43" l="1"/>
  <c r="G20" i="43"/>
  <c r="J13" i="43"/>
  <c r="J14" i="43" s="1"/>
  <c r="J15" i="43" s="1"/>
  <c r="J16" i="43" s="1"/>
  <c r="J17" i="43" s="1"/>
  <c r="J18" i="43" s="1"/>
  <c r="J19" i="43" s="1"/>
  <c r="J20" i="43" s="1"/>
  <c r="J21" i="43" s="1"/>
  <c r="J22" i="43" s="1"/>
  <c r="J23" i="43" s="1"/>
  <c r="J24" i="43" s="1"/>
  <c r="J25" i="43" s="1"/>
  <c r="J26" i="43" s="1"/>
  <c r="J27" i="43" s="1"/>
  <c r="J28" i="43" s="1"/>
  <c r="J29" i="43" s="1"/>
  <c r="J30" i="43" s="1"/>
  <c r="A13" i="43"/>
  <c r="A14" i="43" s="1"/>
  <c r="J12" i="43"/>
  <c r="G16" i="43"/>
  <c r="B103" i="13"/>
  <c r="B38" i="13"/>
  <c r="B56" i="15"/>
  <c r="B55" i="15"/>
  <c r="B37" i="13" s="1"/>
  <c r="B102" i="13" s="1"/>
  <c r="G33" i="41"/>
  <c r="G31" i="41"/>
  <c r="G29" i="41"/>
  <c r="G27" i="41"/>
  <c r="C27" i="41"/>
  <c r="C34" i="41" s="1"/>
  <c r="G25" i="41"/>
  <c r="G36" i="41" s="1"/>
  <c r="J13" i="41"/>
  <c r="J14" i="41" s="1"/>
  <c r="J15" i="41" s="1"/>
  <c r="J16" i="41" s="1"/>
  <c r="J17" i="41" s="1"/>
  <c r="J18" i="41" s="1"/>
  <c r="J19" i="41" s="1"/>
  <c r="J20" i="41" s="1"/>
  <c r="J21" i="41" s="1"/>
  <c r="J22" i="41" s="1"/>
  <c r="J23" i="41" s="1"/>
  <c r="J24" i="41" s="1"/>
  <c r="J25" i="41" s="1"/>
  <c r="J26" i="41" s="1"/>
  <c r="J27" i="41" s="1"/>
  <c r="J28" i="41" s="1"/>
  <c r="J29" i="41" s="1"/>
  <c r="J30" i="41" s="1"/>
  <c r="J31" i="41" s="1"/>
  <c r="J32" i="41" s="1"/>
  <c r="J33" i="41" s="1"/>
  <c r="J34" i="41" s="1"/>
  <c r="J35" i="41" s="1"/>
  <c r="J36" i="41" s="1"/>
  <c r="J37" i="41" s="1"/>
  <c r="J38" i="41" s="1"/>
  <c r="J39" i="41" s="1"/>
  <c r="J40" i="41" s="1"/>
  <c r="J41" i="41" s="1"/>
  <c r="J42" i="41" s="1"/>
  <c r="A13" i="41"/>
  <c r="A14" i="41" s="1"/>
  <c r="J12" i="41"/>
  <c r="G34" i="42"/>
  <c r="G32" i="42"/>
  <c r="G30" i="42"/>
  <c r="C28" i="42"/>
  <c r="G28" i="42" s="1"/>
  <c r="G37" i="42" s="1"/>
  <c r="G26" i="42"/>
  <c r="J14" i="42"/>
  <c r="J15" i="42" s="1"/>
  <c r="J16" i="42" s="1"/>
  <c r="J17" i="42" s="1"/>
  <c r="J18" i="42" s="1"/>
  <c r="J19" i="42" s="1"/>
  <c r="J20" i="42" s="1"/>
  <c r="J21" i="42" s="1"/>
  <c r="J22" i="42" s="1"/>
  <c r="J23" i="42" s="1"/>
  <c r="J24" i="42" s="1"/>
  <c r="J25" i="42" s="1"/>
  <c r="J26" i="42" s="1"/>
  <c r="J27" i="42" s="1"/>
  <c r="J28" i="42" s="1"/>
  <c r="J29" i="42" s="1"/>
  <c r="J30" i="42" s="1"/>
  <c r="J31" i="42" s="1"/>
  <c r="J32" i="42" s="1"/>
  <c r="J33" i="42" s="1"/>
  <c r="J34" i="42" s="1"/>
  <c r="J35" i="42" s="1"/>
  <c r="J36" i="42" s="1"/>
  <c r="J37" i="42" s="1"/>
  <c r="J38" i="42" s="1"/>
  <c r="J39" i="42" s="1"/>
  <c r="J40" i="42" s="1"/>
  <c r="J41" i="42" s="1"/>
  <c r="J42" i="42" s="1"/>
  <c r="J43" i="42" s="1"/>
  <c r="A14" i="42"/>
  <c r="A15" i="42" s="1"/>
  <c r="J13" i="42"/>
  <c r="G86" i="11"/>
  <c r="C24" i="21"/>
  <c r="E16" i="39"/>
  <c r="E15" i="39"/>
  <c r="E14" i="39"/>
  <c r="C22" i="40"/>
  <c r="E43" i="40"/>
  <c r="C43" i="40"/>
  <c r="G41" i="40"/>
  <c r="G43" i="40" s="1"/>
  <c r="E38" i="40"/>
  <c r="C38" i="40"/>
  <c r="G36" i="40"/>
  <c r="G38" i="40" s="1"/>
  <c r="E33" i="40"/>
  <c r="C33" i="40"/>
  <c r="G31" i="40"/>
  <c r="G33" i="40" s="1"/>
  <c r="E27" i="40"/>
  <c r="C27" i="40"/>
  <c r="G25" i="40"/>
  <c r="G27" i="40" s="1"/>
  <c r="E22" i="40"/>
  <c r="G20" i="40"/>
  <c r="G22" i="40" s="1"/>
  <c r="E17" i="40"/>
  <c r="C17" i="40"/>
  <c r="G15" i="40"/>
  <c r="G14" i="40"/>
  <c r="G13" i="40"/>
  <c r="A13" i="40"/>
  <c r="J12" i="40"/>
  <c r="J13" i="40" s="1"/>
  <c r="J14" i="40" s="1"/>
  <c r="J15" i="40" s="1"/>
  <c r="J16" i="40" s="1"/>
  <c r="J17" i="40" s="1"/>
  <c r="J18" i="40" s="1"/>
  <c r="J19" i="40" s="1"/>
  <c r="J20" i="40" s="1"/>
  <c r="J21" i="40" s="1"/>
  <c r="J22" i="40" s="1"/>
  <c r="J23" i="40" s="1"/>
  <c r="J24" i="40" s="1"/>
  <c r="J25" i="40" s="1"/>
  <c r="J26" i="40" s="1"/>
  <c r="J27" i="40" s="1"/>
  <c r="J28" i="40" s="1"/>
  <c r="J29" i="40" s="1"/>
  <c r="J30" i="40" s="1"/>
  <c r="J31" i="40" s="1"/>
  <c r="J32" i="40" s="1"/>
  <c r="J33" i="40" s="1"/>
  <c r="J34" i="40" s="1"/>
  <c r="J35" i="40" s="1"/>
  <c r="J36" i="40" s="1"/>
  <c r="J37" i="40" s="1"/>
  <c r="J38" i="40" s="1"/>
  <c r="J39" i="40" s="1"/>
  <c r="J40" i="40" s="1"/>
  <c r="J41" i="40" s="1"/>
  <c r="J42" i="40" s="1"/>
  <c r="J43" i="40" s="1"/>
  <c r="A11" i="39"/>
  <c r="H11" i="39" s="1"/>
  <c r="H12" i="39" s="1"/>
  <c r="H13" i="39" s="1"/>
  <c r="H14" i="39" s="1"/>
  <c r="H15" i="39" s="1"/>
  <c r="H16" i="39" s="1"/>
  <c r="H17" i="39" s="1"/>
  <c r="H18" i="39" s="1"/>
  <c r="H19" i="39" s="1"/>
  <c r="H20" i="39" s="1"/>
  <c r="H21" i="39" s="1"/>
  <c r="G13" i="36"/>
  <c r="E13" i="36"/>
  <c r="E26" i="43" l="1"/>
  <c r="E30" i="43" s="1"/>
  <c r="A15" i="43"/>
  <c r="A16" i="43" s="1"/>
  <c r="A17" i="43" s="1"/>
  <c r="A18" i="43" s="1"/>
  <c r="A19" i="43" s="1"/>
  <c r="A20" i="43" s="1"/>
  <c r="A21" i="43" s="1"/>
  <c r="A22" i="43" s="1"/>
  <c r="A23" i="43" s="1"/>
  <c r="I16" i="43"/>
  <c r="I18" i="41"/>
  <c r="A15" i="41"/>
  <c r="A16" i="41" s="1"/>
  <c r="A17" i="41" s="1"/>
  <c r="A18" i="41" s="1"/>
  <c r="A19" i="41"/>
  <c r="A20" i="41" s="1"/>
  <c r="A21" i="41" s="1"/>
  <c r="A22" i="41" s="1"/>
  <c r="A23" i="41" s="1"/>
  <c r="A24" i="41" s="1"/>
  <c r="A25" i="41" s="1"/>
  <c r="G38" i="41"/>
  <c r="G40" i="41" s="1"/>
  <c r="C35" i="42"/>
  <c r="G39" i="42"/>
  <c r="G41" i="42" s="1"/>
  <c r="A16" i="42"/>
  <c r="A17" i="42" s="1"/>
  <c r="A18" i="42" s="1"/>
  <c r="A19" i="42" s="1"/>
  <c r="E17" i="39"/>
  <c r="E21" i="39" s="1"/>
  <c r="G17" i="40"/>
  <c r="A14" i="40"/>
  <c r="A15" i="40" s="1"/>
  <c r="A16" i="40" s="1"/>
  <c r="A17" i="40" s="1"/>
  <c r="A18" i="40" s="1"/>
  <c r="A19" i="40" s="1"/>
  <c r="A20" i="40" s="1"/>
  <c r="A12" i="39"/>
  <c r="A13" i="39" s="1"/>
  <c r="A14" i="39" s="1"/>
  <c r="A24" i="43" l="1"/>
  <c r="A25" i="43" s="1"/>
  <c r="A26" i="43" s="1"/>
  <c r="I20" i="43"/>
  <c r="A26" i="4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I36" i="41"/>
  <c r="I34" i="41"/>
  <c r="I19" i="42"/>
  <c r="A20" i="42"/>
  <c r="A21" i="42" s="1"/>
  <c r="A22" i="42" s="1"/>
  <c r="A23" i="42" s="1"/>
  <c r="A24" i="42" s="1"/>
  <c r="A25" i="42" s="1"/>
  <c r="A26" i="42" s="1"/>
  <c r="A21" i="40"/>
  <c r="A22" i="40" s="1"/>
  <c r="A23" i="40" s="1"/>
  <c r="A24" i="40" s="1"/>
  <c r="A25" i="40" s="1"/>
  <c r="I17" i="40"/>
  <c r="A15" i="39"/>
  <c r="A16" i="39" s="1"/>
  <c r="A17" i="39" s="1"/>
  <c r="G17" i="39"/>
  <c r="I26" i="43" l="1"/>
  <c r="A27" i="43"/>
  <c r="A28" i="43" s="1"/>
  <c r="A29" i="43" s="1"/>
  <c r="A30" i="43" s="1"/>
  <c r="A37" i="41"/>
  <c r="A38" i="41" s="1"/>
  <c r="A39" i="41" s="1"/>
  <c r="A40" i="41" s="1"/>
  <c r="I40" i="41"/>
  <c r="I38" i="41"/>
  <c r="A27" i="42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26" i="40"/>
  <c r="A27" i="40" s="1"/>
  <c r="A28" i="40" s="1"/>
  <c r="A29" i="40" s="1"/>
  <c r="A30" i="40" s="1"/>
  <c r="A31" i="40" s="1"/>
  <c r="I22" i="40"/>
  <c r="A18" i="39"/>
  <c r="A19" i="39" s="1"/>
  <c r="A20" i="39" s="1"/>
  <c r="A21" i="39" s="1"/>
  <c r="I30" i="43" l="1"/>
  <c r="A41" i="41"/>
  <c r="A42" i="41" s="1"/>
  <c r="I42" i="41"/>
  <c r="I39" i="42"/>
  <c r="A38" i="42"/>
  <c r="A39" i="42" s="1"/>
  <c r="A40" i="42" s="1"/>
  <c r="A41" i="42" s="1"/>
  <c r="I35" i="42"/>
  <c r="I37" i="42"/>
  <c r="I27" i="40"/>
  <c r="A32" i="40"/>
  <c r="A33" i="40" s="1"/>
  <c r="A34" i="40" s="1"/>
  <c r="A35" i="40" s="1"/>
  <c r="A36" i="40" s="1"/>
  <c r="G21" i="39"/>
  <c r="I41" i="42" l="1"/>
  <c r="A42" i="42"/>
  <c r="A43" i="42" s="1"/>
  <c r="I43" i="42"/>
  <c r="I33" i="40"/>
  <c r="A37" i="40"/>
  <c r="A38" i="40" s="1"/>
  <c r="A39" i="40" s="1"/>
  <c r="A40" i="40" s="1"/>
  <c r="A41" i="40" s="1"/>
  <c r="A42" i="40" l="1"/>
  <c r="A43" i="40" s="1"/>
  <c r="I38" i="40"/>
  <c r="I43" i="40" l="1"/>
  <c r="I45" i="38" l="1"/>
  <c r="G42" i="38"/>
  <c r="E42" i="38"/>
  <c r="C42" i="38"/>
  <c r="I41" i="38"/>
  <c r="I40" i="38"/>
  <c r="G37" i="38"/>
  <c r="E37" i="38"/>
  <c r="C37" i="38"/>
  <c r="I36" i="38"/>
  <c r="I35" i="38"/>
  <c r="G32" i="38"/>
  <c r="E32" i="38"/>
  <c r="C32" i="38"/>
  <c r="I31" i="38"/>
  <c r="I30" i="38"/>
  <c r="G26" i="38"/>
  <c r="E26" i="38"/>
  <c r="C26" i="38"/>
  <c r="I25" i="38"/>
  <c r="I24" i="38"/>
  <c r="I26" i="38" s="1"/>
  <c r="G21" i="38"/>
  <c r="E21" i="38"/>
  <c r="C21" i="38"/>
  <c r="I20" i="38"/>
  <c r="I19" i="38"/>
  <c r="G16" i="38"/>
  <c r="E16" i="38"/>
  <c r="C16" i="38"/>
  <c r="I15" i="38"/>
  <c r="I14" i="38"/>
  <c r="I13" i="38"/>
  <c r="A13" i="38"/>
  <c r="A14" i="38" s="1"/>
  <c r="A15" i="38" s="1"/>
  <c r="L12" i="38"/>
  <c r="L13" i="38" s="1"/>
  <c r="L14" i="38" s="1"/>
  <c r="L15" i="38" s="1"/>
  <c r="L16" i="38" s="1"/>
  <c r="L17" i="38" s="1"/>
  <c r="L18" i="38" s="1"/>
  <c r="L19" i="38" s="1"/>
  <c r="L20" i="38" s="1"/>
  <c r="L21" i="38" s="1"/>
  <c r="L22" i="38" s="1"/>
  <c r="L23" i="38" s="1"/>
  <c r="L24" i="38" s="1"/>
  <c r="L25" i="38" s="1"/>
  <c r="L26" i="38" s="1"/>
  <c r="L27" i="38" s="1"/>
  <c r="L28" i="38" s="1"/>
  <c r="L29" i="38" s="1"/>
  <c r="L30" i="38" s="1"/>
  <c r="L31" i="38" s="1"/>
  <c r="L32" i="38" s="1"/>
  <c r="L33" i="38" s="1"/>
  <c r="L34" i="38" s="1"/>
  <c r="L35" i="38" s="1"/>
  <c r="L36" i="38" s="1"/>
  <c r="L37" i="38" s="1"/>
  <c r="L38" i="38" s="1"/>
  <c r="L39" i="38" s="1"/>
  <c r="L40" i="38" s="1"/>
  <c r="L41" i="38" s="1"/>
  <c r="L42" i="38" s="1"/>
  <c r="L43" i="38" s="1"/>
  <c r="L44" i="38" s="1"/>
  <c r="L45" i="38" s="1"/>
  <c r="I45" i="37"/>
  <c r="G42" i="37"/>
  <c r="E42" i="37"/>
  <c r="C42" i="37"/>
  <c r="I41" i="37"/>
  <c r="I40" i="37"/>
  <c r="G37" i="37"/>
  <c r="E37" i="37"/>
  <c r="C37" i="37"/>
  <c r="I36" i="37"/>
  <c r="I35" i="37"/>
  <c r="I37" i="37" s="1"/>
  <c r="G32" i="37"/>
  <c r="E32" i="37"/>
  <c r="C32" i="37"/>
  <c r="I31" i="37"/>
  <c r="I30" i="37"/>
  <c r="I32" i="37" s="1"/>
  <c r="G26" i="37"/>
  <c r="E26" i="37"/>
  <c r="C26" i="37"/>
  <c r="I25" i="37"/>
  <c r="I24" i="37"/>
  <c r="G21" i="37"/>
  <c r="E21" i="37"/>
  <c r="C21" i="37"/>
  <c r="I20" i="37"/>
  <c r="I19" i="37"/>
  <c r="G16" i="37"/>
  <c r="E16" i="37"/>
  <c r="C16" i="37"/>
  <c r="I15" i="37"/>
  <c r="I14" i="37"/>
  <c r="I13" i="37"/>
  <c r="A13" i="37"/>
  <c r="A14" i="37" s="1"/>
  <c r="A15" i="37" s="1"/>
  <c r="L12" i="37"/>
  <c r="L13" i="37" s="1"/>
  <c r="L14" i="37" s="1"/>
  <c r="L15" i="37" s="1"/>
  <c r="L16" i="37" s="1"/>
  <c r="L17" i="37" s="1"/>
  <c r="L18" i="37" s="1"/>
  <c r="L19" i="37" s="1"/>
  <c r="L20" i="37" s="1"/>
  <c r="L21" i="37" s="1"/>
  <c r="L22" i="37" s="1"/>
  <c r="L23" i="37" s="1"/>
  <c r="L24" i="37" s="1"/>
  <c r="L25" i="37" s="1"/>
  <c r="L26" i="37" s="1"/>
  <c r="L27" i="37" s="1"/>
  <c r="L28" i="37" s="1"/>
  <c r="L29" i="37" s="1"/>
  <c r="L30" i="37" s="1"/>
  <c r="L31" i="37" s="1"/>
  <c r="L32" i="37" s="1"/>
  <c r="L33" i="37" s="1"/>
  <c r="L34" i="37" s="1"/>
  <c r="L35" i="37" s="1"/>
  <c r="L36" i="37" s="1"/>
  <c r="L37" i="37" s="1"/>
  <c r="L38" i="37" s="1"/>
  <c r="L39" i="37" s="1"/>
  <c r="L40" i="37" s="1"/>
  <c r="L41" i="37" s="1"/>
  <c r="L42" i="37" s="1"/>
  <c r="L43" i="37" s="1"/>
  <c r="L44" i="37" s="1"/>
  <c r="L45" i="37" s="1"/>
  <c r="I23" i="36"/>
  <c r="I21" i="36"/>
  <c r="I19" i="36"/>
  <c r="G15" i="36"/>
  <c r="E15" i="36"/>
  <c r="I13" i="36"/>
  <c r="A12" i="36"/>
  <c r="A13" i="36" s="1"/>
  <c r="A14" i="36" s="1"/>
  <c r="A15" i="36" s="1"/>
  <c r="L11" i="36"/>
  <c r="L12" i="36" s="1"/>
  <c r="L13" i="36" s="1"/>
  <c r="L14" i="36" s="1"/>
  <c r="L15" i="36" s="1"/>
  <c r="L16" i="36" s="1"/>
  <c r="L17" i="36" s="1"/>
  <c r="L18" i="36" s="1"/>
  <c r="L19" i="36" s="1"/>
  <c r="L20" i="36" s="1"/>
  <c r="L21" i="36" s="1"/>
  <c r="L22" i="36" s="1"/>
  <c r="L23" i="36" s="1"/>
  <c r="G11" i="36"/>
  <c r="E11" i="36"/>
  <c r="G44" i="34"/>
  <c r="E44" i="34"/>
  <c r="C44" i="34"/>
  <c r="G42" i="34"/>
  <c r="G39" i="34"/>
  <c r="E39" i="34"/>
  <c r="C39" i="34"/>
  <c r="G37" i="34"/>
  <c r="E34" i="34"/>
  <c r="C34" i="34"/>
  <c r="G32" i="34"/>
  <c r="G34" i="34" s="1"/>
  <c r="E28" i="34"/>
  <c r="C28" i="34"/>
  <c r="G26" i="34"/>
  <c r="G28" i="34" s="1"/>
  <c r="E17" i="35" s="1"/>
  <c r="E23" i="34"/>
  <c r="C23" i="34"/>
  <c r="G21" i="34"/>
  <c r="G23" i="34" s="1"/>
  <c r="E16" i="35" s="1"/>
  <c r="E18" i="34"/>
  <c r="C18" i="34"/>
  <c r="G16" i="34"/>
  <c r="G15" i="34"/>
  <c r="I14" i="34"/>
  <c r="I15" i="34" s="1"/>
  <c r="I16" i="34" s="1"/>
  <c r="I17" i="34" s="1"/>
  <c r="I18" i="34" s="1"/>
  <c r="I19" i="34" s="1"/>
  <c r="I20" i="34" s="1"/>
  <c r="I21" i="34" s="1"/>
  <c r="I22" i="34" s="1"/>
  <c r="I23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4" i="34" s="1"/>
  <c r="I35" i="34" s="1"/>
  <c r="I36" i="34" s="1"/>
  <c r="I37" i="34" s="1"/>
  <c r="I38" i="34" s="1"/>
  <c r="I39" i="34" s="1"/>
  <c r="I40" i="34" s="1"/>
  <c r="I41" i="34" s="1"/>
  <c r="I42" i="34" s="1"/>
  <c r="I43" i="34" s="1"/>
  <c r="I44" i="34" s="1"/>
  <c r="G14" i="34"/>
  <c r="A14" i="34"/>
  <c r="A15" i="34" s="1"/>
  <c r="A16" i="34" s="1"/>
  <c r="A17" i="34" s="1"/>
  <c r="I13" i="34"/>
  <c r="A12" i="35"/>
  <c r="H12" i="35" s="1"/>
  <c r="H13" i="35" s="1"/>
  <c r="H14" i="35" s="1"/>
  <c r="H15" i="35" s="1"/>
  <c r="H16" i="35" s="1"/>
  <c r="H17" i="35" s="1"/>
  <c r="H18" i="35" s="1"/>
  <c r="H19" i="35" s="1"/>
  <c r="H20" i="35" s="1"/>
  <c r="H21" i="35" s="1"/>
  <c r="H22" i="35" s="1"/>
  <c r="I46" i="31"/>
  <c r="G43" i="31"/>
  <c r="E43" i="31"/>
  <c r="C43" i="31"/>
  <c r="I42" i="31"/>
  <c r="I41" i="31"/>
  <c r="I43" i="31" s="1"/>
  <c r="I38" i="31"/>
  <c r="G38" i="31"/>
  <c r="E38" i="31"/>
  <c r="C38" i="31"/>
  <c r="I37" i="31"/>
  <c r="I36" i="31"/>
  <c r="G33" i="31"/>
  <c r="E33" i="31"/>
  <c r="C33" i="31"/>
  <c r="I32" i="31"/>
  <c r="I31" i="31"/>
  <c r="G27" i="31"/>
  <c r="E27" i="31"/>
  <c r="C27" i="31"/>
  <c r="I26" i="31"/>
  <c r="I25" i="31"/>
  <c r="I27" i="31" s="1"/>
  <c r="G16" i="33" s="1"/>
  <c r="G22" i="31"/>
  <c r="E22" i="31"/>
  <c r="C22" i="31"/>
  <c r="I21" i="31"/>
  <c r="I20" i="31"/>
  <c r="I22" i="31" s="1"/>
  <c r="G14" i="33" s="1"/>
  <c r="G17" i="31"/>
  <c r="E17" i="31"/>
  <c r="C17" i="31"/>
  <c r="I16" i="31"/>
  <c r="I15" i="31"/>
  <c r="A15" i="31"/>
  <c r="A16" i="31" s="1"/>
  <c r="I14" i="31"/>
  <c r="A14" i="31"/>
  <c r="K13" i="31"/>
  <c r="K14" i="31" s="1"/>
  <c r="K15" i="31" s="1"/>
  <c r="K16" i="31" s="1"/>
  <c r="K17" i="31" s="1"/>
  <c r="K18" i="31" s="1"/>
  <c r="K19" i="31" s="1"/>
  <c r="K20" i="31" s="1"/>
  <c r="K21" i="31" s="1"/>
  <c r="K22" i="31" s="1"/>
  <c r="K23" i="31" s="1"/>
  <c r="K24" i="31" s="1"/>
  <c r="K25" i="31" s="1"/>
  <c r="K26" i="31" s="1"/>
  <c r="K27" i="31" s="1"/>
  <c r="K28" i="31" s="1"/>
  <c r="K29" i="31" s="1"/>
  <c r="K30" i="31" s="1"/>
  <c r="K31" i="31" s="1"/>
  <c r="K32" i="31" s="1"/>
  <c r="K33" i="31" s="1"/>
  <c r="K34" i="31" s="1"/>
  <c r="K35" i="31" s="1"/>
  <c r="K36" i="31" s="1"/>
  <c r="K37" i="31" s="1"/>
  <c r="K38" i="31" s="1"/>
  <c r="K39" i="31" s="1"/>
  <c r="K40" i="31" s="1"/>
  <c r="K41" i="31" s="1"/>
  <c r="K42" i="31" s="1"/>
  <c r="K43" i="31" s="1"/>
  <c r="K44" i="31" s="1"/>
  <c r="K45" i="31" s="1"/>
  <c r="K46" i="31" s="1"/>
  <c r="I46" i="32"/>
  <c r="G43" i="32"/>
  <c r="E43" i="32"/>
  <c r="C43" i="32"/>
  <c r="I42" i="32"/>
  <c r="I41" i="32"/>
  <c r="G38" i="32"/>
  <c r="E38" i="32"/>
  <c r="C38" i="32"/>
  <c r="I37" i="32"/>
  <c r="I36" i="32"/>
  <c r="G33" i="32"/>
  <c r="E33" i="32"/>
  <c r="C33" i="32"/>
  <c r="I32" i="32"/>
  <c r="I31" i="32"/>
  <c r="G27" i="32"/>
  <c r="E27" i="32"/>
  <c r="C27" i="32"/>
  <c r="I26" i="32"/>
  <c r="I25" i="32"/>
  <c r="I27" i="32" s="1"/>
  <c r="G22" i="32"/>
  <c r="E22" i="32"/>
  <c r="C22" i="32"/>
  <c r="I21" i="32"/>
  <c r="I20" i="32"/>
  <c r="G17" i="32"/>
  <c r="E17" i="32"/>
  <c r="C17" i="32"/>
  <c r="I16" i="32"/>
  <c r="I15" i="32"/>
  <c r="I14" i="32"/>
  <c r="I17" i="32" s="1"/>
  <c r="A14" i="32"/>
  <c r="A15" i="32" s="1"/>
  <c r="A16" i="32" s="1"/>
  <c r="A17" i="32" s="1"/>
  <c r="A18" i="32" s="1"/>
  <c r="A19" i="32" s="1"/>
  <c r="A20" i="32" s="1"/>
  <c r="K13" i="32"/>
  <c r="K14" i="32" s="1"/>
  <c r="K15" i="32" s="1"/>
  <c r="K16" i="32" s="1"/>
  <c r="K17" i="32" s="1"/>
  <c r="K18" i="32" s="1"/>
  <c r="K19" i="32" s="1"/>
  <c r="K20" i="32" s="1"/>
  <c r="K21" i="32" s="1"/>
  <c r="K22" i="32" s="1"/>
  <c r="K23" i="32" s="1"/>
  <c r="K24" i="32" s="1"/>
  <c r="K25" i="32" s="1"/>
  <c r="K26" i="32" s="1"/>
  <c r="K27" i="32" s="1"/>
  <c r="K28" i="32" s="1"/>
  <c r="K29" i="32" s="1"/>
  <c r="K30" i="32" s="1"/>
  <c r="K31" i="32" s="1"/>
  <c r="K32" i="32" s="1"/>
  <c r="K33" i="32" s="1"/>
  <c r="K34" i="32" s="1"/>
  <c r="K35" i="32" s="1"/>
  <c r="K36" i="32" s="1"/>
  <c r="K37" i="32" s="1"/>
  <c r="K38" i="32" s="1"/>
  <c r="K39" i="32" s="1"/>
  <c r="K40" i="32" s="1"/>
  <c r="K41" i="32" s="1"/>
  <c r="K42" i="32" s="1"/>
  <c r="K43" i="32" s="1"/>
  <c r="K44" i="32" s="1"/>
  <c r="K45" i="32" s="1"/>
  <c r="K46" i="32" s="1"/>
  <c r="I24" i="33"/>
  <c r="I22" i="33"/>
  <c r="I20" i="33"/>
  <c r="A13" i="33"/>
  <c r="A14" i="33" s="1"/>
  <c r="A15" i="33" s="1"/>
  <c r="A16" i="33" s="1"/>
  <c r="L12" i="33"/>
  <c r="L13" i="33" s="1"/>
  <c r="L14" i="33" s="1"/>
  <c r="L15" i="33" s="1"/>
  <c r="L16" i="33" s="1"/>
  <c r="L17" i="33" s="1"/>
  <c r="L18" i="33" s="1"/>
  <c r="L19" i="33" s="1"/>
  <c r="L20" i="33" s="1"/>
  <c r="L21" i="33" s="1"/>
  <c r="L22" i="33" s="1"/>
  <c r="L23" i="33" s="1"/>
  <c r="L24" i="33" s="1"/>
  <c r="I11" i="36" l="1"/>
  <c r="E17" i="36"/>
  <c r="I16" i="38"/>
  <c r="I32" i="38"/>
  <c r="I21" i="37"/>
  <c r="I26" i="37"/>
  <c r="I37" i="38"/>
  <c r="I21" i="38"/>
  <c r="I42" i="38"/>
  <c r="A16" i="38"/>
  <c r="A17" i="38" s="1"/>
  <c r="A18" i="38" s="1"/>
  <c r="A19" i="38" s="1"/>
  <c r="K16" i="38"/>
  <c r="I16" i="37"/>
  <c r="I42" i="37"/>
  <c r="A16" i="37"/>
  <c r="A17" i="37" s="1"/>
  <c r="A18" i="37" s="1"/>
  <c r="A19" i="37" s="1"/>
  <c r="K16" i="37"/>
  <c r="G17" i="36"/>
  <c r="I15" i="36"/>
  <c r="I17" i="36" s="1"/>
  <c r="A16" i="36"/>
  <c r="A17" i="36" s="1"/>
  <c r="A18" i="36" s="1"/>
  <c r="A19" i="36" s="1"/>
  <c r="A20" i="36" s="1"/>
  <c r="A21" i="36" s="1"/>
  <c r="A22" i="36" s="1"/>
  <c r="A23" i="36" s="1"/>
  <c r="K17" i="36"/>
  <c r="G18" i="34"/>
  <c r="E15" i="35" s="1"/>
  <c r="E18" i="35"/>
  <c r="E22" i="35" s="1"/>
  <c r="H18" i="34"/>
  <c r="A18" i="34"/>
  <c r="A19" i="34" s="1"/>
  <c r="A20" i="34" s="1"/>
  <c r="A21" i="34" s="1"/>
  <c r="A13" i="35"/>
  <c r="A14" i="35" s="1"/>
  <c r="A15" i="35" s="1"/>
  <c r="I17" i="31"/>
  <c r="I33" i="31"/>
  <c r="I38" i="32"/>
  <c r="I22" i="32"/>
  <c r="E14" i="33" s="1"/>
  <c r="J17" i="31"/>
  <c r="A17" i="31"/>
  <c r="A18" i="31" s="1"/>
  <c r="A19" i="31" s="1"/>
  <c r="A20" i="31" s="1"/>
  <c r="I43" i="32"/>
  <c r="E16" i="33" s="1"/>
  <c r="I16" i="33" s="1"/>
  <c r="I33" i="32"/>
  <c r="E12" i="33" s="1"/>
  <c r="A21" i="32"/>
  <c r="A22" i="32" s="1"/>
  <c r="A23" i="32" s="1"/>
  <c r="A24" i="32" s="1"/>
  <c r="A25" i="32" s="1"/>
  <c r="J17" i="32"/>
  <c r="K18" i="33"/>
  <c r="A17" i="33"/>
  <c r="A18" i="33" s="1"/>
  <c r="A19" i="33" s="1"/>
  <c r="A20" i="33" s="1"/>
  <c r="A21" i="33" s="1"/>
  <c r="A22" i="33" s="1"/>
  <c r="A23" i="33" s="1"/>
  <c r="A24" i="33" s="1"/>
  <c r="I14" i="33"/>
  <c r="A20" i="38" l="1"/>
  <c r="A21" i="38" s="1"/>
  <c r="A22" i="38" s="1"/>
  <c r="A23" i="38" s="1"/>
  <c r="A24" i="38" s="1"/>
  <c r="K21" i="38"/>
  <c r="A20" i="37"/>
  <c r="A21" i="37" s="1"/>
  <c r="A22" i="37" s="1"/>
  <c r="A23" i="37" s="1"/>
  <c r="A24" i="37" s="1"/>
  <c r="H23" i="34"/>
  <c r="A22" i="34"/>
  <c r="A23" i="34" s="1"/>
  <c r="A24" i="34" s="1"/>
  <c r="A25" i="34" s="1"/>
  <c r="A26" i="34" s="1"/>
  <c r="A16" i="35"/>
  <c r="A17" i="35" s="1"/>
  <c r="A18" i="35" s="1"/>
  <c r="G12" i="33"/>
  <c r="G18" i="33" s="1"/>
  <c r="I12" i="33"/>
  <c r="I18" i="33" s="1"/>
  <c r="E18" i="33"/>
  <c r="J22" i="32"/>
  <c r="A21" i="31"/>
  <c r="A22" i="31" s="1"/>
  <c r="A23" i="31" s="1"/>
  <c r="A24" i="31" s="1"/>
  <c r="A25" i="31" s="1"/>
  <c r="J22" i="31"/>
  <c r="A26" i="32"/>
  <c r="A27" i="32" s="1"/>
  <c r="A28" i="32" s="1"/>
  <c r="A29" i="32" s="1"/>
  <c r="A30" i="32" s="1"/>
  <c r="A31" i="32" s="1"/>
  <c r="A25" i="38" l="1"/>
  <c r="A26" i="38" s="1"/>
  <c r="A27" i="38" s="1"/>
  <c r="A28" i="38" s="1"/>
  <c r="A29" i="38" s="1"/>
  <c r="A30" i="38" s="1"/>
  <c r="A25" i="37"/>
  <c r="A26" i="37" s="1"/>
  <c r="A27" i="37" s="1"/>
  <c r="A28" i="37" s="1"/>
  <c r="A29" i="37" s="1"/>
  <c r="A30" i="37" s="1"/>
  <c r="K26" i="37"/>
  <c r="K21" i="37"/>
  <c r="A27" i="34"/>
  <c r="A28" i="34" s="1"/>
  <c r="A29" i="34" s="1"/>
  <c r="A30" i="34" s="1"/>
  <c r="A31" i="34" s="1"/>
  <c r="A32" i="34" s="1"/>
  <c r="A19" i="35"/>
  <c r="A20" i="35" s="1"/>
  <c r="A21" i="35" s="1"/>
  <c r="A22" i="35" s="1"/>
  <c r="G22" i="35"/>
  <c r="G18" i="35"/>
  <c r="J27" i="32"/>
  <c r="A26" i="31"/>
  <c r="A27" i="31" s="1"/>
  <c r="A28" i="31" s="1"/>
  <c r="A29" i="31" s="1"/>
  <c r="A30" i="31" s="1"/>
  <c r="A31" i="31" s="1"/>
  <c r="A32" i="32"/>
  <c r="A33" i="32" s="1"/>
  <c r="A34" i="32" s="1"/>
  <c r="A35" i="32" s="1"/>
  <c r="A36" i="32" s="1"/>
  <c r="A31" i="38" l="1"/>
  <c r="A32" i="38" s="1"/>
  <c r="A33" i="38" s="1"/>
  <c r="A34" i="38" s="1"/>
  <c r="A35" i="38" s="1"/>
  <c r="K32" i="38"/>
  <c r="K26" i="38"/>
  <c r="A31" i="37"/>
  <c r="A32" i="37" s="1"/>
  <c r="A33" i="37" s="1"/>
  <c r="A34" i="37" s="1"/>
  <c r="A35" i="37" s="1"/>
  <c r="K32" i="37"/>
  <c r="A33" i="34"/>
  <c r="A34" i="34" s="1"/>
  <c r="A35" i="34" s="1"/>
  <c r="A36" i="34" s="1"/>
  <c r="A37" i="34" s="1"/>
  <c r="H28" i="34"/>
  <c r="J33" i="32"/>
  <c r="A32" i="31"/>
  <c r="A33" i="31" s="1"/>
  <c r="A34" i="31" s="1"/>
  <c r="A35" i="31" s="1"/>
  <c r="A36" i="31" s="1"/>
  <c r="J27" i="31"/>
  <c r="A37" i="32"/>
  <c r="A38" i="32" s="1"/>
  <c r="A39" i="32" s="1"/>
  <c r="A40" i="32" s="1"/>
  <c r="A41" i="32" s="1"/>
  <c r="A36" i="38" l="1"/>
  <c r="A37" i="38" s="1"/>
  <c r="A38" i="38" s="1"/>
  <c r="A39" i="38" s="1"/>
  <c r="A40" i="38" s="1"/>
  <c r="K37" i="38"/>
  <c r="A36" i="37"/>
  <c r="A37" i="37" s="1"/>
  <c r="A38" i="37" s="1"/>
  <c r="A39" i="37" s="1"/>
  <c r="A40" i="37" s="1"/>
  <c r="K37" i="37"/>
  <c r="A38" i="34"/>
  <c r="A39" i="34" s="1"/>
  <c r="A40" i="34" s="1"/>
  <c r="A41" i="34" s="1"/>
  <c r="A42" i="34" s="1"/>
  <c r="H34" i="34"/>
  <c r="A37" i="31"/>
  <c r="A38" i="31" s="1"/>
  <c r="A39" i="31" s="1"/>
  <c r="A40" i="31" s="1"/>
  <c r="A41" i="31" s="1"/>
  <c r="J38" i="31"/>
  <c r="J33" i="31"/>
  <c r="A42" i="32"/>
  <c r="A43" i="32" s="1"/>
  <c r="A44" i="32" s="1"/>
  <c r="A45" i="32" s="1"/>
  <c r="A46" i="32" s="1"/>
  <c r="J38" i="32"/>
  <c r="A41" i="38" l="1"/>
  <c r="A42" i="38" s="1"/>
  <c r="A43" i="38" s="1"/>
  <c r="A44" i="38" s="1"/>
  <c r="A45" i="38" s="1"/>
  <c r="K42" i="38"/>
  <c r="A41" i="37"/>
  <c r="A42" i="37" s="1"/>
  <c r="A43" i="37" s="1"/>
  <c r="A44" i="37" s="1"/>
  <c r="A45" i="37" s="1"/>
  <c r="K42" i="37"/>
  <c r="A43" i="34"/>
  <c r="A44" i="34" s="1"/>
  <c r="H39" i="34"/>
  <c r="A42" i="31"/>
  <c r="A43" i="31" s="1"/>
  <c r="A44" i="31" s="1"/>
  <c r="A45" i="31" s="1"/>
  <c r="A46" i="31" s="1"/>
  <c r="J43" i="31"/>
  <c r="J43" i="32"/>
  <c r="H44" i="34" l="1"/>
  <c r="L17" i="18" l="1"/>
  <c r="A17" i="18"/>
  <c r="G69" i="19" l="1"/>
  <c r="G67" i="19"/>
  <c r="G59" i="19"/>
  <c r="G57" i="19"/>
  <c r="G44" i="19"/>
  <c r="G20" i="12"/>
  <c r="G30" i="12"/>
  <c r="G29" i="12"/>
  <c r="G28" i="12"/>
  <c r="G27" i="12"/>
  <c r="G26" i="12"/>
  <c r="G25" i="12"/>
  <c r="G24" i="12"/>
  <c r="G23" i="12"/>
  <c r="G22" i="12"/>
  <c r="G21" i="12"/>
  <c r="F30" i="12"/>
  <c r="F29" i="12"/>
  <c r="F28" i="12"/>
  <c r="F27" i="12"/>
  <c r="F26" i="12"/>
  <c r="F25" i="12"/>
  <c r="F24" i="12"/>
  <c r="F23" i="12"/>
  <c r="F22" i="12"/>
  <c r="F21" i="12"/>
  <c r="F20" i="12"/>
  <c r="E30" i="12"/>
  <c r="E29" i="12"/>
  <c r="E28" i="12"/>
  <c r="E27" i="12"/>
  <c r="E26" i="12"/>
  <c r="E25" i="12"/>
  <c r="E24" i="12"/>
  <c r="E23" i="12"/>
  <c r="E22" i="12"/>
  <c r="E21" i="12"/>
  <c r="E20" i="12"/>
  <c r="E42" i="19"/>
  <c r="E41" i="19"/>
  <c r="E40" i="19"/>
  <c r="E39" i="19"/>
  <c r="E38" i="19"/>
  <c r="E36" i="19"/>
  <c r="E35" i="19"/>
  <c r="E34" i="19"/>
  <c r="G50" i="19"/>
  <c r="G49" i="19"/>
  <c r="G48" i="19"/>
  <c r="G46" i="19"/>
  <c r="G27" i="19"/>
  <c r="D64" i="18"/>
  <c r="E65" i="18" s="1"/>
  <c r="E24" i="18" s="1"/>
  <c r="F24" i="18" s="1"/>
  <c r="J24" i="18" s="1"/>
  <c r="D61" i="18"/>
  <c r="E32" i="19" s="1"/>
  <c r="E59" i="18"/>
  <c r="E19" i="18" s="1"/>
  <c r="F19" i="18" s="1"/>
  <c r="J19" i="18" s="1"/>
  <c r="E52" i="18"/>
  <c r="E17" i="18" s="1"/>
  <c r="F17" i="18" s="1"/>
  <c r="J17" i="18" s="1"/>
  <c r="E49" i="18"/>
  <c r="E16" i="18" s="1"/>
  <c r="F16" i="18" s="1"/>
  <c r="J16" i="18" s="1"/>
  <c r="E46" i="18"/>
  <c r="E14" i="18" s="1"/>
  <c r="F14" i="18" s="1"/>
  <c r="J14" i="18" s="1"/>
  <c r="E39" i="18"/>
  <c r="E12" i="18" s="1"/>
  <c r="F12" i="18" s="1"/>
  <c r="J12" i="18" s="1"/>
  <c r="E36" i="18"/>
  <c r="F28" i="18"/>
  <c r="J28" i="18" s="1"/>
  <c r="D26" i="18"/>
  <c r="D30" i="18" s="1"/>
  <c r="E30" i="19" s="1"/>
  <c r="F23" i="18"/>
  <c r="J23" i="18" s="1"/>
  <c r="E21" i="18"/>
  <c r="F21" i="18" s="1"/>
  <c r="J21" i="18" s="1"/>
  <c r="F20" i="18"/>
  <c r="J20" i="18" s="1"/>
  <c r="E18" i="18"/>
  <c r="F18" i="18" s="1"/>
  <c r="J18" i="18" s="1"/>
  <c r="F15" i="18"/>
  <c r="J15" i="18" s="1"/>
  <c r="E13" i="18"/>
  <c r="F13" i="18" s="1"/>
  <c r="J13" i="18" s="1"/>
  <c r="A12" i="18"/>
  <c r="A13" i="18" s="1"/>
  <c r="A14" i="18" s="1"/>
  <c r="A15" i="18" s="1"/>
  <c r="A16" i="18" s="1"/>
  <c r="A18" i="18" s="1"/>
  <c r="A19" i="18" s="1"/>
  <c r="A20" i="18" s="1"/>
  <c r="A21" i="18" s="1"/>
  <c r="A22" i="18" s="1"/>
  <c r="A23" i="18" s="1"/>
  <c r="A24" i="18" s="1"/>
  <c r="L11" i="18"/>
  <c r="L12" i="18" s="1"/>
  <c r="L13" i="18" s="1"/>
  <c r="L14" i="18" s="1"/>
  <c r="L15" i="18" s="1"/>
  <c r="L16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L68" i="18" s="1"/>
  <c r="L69" i="18" s="1"/>
  <c r="L70" i="18" s="1"/>
  <c r="L71" i="18" s="1"/>
  <c r="L72" i="18" s="1"/>
  <c r="E11" i="18"/>
  <c r="F11" i="18" s="1"/>
  <c r="A27" i="19"/>
  <c r="H27" i="19"/>
  <c r="F85" i="30"/>
  <c r="E85" i="30"/>
  <c r="C85" i="30"/>
  <c r="F84" i="30"/>
  <c r="F83" i="30"/>
  <c r="F82" i="30"/>
  <c r="F81" i="30"/>
  <c r="F80" i="30"/>
  <c r="E80" i="30"/>
  <c r="F79" i="30"/>
  <c r="E79" i="30"/>
  <c r="F78" i="30"/>
  <c r="E78" i="30"/>
  <c r="F77" i="30"/>
  <c r="E77" i="30"/>
  <c r="F76" i="30"/>
  <c r="E76" i="30"/>
  <c r="F75" i="30"/>
  <c r="F74" i="30"/>
  <c r="F73" i="30"/>
  <c r="E73" i="30"/>
  <c r="F72" i="30"/>
  <c r="C79" i="30"/>
  <c r="C16" i="30" s="1"/>
  <c r="F71" i="30"/>
  <c r="F70" i="30"/>
  <c r="F69" i="30"/>
  <c r="C73" i="30"/>
  <c r="F68" i="30"/>
  <c r="F67" i="30"/>
  <c r="F66" i="30"/>
  <c r="E66" i="30"/>
  <c r="F65" i="30"/>
  <c r="F64" i="30"/>
  <c r="C78" i="30"/>
  <c r="C15" i="30" s="1"/>
  <c r="F63" i="30"/>
  <c r="C77" i="30"/>
  <c r="C14" i="30" s="1"/>
  <c r="F62" i="30"/>
  <c r="C76" i="30"/>
  <c r="F61" i="30"/>
  <c r="B53" i="30"/>
  <c r="B52" i="30"/>
  <c r="C47" i="30"/>
  <c r="C42" i="30"/>
  <c r="C33" i="30"/>
  <c r="C27" i="30"/>
  <c r="C22" i="30"/>
  <c r="E16" i="30"/>
  <c r="E15" i="30"/>
  <c r="E14" i="30"/>
  <c r="A14" i="30"/>
  <c r="A15" i="30" s="1"/>
  <c r="A16" i="30" s="1"/>
  <c r="E13" i="30"/>
  <c r="A13" i="30"/>
  <c r="F12" i="30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36" i="30" s="1"/>
  <c r="F37" i="30" s="1"/>
  <c r="F38" i="30" s="1"/>
  <c r="F39" i="30" s="1"/>
  <c r="F40" i="30" s="1"/>
  <c r="F41" i="30" s="1"/>
  <c r="F42" i="30" s="1"/>
  <c r="F43" i="30" s="1"/>
  <c r="F44" i="30" s="1"/>
  <c r="F45" i="30" s="1"/>
  <c r="F46" i="30" s="1"/>
  <c r="F47" i="30" s="1"/>
  <c r="F48" i="30" s="1"/>
  <c r="F49" i="30" s="1"/>
  <c r="B54" i="30"/>
  <c r="G147" i="29"/>
  <c r="B147" i="29"/>
  <c r="B146" i="29"/>
  <c r="G145" i="29"/>
  <c r="G144" i="29"/>
  <c r="B144" i="29"/>
  <c r="B143" i="29"/>
  <c r="G135" i="29"/>
  <c r="B135" i="29"/>
  <c r="B132" i="29"/>
  <c r="B131" i="29"/>
  <c r="J127" i="29"/>
  <c r="J128" i="29" s="1"/>
  <c r="J129" i="29" s="1"/>
  <c r="J130" i="29" s="1"/>
  <c r="J131" i="29" s="1"/>
  <c r="J132" i="29" s="1"/>
  <c r="J133" i="29" s="1"/>
  <c r="J134" i="29" s="1"/>
  <c r="J135" i="29" s="1"/>
  <c r="J136" i="29" s="1"/>
  <c r="J137" i="29" s="1"/>
  <c r="J138" i="29" s="1"/>
  <c r="J139" i="29" s="1"/>
  <c r="J140" i="29" s="1"/>
  <c r="J141" i="29" s="1"/>
  <c r="J142" i="29" s="1"/>
  <c r="J143" i="29" s="1"/>
  <c r="J144" i="29" s="1"/>
  <c r="J145" i="29" s="1"/>
  <c r="J146" i="29" s="1"/>
  <c r="J147" i="29" s="1"/>
  <c r="J148" i="29" s="1"/>
  <c r="J149" i="29" s="1"/>
  <c r="J150" i="29" s="1"/>
  <c r="J151" i="29" s="1"/>
  <c r="J152" i="29" s="1"/>
  <c r="J153" i="29" s="1"/>
  <c r="J154" i="29" s="1"/>
  <c r="J155" i="29" s="1"/>
  <c r="J156" i="29" s="1"/>
  <c r="A127" i="29"/>
  <c r="A128" i="29" s="1"/>
  <c r="A129" i="29" s="1"/>
  <c r="A130" i="29" s="1"/>
  <c r="A131" i="29" s="1"/>
  <c r="G100" i="29"/>
  <c r="G99" i="29"/>
  <c r="J82" i="29"/>
  <c r="J83" i="29" s="1"/>
  <c r="J84" i="29" s="1"/>
  <c r="J85" i="29" s="1"/>
  <c r="J86" i="29" s="1"/>
  <c r="J87" i="29" s="1"/>
  <c r="J88" i="29" s="1"/>
  <c r="J89" i="29" s="1"/>
  <c r="J90" i="29" s="1"/>
  <c r="J91" i="29" s="1"/>
  <c r="J92" i="29" s="1"/>
  <c r="J93" i="29" s="1"/>
  <c r="J94" i="29" s="1"/>
  <c r="J95" i="29" s="1"/>
  <c r="J96" i="29" s="1"/>
  <c r="J97" i="29" s="1"/>
  <c r="J98" i="29" s="1"/>
  <c r="J99" i="29" s="1"/>
  <c r="J100" i="29" s="1"/>
  <c r="J101" i="29" s="1"/>
  <c r="J102" i="29" s="1"/>
  <c r="J103" i="29" s="1"/>
  <c r="J104" i="29" s="1"/>
  <c r="J105" i="29" s="1"/>
  <c r="J106" i="29" s="1"/>
  <c r="J107" i="29" s="1"/>
  <c r="J108" i="29" s="1"/>
  <c r="J109" i="29" s="1"/>
  <c r="J110" i="29" s="1"/>
  <c r="J111" i="29" s="1"/>
  <c r="A82" i="29"/>
  <c r="A83" i="29" s="1"/>
  <c r="A84" i="29" s="1"/>
  <c r="A85" i="29" s="1"/>
  <c r="A86" i="29" s="1"/>
  <c r="D64" i="29"/>
  <c r="C64" i="29"/>
  <c r="G63" i="29"/>
  <c r="G62" i="29"/>
  <c r="G66" i="29" s="1"/>
  <c r="G131" i="29" s="1"/>
  <c r="G61" i="29"/>
  <c r="E50" i="29"/>
  <c r="C49" i="29"/>
  <c r="G40" i="29"/>
  <c r="C50" i="29" s="1"/>
  <c r="G33" i="29"/>
  <c r="E49" i="29" s="1"/>
  <c r="G26" i="29"/>
  <c r="G18" i="29"/>
  <c r="C48" i="29" s="1"/>
  <c r="A13" i="29"/>
  <c r="A14" i="29" s="1"/>
  <c r="A15" i="29" s="1"/>
  <c r="A16" i="29" s="1"/>
  <c r="A17" i="29" s="1"/>
  <c r="A18" i="29" s="1"/>
  <c r="A19" i="29" s="1"/>
  <c r="A20" i="29" s="1"/>
  <c r="A21" i="29" s="1"/>
  <c r="J12" i="29"/>
  <c r="J13" i="29" s="1"/>
  <c r="J14" i="29" s="1"/>
  <c r="J15" i="29" s="1"/>
  <c r="J16" i="29" s="1"/>
  <c r="J17" i="29" s="1"/>
  <c r="J18" i="29" s="1"/>
  <c r="J19" i="29" s="1"/>
  <c r="J20" i="29" s="1"/>
  <c r="J21" i="29" s="1"/>
  <c r="J22" i="29" s="1"/>
  <c r="J23" i="29" s="1"/>
  <c r="J24" i="29" s="1"/>
  <c r="J25" i="29" s="1"/>
  <c r="J26" i="29" s="1"/>
  <c r="J27" i="29" s="1"/>
  <c r="J28" i="29" s="1"/>
  <c r="J29" i="29" s="1"/>
  <c r="J30" i="29" s="1"/>
  <c r="J31" i="29" s="1"/>
  <c r="J32" i="29" s="1"/>
  <c r="J33" i="29" s="1"/>
  <c r="J34" i="29" s="1"/>
  <c r="J35" i="29" s="1"/>
  <c r="J36" i="29" s="1"/>
  <c r="J37" i="29" s="1"/>
  <c r="J38" i="29" s="1"/>
  <c r="J39" i="29" s="1"/>
  <c r="J40" i="29" s="1"/>
  <c r="J41" i="29" s="1"/>
  <c r="J42" i="29" s="1"/>
  <c r="J43" i="29" s="1"/>
  <c r="J44" i="29" s="1"/>
  <c r="J45" i="29" s="1"/>
  <c r="J46" i="29" s="1"/>
  <c r="J47" i="29" s="1"/>
  <c r="J48" i="29" s="1"/>
  <c r="J49" i="29" s="1"/>
  <c r="J50" i="29" s="1"/>
  <c r="J51" i="29" s="1"/>
  <c r="J52" i="29" s="1"/>
  <c r="J53" i="29" s="1"/>
  <c r="J54" i="29" s="1"/>
  <c r="J55" i="29" s="1"/>
  <c r="J56" i="29" s="1"/>
  <c r="J57" i="29" s="1"/>
  <c r="J58" i="29" s="1"/>
  <c r="J59" i="29" s="1"/>
  <c r="J60" i="29" s="1"/>
  <c r="J61" i="29" s="1"/>
  <c r="J62" i="29" s="1"/>
  <c r="J63" i="29" s="1"/>
  <c r="J64" i="29" s="1"/>
  <c r="J65" i="29" s="1"/>
  <c r="J66" i="29" s="1"/>
  <c r="B120" i="29"/>
  <c r="F29" i="28"/>
  <c r="G28" i="28"/>
  <c r="F25" i="28"/>
  <c r="G21" i="28"/>
  <c r="F21" i="28"/>
  <c r="F31" i="28"/>
  <c r="E31" i="28"/>
  <c r="M13" i="28"/>
  <c r="L13" i="28"/>
  <c r="K13" i="28"/>
  <c r="I13" i="28"/>
  <c r="H13" i="28"/>
  <c r="N12" i="28"/>
  <c r="N13" i="28" s="1"/>
  <c r="N14" i="28" s="1"/>
  <c r="N15" i="28" s="1"/>
  <c r="N16" i="28" s="1"/>
  <c r="N17" i="28" s="1"/>
  <c r="N18" i="28" s="1"/>
  <c r="N19" i="28" s="1"/>
  <c r="N20" i="28" s="1"/>
  <c r="N21" i="28" s="1"/>
  <c r="N22" i="28" s="1"/>
  <c r="N23" i="28" s="1"/>
  <c r="N24" i="28" s="1"/>
  <c r="N25" i="28" s="1"/>
  <c r="N26" i="28" s="1"/>
  <c r="N27" i="28" s="1"/>
  <c r="N28" i="28" s="1"/>
  <c r="N29" i="28" s="1"/>
  <c r="N30" i="28" s="1"/>
  <c r="N31" i="28" s="1"/>
  <c r="N32" i="28" s="1"/>
  <c r="A12" i="28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F13" i="28" s="1"/>
  <c r="C20" i="28"/>
  <c r="C31" i="28" s="1"/>
  <c r="E90" i="27"/>
  <c r="E88" i="27"/>
  <c r="E75" i="27"/>
  <c r="E79" i="27" s="1"/>
  <c r="A49" i="27"/>
  <c r="A50" i="27" s="1"/>
  <c r="A51" i="27" s="1"/>
  <c r="H48" i="27"/>
  <c r="H49" i="27" s="1"/>
  <c r="H50" i="27" s="1"/>
  <c r="H51" i="27" s="1"/>
  <c r="H52" i="27" s="1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B43" i="27"/>
  <c r="B41" i="27"/>
  <c r="A13" i="27"/>
  <c r="H12" i="27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B42" i="27"/>
  <c r="B40" i="27"/>
  <c r="B39" i="27"/>
  <c r="G28" i="29" l="1"/>
  <c r="E48" i="29" s="1"/>
  <c r="G64" i="29"/>
  <c r="G154" i="29" s="1"/>
  <c r="A52" i="27"/>
  <c r="A53" i="27" s="1"/>
  <c r="G53" i="27"/>
  <c r="E33" i="19"/>
  <c r="L73" i="18"/>
  <c r="L74" i="18" s="1"/>
  <c r="L75" i="18" s="1"/>
  <c r="L76" i="18" s="1"/>
  <c r="L77" i="18" s="1"/>
  <c r="L78" i="18" s="1"/>
  <c r="L79" i="18" s="1"/>
  <c r="L80" i="18" s="1"/>
  <c r="L81" i="18" s="1"/>
  <c r="L82" i="18" s="1"/>
  <c r="H26" i="18"/>
  <c r="H30" i="18" s="1"/>
  <c r="E45" i="19"/>
  <c r="E63" i="18"/>
  <c r="E22" i="18" s="1"/>
  <c r="F22" i="18" s="1"/>
  <c r="J22" i="18" s="1"/>
  <c r="E92" i="27"/>
  <c r="E96" i="27" s="1"/>
  <c r="E58" i="27"/>
  <c r="E15" i="27" s="1"/>
  <c r="E53" i="27"/>
  <c r="E13" i="27" s="1"/>
  <c r="E98" i="27"/>
  <c r="E23" i="27" s="1"/>
  <c r="K26" i="18"/>
  <c r="A25" i="18"/>
  <c r="A26" i="18" s="1"/>
  <c r="F26" i="18"/>
  <c r="F30" i="18" s="1"/>
  <c r="J11" i="18"/>
  <c r="J26" i="18" s="1"/>
  <c r="J30" i="18" s="1"/>
  <c r="E67" i="18"/>
  <c r="E26" i="18"/>
  <c r="E30" i="18" s="1"/>
  <c r="E17" i="30"/>
  <c r="A17" i="30"/>
  <c r="C80" i="30"/>
  <c r="E48" i="27" s="1"/>
  <c r="E81" i="27" s="1"/>
  <c r="E21" i="27" s="1"/>
  <c r="C13" i="30"/>
  <c r="C17" i="30" s="1"/>
  <c r="C37" i="30" s="1"/>
  <c r="C66" i="30"/>
  <c r="C51" i="29"/>
  <c r="D48" i="29" s="1"/>
  <c r="D49" i="29"/>
  <c r="G49" i="29" s="1"/>
  <c r="A87" i="29"/>
  <c r="A88" i="29" s="1"/>
  <c r="I98" i="29"/>
  <c r="G137" i="29"/>
  <c r="G146" i="29" s="1"/>
  <c r="G143" i="29"/>
  <c r="I143" i="29"/>
  <c r="A132" i="29"/>
  <c r="A133" i="29" s="1"/>
  <c r="A22" i="29"/>
  <c r="A23" i="29" s="1"/>
  <c r="A24" i="29" s="1"/>
  <c r="A25" i="29" s="1"/>
  <c r="A26" i="29" s="1"/>
  <c r="B75" i="29"/>
  <c r="I18" i="29"/>
  <c r="F24" i="28"/>
  <c r="D23" i="28"/>
  <c r="G23" i="28"/>
  <c r="G32" i="28" s="1"/>
  <c r="C26" i="28"/>
  <c r="G27" i="28"/>
  <c r="C30" i="28"/>
  <c r="G31" i="28"/>
  <c r="H31" i="28" s="1"/>
  <c r="D22" i="28"/>
  <c r="D26" i="28"/>
  <c r="D30" i="28"/>
  <c r="E22" i="28"/>
  <c r="E26" i="28"/>
  <c r="E30" i="28"/>
  <c r="C28" i="28"/>
  <c r="E24" i="28"/>
  <c r="G29" i="28"/>
  <c r="E28" i="28"/>
  <c r="C22" i="28"/>
  <c r="C21" i="28"/>
  <c r="C25" i="28"/>
  <c r="G26" i="28"/>
  <c r="G30" i="28"/>
  <c r="D21" i="28"/>
  <c r="D25" i="28"/>
  <c r="D29" i="28"/>
  <c r="H20" i="28"/>
  <c r="D27" i="28"/>
  <c r="F22" i="28"/>
  <c r="F26" i="28"/>
  <c r="F30" i="28"/>
  <c r="G22" i="28"/>
  <c r="C29" i="28"/>
  <c r="E21" i="28"/>
  <c r="H21" i="28" s="1"/>
  <c r="E25" i="28"/>
  <c r="H25" i="28" s="1"/>
  <c r="E29" i="28"/>
  <c r="D24" i="28"/>
  <c r="D28" i="28"/>
  <c r="C24" i="28"/>
  <c r="C23" i="28"/>
  <c r="G24" i="28"/>
  <c r="C27" i="28"/>
  <c r="F28" i="28"/>
  <c r="D31" i="28"/>
  <c r="E23" i="28"/>
  <c r="E27" i="28"/>
  <c r="F23" i="28"/>
  <c r="F27" i="28"/>
  <c r="A54" i="27"/>
  <c r="A55" i="27" s="1"/>
  <c r="A56" i="27" s="1"/>
  <c r="G13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D50" i="29" l="1"/>
  <c r="G50" i="29" s="1"/>
  <c r="G149" i="29"/>
  <c r="G152" i="29" s="1"/>
  <c r="G156" i="29" s="1"/>
  <c r="I26" i="29"/>
  <c r="H30" i="28"/>
  <c r="H29" i="28"/>
  <c r="E63" i="27"/>
  <c r="E17" i="27" s="1"/>
  <c r="E68" i="27"/>
  <c r="E19" i="27" s="1"/>
  <c r="F32" i="28"/>
  <c r="H23" i="28"/>
  <c r="I23" i="28" s="1"/>
  <c r="H27" i="28"/>
  <c r="I27" i="28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18" i="30"/>
  <c r="A19" i="30" s="1"/>
  <c r="A20" i="30" s="1"/>
  <c r="A27" i="29"/>
  <c r="A28" i="29" s="1"/>
  <c r="I28" i="29"/>
  <c r="A134" i="29"/>
  <c r="I144" i="29"/>
  <c r="A89" i="29"/>
  <c r="I99" i="29"/>
  <c r="G53" i="29"/>
  <c r="G86" i="29" s="1"/>
  <c r="D51" i="29"/>
  <c r="G48" i="29"/>
  <c r="G51" i="29" s="1"/>
  <c r="G109" i="29" s="1"/>
  <c r="I31" i="28"/>
  <c r="I30" i="28"/>
  <c r="H22" i="28"/>
  <c r="I22" i="28" s="1"/>
  <c r="I25" i="28"/>
  <c r="H26" i="28"/>
  <c r="I26" i="28" s="1"/>
  <c r="I29" i="28"/>
  <c r="D32" i="28"/>
  <c r="I21" i="28"/>
  <c r="E32" i="28"/>
  <c r="H28" i="28"/>
  <c r="I28" i="28" s="1"/>
  <c r="H24" i="28"/>
  <c r="I20" i="28"/>
  <c r="G58" i="27"/>
  <c r="A57" i="27"/>
  <c r="A58" i="27" s="1"/>
  <c r="G25" i="27"/>
  <c r="G27" i="27"/>
  <c r="A26" i="27"/>
  <c r="A27" i="27" s="1"/>
  <c r="A28" i="27" s="1"/>
  <c r="A29" i="27" s="1"/>
  <c r="A69" i="18" l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E25" i="27"/>
  <c r="E27" i="27" s="1"/>
  <c r="E29" i="27" s="1"/>
  <c r="E34" i="27" s="1"/>
  <c r="E36" i="27" s="1"/>
  <c r="H32" i="28"/>
  <c r="K30" i="18"/>
  <c r="A21" i="30"/>
  <c r="A22" i="30" s="1"/>
  <c r="G98" i="29"/>
  <c r="G92" i="29"/>
  <c r="G101" i="29" s="1"/>
  <c r="I100" i="29"/>
  <c r="A90" i="29"/>
  <c r="I145" i="29"/>
  <c r="A135" i="29"/>
  <c r="A136" i="29" s="1"/>
  <c r="A137" i="29" s="1"/>
  <c r="A29" i="29"/>
  <c r="A30" i="29" s="1"/>
  <c r="A31" i="29" s="1"/>
  <c r="I48" i="29"/>
  <c r="I24" i="28"/>
  <c r="I32" i="28" s="1"/>
  <c r="K20" i="28"/>
  <c r="L20" i="28"/>
  <c r="G34" i="27"/>
  <c r="A30" i="27"/>
  <c r="A31" i="27" s="1"/>
  <c r="A32" i="27" s="1"/>
  <c r="G29" i="27"/>
  <c r="G15" i="27"/>
  <c r="A59" i="27"/>
  <c r="A60" i="27" s="1"/>
  <c r="A61" i="27" s="1"/>
  <c r="M20" i="28" l="1"/>
  <c r="K21" i="28" s="1"/>
  <c r="L21" i="28" s="1"/>
  <c r="G104" i="29"/>
  <c r="G107" i="29" s="1"/>
  <c r="G111" i="29" s="1"/>
  <c r="G17" i="42" s="1"/>
  <c r="G19" i="42" s="1"/>
  <c r="G43" i="42" s="1"/>
  <c r="A23" i="30"/>
  <c r="A24" i="30" s="1"/>
  <c r="A25" i="30" s="1"/>
  <c r="E22" i="30"/>
  <c r="A32" i="29"/>
  <c r="I37" i="29"/>
  <c r="I135" i="29"/>
  <c r="A91" i="29"/>
  <c r="A92" i="29" s="1"/>
  <c r="A138" i="29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I146" i="29"/>
  <c r="G63" i="27"/>
  <c r="A62" i="27"/>
  <c r="A63" i="27" s="1"/>
  <c r="A33" i="27"/>
  <c r="A34" i="27" s="1"/>
  <c r="A35" i="27" s="1"/>
  <c r="A36" i="27" s="1"/>
  <c r="G36" i="27" l="1"/>
  <c r="A26" i="30"/>
  <c r="A27" i="30" s="1"/>
  <c r="A153" i="29"/>
  <c r="A154" i="29" s="1"/>
  <c r="A155" i="29" s="1"/>
  <c r="A156" i="29" s="1"/>
  <c r="I152" i="29"/>
  <c r="I101" i="29"/>
  <c r="A93" i="29"/>
  <c r="A94" i="29" s="1"/>
  <c r="A95" i="29" s="1"/>
  <c r="A96" i="29" s="1"/>
  <c r="A97" i="29" s="1"/>
  <c r="A98" i="29" s="1"/>
  <c r="A99" i="29" s="1"/>
  <c r="A100" i="29" s="1"/>
  <c r="A101" i="29" s="1"/>
  <c r="A102" i="29" s="1"/>
  <c r="I33" i="29"/>
  <c r="A33" i="29"/>
  <c r="M21" i="28"/>
  <c r="G17" i="27"/>
  <c r="A64" i="27"/>
  <c r="A65" i="27" s="1"/>
  <c r="A66" i="27" s="1"/>
  <c r="I156" i="29" l="1"/>
  <c r="A28" i="30"/>
  <c r="A29" i="30" s="1"/>
  <c r="A30" i="30" s="1"/>
  <c r="E27" i="30"/>
  <c r="A34" i="29"/>
  <c r="A35" i="29" s="1"/>
  <c r="A36" i="29" s="1"/>
  <c r="I49" i="29"/>
  <c r="A103" i="29"/>
  <c r="A104" i="29" s="1"/>
  <c r="I147" i="29"/>
  <c r="K22" i="28"/>
  <c r="G68" i="27"/>
  <c r="A67" i="27"/>
  <c r="A68" i="27" s="1"/>
  <c r="A31" i="30" l="1"/>
  <c r="A32" i="30" s="1"/>
  <c r="A33" i="30" s="1"/>
  <c r="A37" i="29"/>
  <c r="A38" i="29" s="1"/>
  <c r="A39" i="29" s="1"/>
  <c r="A40" i="29" s="1"/>
  <c r="A41" i="29" s="1"/>
  <c r="A42" i="29" s="1"/>
  <c r="A43" i="29" s="1"/>
  <c r="A105" i="29"/>
  <c r="A106" i="29" s="1"/>
  <c r="A107" i="29" s="1"/>
  <c r="I107" i="29"/>
  <c r="L22" i="28"/>
  <c r="A69" i="27"/>
  <c r="A70" i="27" s="1"/>
  <c r="A71" i="27" s="1"/>
  <c r="A72" i="27" s="1"/>
  <c r="G19" i="27"/>
  <c r="A34" i="30" l="1"/>
  <c r="A35" i="30" s="1"/>
  <c r="A36" i="30" s="1"/>
  <c r="A37" i="30" s="1"/>
  <c r="A38" i="30" s="1"/>
  <c r="A39" i="30" s="1"/>
  <c r="A40" i="30" s="1"/>
  <c r="E37" i="30"/>
  <c r="E33" i="30"/>
  <c r="A108" i="29"/>
  <c r="A109" i="29" s="1"/>
  <c r="A110" i="29" s="1"/>
  <c r="A111" i="29" s="1"/>
  <c r="A44" i="29"/>
  <c r="A45" i="29" s="1"/>
  <c r="A46" i="29" s="1"/>
  <c r="A47" i="29" s="1"/>
  <c r="A48" i="29" s="1"/>
  <c r="I50" i="29"/>
  <c r="I40" i="29"/>
  <c r="M22" i="28"/>
  <c r="A73" i="27"/>
  <c r="A74" i="27" s="1"/>
  <c r="A75" i="27" s="1"/>
  <c r="A41" i="30" l="1"/>
  <c r="A42" i="30" s="1"/>
  <c r="A43" i="30" s="1"/>
  <c r="A44" i="30" s="1"/>
  <c r="A45" i="30" s="1"/>
  <c r="E42" i="30"/>
  <c r="A49" i="29"/>
  <c r="I111" i="29"/>
  <c r="K23" i="28"/>
  <c r="A76" i="27"/>
  <c r="A77" i="27" s="1"/>
  <c r="G79" i="27"/>
  <c r="G75" i="27"/>
  <c r="A46" i="30" l="1"/>
  <c r="A47" i="30" s="1"/>
  <c r="A48" i="30" s="1"/>
  <c r="A49" i="30" s="1"/>
  <c r="A50" i="29"/>
  <c r="L23" i="28"/>
  <c r="M23" i="28" s="1"/>
  <c r="G90" i="27"/>
  <c r="A78" i="27"/>
  <c r="A79" i="27" s="1"/>
  <c r="E47" i="30" l="1"/>
  <c r="A51" i="29"/>
  <c r="I51" i="29"/>
  <c r="I53" i="29"/>
  <c r="K24" i="28"/>
  <c r="L24" i="28" s="1"/>
  <c r="G81" i="27"/>
  <c r="A80" i="27"/>
  <c r="A81" i="27" s="1"/>
  <c r="I109" i="29" l="1"/>
  <c r="A52" i="29"/>
  <c r="A53" i="29" s="1"/>
  <c r="M24" i="28"/>
  <c r="A82" i="27"/>
  <c r="A83" i="27" s="1"/>
  <c r="A84" i="27" s="1"/>
  <c r="G21" i="27"/>
  <c r="A54" i="29" l="1"/>
  <c r="A55" i="29" s="1"/>
  <c r="A56" i="29" s="1"/>
  <c r="A57" i="29" s="1"/>
  <c r="A58" i="29" s="1"/>
  <c r="A59" i="29" s="1"/>
  <c r="A60" i="29" s="1"/>
  <c r="A61" i="29" s="1"/>
  <c r="I86" i="29"/>
  <c r="K25" i="28"/>
  <c r="A85" i="27"/>
  <c r="A86" i="27" s="1"/>
  <c r="A87" i="27" s="1"/>
  <c r="A88" i="27" s="1"/>
  <c r="G88" i="27"/>
  <c r="A62" i="29" l="1"/>
  <c r="L25" i="28"/>
  <c r="M25" i="28" s="1"/>
  <c r="A89" i="27"/>
  <c r="A90" i="27" s="1"/>
  <c r="A91" i="27" s="1"/>
  <c r="A92" i="27" s="1"/>
  <c r="A63" i="29" l="1"/>
  <c r="K26" i="28"/>
  <c r="L26" i="28"/>
  <c r="A93" i="27"/>
  <c r="A94" i="27" s="1"/>
  <c r="A95" i="27" s="1"/>
  <c r="A96" i="27" s="1"/>
  <c r="G96" i="27"/>
  <c r="G92" i="27"/>
  <c r="A64" i="29" l="1"/>
  <c r="I64" i="29"/>
  <c r="I66" i="29"/>
  <c r="M26" i="28"/>
  <c r="G98" i="27"/>
  <c r="A97" i="27"/>
  <c r="A98" i="27" s="1"/>
  <c r="G23" i="27" s="1"/>
  <c r="A65" i="29" l="1"/>
  <c r="A66" i="29" s="1"/>
  <c r="I131" i="29" s="1"/>
  <c r="I154" i="29"/>
  <c r="K27" i="28"/>
  <c r="L27" i="28" l="1"/>
  <c r="M27" i="28" s="1"/>
  <c r="K28" i="28" l="1"/>
  <c r="L28" i="28" s="1"/>
  <c r="M28" i="28" l="1"/>
  <c r="K29" i="28" l="1"/>
  <c r="L29" i="28" l="1"/>
  <c r="M29" i="28" s="1"/>
  <c r="K30" i="28" l="1"/>
  <c r="L30" i="28"/>
  <c r="M30" i="28" l="1"/>
  <c r="K31" i="28" l="1"/>
  <c r="L31" i="28" s="1"/>
  <c r="L32" i="28" s="1"/>
  <c r="M31" i="28" l="1"/>
  <c r="C18" i="14" l="1"/>
  <c r="C41" i="14" s="1"/>
  <c r="E24" i="17" l="1"/>
  <c r="E51" i="16" l="1"/>
  <c r="C51" i="16"/>
  <c r="C26" i="16"/>
  <c r="C19" i="26" l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I11" i="26"/>
  <c r="I12" i="26" s="1"/>
  <c r="I13" i="26" s="1"/>
  <c r="I14" i="26" s="1"/>
  <c r="I15" i="26" s="1"/>
  <c r="I16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I53" i="26" s="1"/>
  <c r="I54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E32" i="16" l="1"/>
  <c r="C32" i="16"/>
  <c r="F88" i="21" l="1"/>
  <c r="C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C82" i="21"/>
  <c r="C15" i="21" s="1"/>
  <c r="E87" i="13" s="1"/>
  <c r="F67" i="21"/>
  <c r="C81" i="21"/>
  <c r="C14" i="21" s="1"/>
  <c r="E85" i="13" s="1"/>
  <c r="F66" i="21"/>
  <c r="F65" i="21"/>
  <c r="C79" i="21"/>
  <c r="F64" i="21"/>
  <c r="B56" i="21"/>
  <c r="B55" i="21"/>
  <c r="C46" i="21"/>
  <c r="C41" i="21"/>
  <c r="C26" i="21"/>
  <c r="C21" i="21"/>
  <c r="A12" i="2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B57" i="21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D63" i="11"/>
  <c r="C63" i="11"/>
  <c r="G62" i="11"/>
  <c r="G61" i="11"/>
  <c r="G60" i="1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B121" i="11"/>
  <c r="N12" i="12"/>
  <c r="M12" i="12"/>
  <c r="K12" i="12"/>
  <c r="I12" i="12"/>
  <c r="H12" i="12"/>
  <c r="P11" i="12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F12" i="12" s="1"/>
  <c r="C19" i="12"/>
  <c r="A50" i="13"/>
  <c r="A51" i="13" s="1"/>
  <c r="A52" i="13" s="1"/>
  <c r="H49" i="13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B44" i="13"/>
  <c r="B42" i="13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3" i="13"/>
  <c r="B41" i="13"/>
  <c r="B40" i="13"/>
  <c r="B52" i="15"/>
  <c r="C46" i="15"/>
  <c r="C47" i="16" s="1"/>
  <c r="B46" i="15"/>
  <c r="C44" i="15"/>
  <c r="C45" i="16" s="1"/>
  <c r="B44" i="15"/>
  <c r="B42" i="15"/>
  <c r="B38" i="15"/>
  <c r="B36" i="15"/>
  <c r="E34" i="15"/>
  <c r="B34" i="15"/>
  <c r="E32" i="15"/>
  <c r="C32" i="15"/>
  <c r="A12" i="15"/>
  <c r="A1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G65" i="11" l="1"/>
  <c r="G132" i="11" s="1"/>
  <c r="I144" i="11"/>
  <c r="A133" i="11"/>
  <c r="A134" i="11" s="1"/>
  <c r="I145" i="11" s="1"/>
  <c r="G63" i="11"/>
  <c r="G155" i="11" s="1"/>
  <c r="G27" i="11"/>
  <c r="E47" i="11" s="1"/>
  <c r="B74" i="11"/>
  <c r="C80" i="21"/>
  <c r="C13" i="21" s="1"/>
  <c r="C76" i="21"/>
  <c r="E89" i="13"/>
  <c r="H30" i="12"/>
  <c r="C12" i="21"/>
  <c r="C16" i="21" s="1"/>
  <c r="A13" i="21"/>
  <c r="A14" i="21" s="1"/>
  <c r="A15" i="21" s="1"/>
  <c r="A16" i="21" s="1"/>
  <c r="C69" i="21"/>
  <c r="A21" i="11"/>
  <c r="A22" i="11" s="1"/>
  <c r="A23" i="11" s="1"/>
  <c r="A24" i="11" s="1"/>
  <c r="A25" i="11" s="1"/>
  <c r="A86" i="11"/>
  <c r="A87" i="11" s="1"/>
  <c r="I97" i="11"/>
  <c r="G138" i="11"/>
  <c r="G147" i="11" s="1"/>
  <c r="G144" i="11"/>
  <c r="C50" i="11"/>
  <c r="D49" i="11" s="1"/>
  <c r="G49" i="11" s="1"/>
  <c r="I17" i="11"/>
  <c r="A135" i="11"/>
  <c r="C30" i="12"/>
  <c r="C29" i="12"/>
  <c r="C28" i="12"/>
  <c r="C27" i="12"/>
  <c r="C26" i="12"/>
  <c r="C25" i="12"/>
  <c r="C24" i="12"/>
  <c r="C23" i="12"/>
  <c r="C22" i="12"/>
  <c r="C21" i="12"/>
  <c r="C20" i="12"/>
  <c r="G31" i="12"/>
  <c r="H23" i="12"/>
  <c r="H19" i="12"/>
  <c r="H24" i="12"/>
  <c r="E31" i="12"/>
  <c r="A53" i="13"/>
  <c r="A54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14" i="15"/>
  <c r="A15" i="15" s="1"/>
  <c r="C34" i="15"/>
  <c r="C35" i="16" s="1"/>
  <c r="E36" i="15"/>
  <c r="G150" i="11" l="1"/>
  <c r="G153" i="11" s="1"/>
  <c r="G157" i="11" s="1"/>
  <c r="G24" i="13"/>
  <c r="C83" i="21"/>
  <c r="E49" i="13"/>
  <c r="F31" i="12"/>
  <c r="A17" i="21"/>
  <c r="A18" i="21" s="1"/>
  <c r="A19" i="21" s="1"/>
  <c r="A88" i="11"/>
  <c r="I98" i="11"/>
  <c r="I27" i="11"/>
  <c r="A26" i="11"/>
  <c r="A27" i="11" s="1"/>
  <c r="I146" i="11"/>
  <c r="A136" i="11"/>
  <c r="A137" i="11" s="1"/>
  <c r="A138" i="11" s="1"/>
  <c r="D48" i="11"/>
  <c r="G48" i="11" s="1"/>
  <c r="G52" i="11" s="1"/>
  <c r="G85" i="11" s="1"/>
  <c r="D47" i="11"/>
  <c r="I25" i="11"/>
  <c r="H26" i="12"/>
  <c r="H25" i="12"/>
  <c r="H28" i="12"/>
  <c r="H22" i="12"/>
  <c r="H20" i="12"/>
  <c r="H29" i="12"/>
  <c r="H27" i="12"/>
  <c r="H21" i="12"/>
  <c r="G26" i="13"/>
  <c r="A25" i="13"/>
  <c r="A26" i="13" s="1"/>
  <c r="A27" i="13" s="1"/>
  <c r="A28" i="13" s="1"/>
  <c r="G12" i="13"/>
  <c r="A55" i="13"/>
  <c r="A56" i="13" s="1"/>
  <c r="A57" i="13" s="1"/>
  <c r="A16" i="15"/>
  <c r="A17" i="15" s="1"/>
  <c r="E38" i="15"/>
  <c r="G28" i="13" l="1"/>
  <c r="E64" i="13"/>
  <c r="E16" i="13" s="1"/>
  <c r="E69" i="13"/>
  <c r="E18" i="13" s="1"/>
  <c r="H31" i="12"/>
  <c r="A20" i="21"/>
  <c r="A21" i="21" s="1"/>
  <c r="I47" i="11"/>
  <c r="A28" i="11"/>
  <c r="A29" i="11" s="1"/>
  <c r="A30" i="11" s="1"/>
  <c r="D50" i="11"/>
  <c r="G47" i="11"/>
  <c r="G50" i="11" s="1"/>
  <c r="G108" i="11" s="1"/>
  <c r="G97" i="11"/>
  <c r="I147" i="11"/>
  <c r="A139" i="1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89" i="11"/>
  <c r="I99" i="11"/>
  <c r="A58" i="13"/>
  <c r="A59" i="13" s="1"/>
  <c r="G33" i="13"/>
  <c r="A29" i="13"/>
  <c r="A30" i="13" s="1"/>
  <c r="A31" i="13" s="1"/>
  <c r="A18" i="15"/>
  <c r="A19" i="15" s="1"/>
  <c r="A22" i="21" l="1"/>
  <c r="A23" i="21" s="1"/>
  <c r="A24" i="21" s="1"/>
  <c r="I153" i="11"/>
  <c r="I136" i="11"/>
  <c r="A90" i="11"/>
  <c r="A91" i="11" s="1"/>
  <c r="I36" i="11"/>
  <c r="A31" i="11"/>
  <c r="A154" i="11"/>
  <c r="A155" i="11" s="1"/>
  <c r="A156" i="11" s="1"/>
  <c r="A157" i="11" s="1"/>
  <c r="A32" i="13"/>
  <c r="A33" i="13" s="1"/>
  <c r="A34" i="13" s="1"/>
  <c r="A35" i="13" s="1"/>
  <c r="G35" i="13"/>
  <c r="G14" i="13"/>
  <c r="A60" i="13"/>
  <c r="A61" i="13" s="1"/>
  <c r="A62" i="13" s="1"/>
  <c r="A20" i="15"/>
  <c r="A21" i="15" s="1"/>
  <c r="E42" i="15"/>
  <c r="A25" i="21" l="1"/>
  <c r="A26" i="21" s="1"/>
  <c r="I157" i="11"/>
  <c r="I100" i="11"/>
  <c r="A92" i="11"/>
  <c r="A93" i="11" s="1"/>
  <c r="A94" i="11" s="1"/>
  <c r="A95" i="11" s="1"/>
  <c r="A96" i="11" s="1"/>
  <c r="A97" i="11" s="1"/>
  <c r="A98" i="11" s="1"/>
  <c r="A99" i="11" s="1"/>
  <c r="A100" i="11" s="1"/>
  <c r="A101" i="11" s="1"/>
  <c r="A32" i="11"/>
  <c r="I32" i="11"/>
  <c r="A63" i="13"/>
  <c r="A64" i="13" s="1"/>
  <c r="E44" i="15"/>
  <c r="A22" i="15"/>
  <c r="A23" i="15" s="1"/>
  <c r="A27" i="21" l="1"/>
  <c r="A28" i="21" s="1"/>
  <c r="A29" i="21" s="1"/>
  <c r="I148" i="11"/>
  <c r="A102" i="11"/>
  <c r="A103" i="11" s="1"/>
  <c r="A33" i="11"/>
  <c r="A34" i="11" s="1"/>
  <c r="A35" i="11" s="1"/>
  <c r="I48" i="11"/>
  <c r="G16" i="13"/>
  <c r="A65" i="13"/>
  <c r="A66" i="13" s="1"/>
  <c r="A67" i="13" s="1"/>
  <c r="A24" i="15"/>
  <c r="A25" i="15" s="1"/>
  <c r="A30" i="21" l="1"/>
  <c r="A31" i="21" s="1"/>
  <c r="A32" i="21" s="1"/>
  <c r="A36" i="11"/>
  <c r="A37" i="11" s="1"/>
  <c r="A38" i="11" s="1"/>
  <c r="A39" i="11" s="1"/>
  <c r="A40" i="11" s="1"/>
  <c r="A41" i="11" s="1"/>
  <c r="A42" i="11" s="1"/>
  <c r="A104" i="11"/>
  <c r="A105" i="11" s="1"/>
  <c r="A106" i="11" s="1"/>
  <c r="I106" i="11"/>
  <c r="A68" i="13"/>
  <c r="A69" i="13" s="1"/>
  <c r="A26" i="15"/>
  <c r="A27" i="15" s="1"/>
  <c r="A28" i="15" s="1"/>
  <c r="A33" i="15" s="1"/>
  <c r="A34" i="15" s="1"/>
  <c r="E46" i="15"/>
  <c r="A33" i="21" l="1"/>
  <c r="A34" i="21" s="1"/>
  <c r="A35" i="21" s="1"/>
  <c r="A36" i="21" s="1"/>
  <c r="A37" i="21" s="1"/>
  <c r="A38" i="21" s="1"/>
  <c r="A39" i="21" s="1"/>
  <c r="A43" i="11"/>
  <c r="A44" i="11" s="1"/>
  <c r="A45" i="11" s="1"/>
  <c r="A46" i="11" s="1"/>
  <c r="A47" i="11" s="1"/>
  <c r="I49" i="11"/>
  <c r="A107" i="11"/>
  <c r="A108" i="11" s="1"/>
  <c r="A109" i="11" s="1"/>
  <c r="A110" i="11" s="1"/>
  <c r="I110" i="11"/>
  <c r="I39" i="11"/>
  <c r="G18" i="13"/>
  <c r="A70" i="13"/>
  <c r="A71" i="13" s="1"/>
  <c r="A72" i="13" s="1"/>
  <c r="A73" i="13" s="1"/>
  <c r="A35" i="15"/>
  <c r="A36" i="15" s="1"/>
  <c r="A37" i="15" s="1"/>
  <c r="A38" i="15" s="1"/>
  <c r="A39" i="15" s="1"/>
  <c r="A40" i="15" s="1"/>
  <c r="A40" i="21" l="1"/>
  <c r="A41" i="21" s="1"/>
  <c r="A42" i="21" s="1"/>
  <c r="A43" i="21" s="1"/>
  <c r="A44" i="21" s="1"/>
  <c r="A48" i="11"/>
  <c r="A74" i="13"/>
  <c r="A75" i="13" s="1"/>
  <c r="A76" i="13" s="1"/>
  <c r="A41" i="15"/>
  <c r="A42" i="15" s="1"/>
  <c r="A43" i="15" s="1"/>
  <c r="A44" i="15" s="1"/>
  <c r="A45" i="15" s="1"/>
  <c r="A46" i="15" s="1"/>
  <c r="A47" i="15" s="1"/>
  <c r="A48" i="15" s="1"/>
  <c r="E40" i="15"/>
  <c r="A45" i="21" l="1"/>
  <c r="A46" i="21" s="1"/>
  <c r="A47" i="21" s="1"/>
  <c r="A48" i="21" s="1"/>
  <c r="A49" i="11"/>
  <c r="I52" i="11"/>
  <c r="A77" i="13"/>
  <c r="A78" i="13" s="1"/>
  <c r="A49" i="15"/>
  <c r="A50" i="15" s="1"/>
  <c r="A51" i="15" s="1"/>
  <c r="A52" i="15" s="1"/>
  <c r="A53" i="15" s="1"/>
  <c r="E48" i="15"/>
  <c r="A50" i="11" l="1"/>
  <c r="I50" i="11"/>
  <c r="A79" i="13"/>
  <c r="A80" i="13" s="1"/>
  <c r="E52" i="15"/>
  <c r="I108" i="11" l="1"/>
  <c r="A51" i="11"/>
  <c r="A52" i="11" s="1"/>
  <c r="A81" i="13"/>
  <c r="A82" i="13" s="1"/>
  <c r="A53" i="11" l="1"/>
  <c r="A54" i="11" s="1"/>
  <c r="A55" i="11" s="1"/>
  <c r="A56" i="11" s="1"/>
  <c r="A57" i="11" s="1"/>
  <c r="A58" i="11" s="1"/>
  <c r="A59" i="11" s="1"/>
  <c r="A60" i="11" s="1"/>
  <c r="G20" i="13"/>
  <c r="A83" i="13"/>
  <c r="A84" i="13" s="1"/>
  <c r="A85" i="13" s="1"/>
  <c r="A61" i="11" l="1"/>
  <c r="A86" i="13"/>
  <c r="A87" i="13" s="1"/>
  <c r="A88" i="13" s="1"/>
  <c r="A89" i="13" s="1"/>
  <c r="A62" i="11" l="1"/>
  <c r="A90" i="13"/>
  <c r="A91" i="13" s="1"/>
  <c r="A92" i="13" s="1"/>
  <c r="A93" i="13" s="1"/>
  <c r="A63" i="11" l="1"/>
  <c r="I63" i="11"/>
  <c r="I65" i="11"/>
  <c r="A94" i="13"/>
  <c r="A95" i="13" s="1"/>
  <c r="A96" i="13" s="1"/>
  <c r="A97" i="13" s="1"/>
  <c r="A64" i="11" l="1"/>
  <c r="A65" i="11" s="1"/>
  <c r="I132" i="11" s="1"/>
  <c r="I155" i="11"/>
  <c r="A98" i="13"/>
  <c r="A99" i="13" s="1"/>
  <c r="G22" i="13" s="1"/>
  <c r="E43" i="19" l="1"/>
  <c r="B53" i="14"/>
  <c r="C47" i="14"/>
  <c r="B47" i="14"/>
  <c r="B45" i="14"/>
  <c r="B43" i="14"/>
  <c r="B39" i="14"/>
  <c r="B37" i="14"/>
  <c r="D35" i="14"/>
  <c r="B35" i="14"/>
  <c r="D33" i="14"/>
  <c r="C33" i="14"/>
  <c r="C45" i="14"/>
  <c r="C43" i="14"/>
  <c r="C39" i="14"/>
  <c r="A13" i="14"/>
  <c r="A14" i="14" s="1"/>
  <c r="E12" i="14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C35" i="14"/>
  <c r="C24" i="14" l="1"/>
  <c r="C28" i="14" s="1"/>
  <c r="D37" i="14"/>
  <c r="A15" i="14"/>
  <c r="A16" i="14" s="1"/>
  <c r="C37" i="14"/>
  <c r="C49" i="14" s="1"/>
  <c r="C53" i="14" s="1"/>
  <c r="D39" i="14" l="1"/>
  <c r="A17" i="14"/>
  <c r="A18" i="14" s="1"/>
  <c r="A19" i="14" l="1"/>
  <c r="A20" i="14" s="1"/>
  <c r="D43" i="14" l="1"/>
  <c r="A21" i="14"/>
  <c r="A22" i="14" s="1"/>
  <c r="A23" i="14" l="1"/>
  <c r="A24" i="14" s="1"/>
  <c r="D45" i="14"/>
  <c r="A25" i="14" l="1"/>
  <c r="A26" i="14" s="1"/>
  <c r="D47" i="14" l="1"/>
  <c r="A27" i="14"/>
  <c r="A28" i="14" s="1"/>
  <c r="A29" i="14" s="1"/>
  <c r="A34" i="14" s="1"/>
  <c r="A35" i="14" s="1"/>
  <c r="A36" i="14" l="1"/>
  <c r="A37" i="14" s="1"/>
  <c r="A38" i="14" s="1"/>
  <c r="A39" i="14" s="1"/>
  <c r="A40" i="14" s="1"/>
  <c r="A41" i="14" s="1"/>
  <c r="D41" i="14" l="1"/>
  <c r="A42" i="14"/>
  <c r="A43" i="14" s="1"/>
  <c r="A44" i="14" s="1"/>
  <c r="A45" i="14" s="1"/>
  <c r="A46" i="14" s="1"/>
  <c r="A47" i="14" s="1"/>
  <c r="A48" i="14" s="1"/>
  <c r="A49" i="14" s="1"/>
  <c r="D49" i="14" l="1"/>
  <c r="A50" i="14"/>
  <c r="A51" i="14" s="1"/>
  <c r="A52" i="14" s="1"/>
  <c r="A53" i="14" s="1"/>
  <c r="A54" i="14" s="1"/>
  <c r="D53" i="14"/>
  <c r="G12" i="1" l="1"/>
  <c r="G13" i="1" s="1"/>
  <c r="G14" i="1" s="1"/>
  <c r="A12" i="1"/>
  <c r="A13" i="1" s="1"/>
  <c r="A14" i="1" s="1"/>
  <c r="E57" i="19" l="1"/>
  <c r="E59" i="19"/>
  <c r="E67" i="19" s="1"/>
  <c r="E44" i="19"/>
  <c r="E46" i="19" s="1"/>
  <c r="E48" i="19" s="1"/>
  <c r="E27" i="19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E52" i="13" l="1"/>
  <c r="E54" i="13" s="1"/>
  <c r="E12" i="13" s="1"/>
  <c r="E22" i="17"/>
  <c r="E69" i="19"/>
  <c r="E49" i="19" s="1"/>
  <c r="E50" i="19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8" i="19" s="1"/>
  <c r="A29" i="19" s="1"/>
  <c r="A30" i="19" s="1"/>
  <c r="E57" i="13" l="1"/>
  <c r="E59" i="13" s="1"/>
  <c r="E14" i="13" s="1"/>
  <c r="E23" i="17"/>
  <c r="A31" i="19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l="1"/>
  <c r="A46" i="19" l="1"/>
  <c r="A47" i="19" l="1"/>
  <c r="A48" i="19" s="1"/>
  <c r="A49" i="19" l="1"/>
  <c r="A50" i="19" s="1"/>
  <c r="A51" i="19" s="1"/>
  <c r="A52" i="19" s="1"/>
  <c r="A53" i="19" s="1"/>
  <c r="A54" i="19" l="1"/>
  <c r="A55" i="19" s="1"/>
  <c r="A56" i="19" s="1"/>
  <c r="A57" i="19" s="1"/>
  <c r="A58" i="19" l="1"/>
  <c r="A59" i="19" s="1"/>
  <c r="A60" i="19" l="1"/>
  <c r="A61" i="19" s="1"/>
  <c r="A62" i="19" s="1"/>
  <c r="A63" i="19" s="1"/>
  <c r="A64" i="19" s="1"/>
  <c r="A65" i="19" s="1"/>
  <c r="A66" i="19" s="1"/>
  <c r="A67" i="19" s="1"/>
  <c r="A68" i="19" l="1"/>
  <c r="A69" i="19" s="1"/>
  <c r="E22" i="16" l="1"/>
  <c r="E20" i="16"/>
  <c r="E14" i="16"/>
  <c r="E12" i="16"/>
  <c r="E27" i="17"/>
  <c r="G19" i="17"/>
  <c r="A12" i="17"/>
  <c r="A13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G15" i="17"/>
  <c r="E73" i="13" l="1"/>
  <c r="C29" i="21"/>
  <c r="E74" i="13"/>
  <c r="C30" i="21"/>
  <c r="E25" i="17"/>
  <c r="E29" i="17" s="1"/>
  <c r="C12" i="16"/>
  <c r="C22" i="16"/>
  <c r="A14" i="17"/>
  <c r="A15" i="17" s="1"/>
  <c r="A16" i="17" s="1"/>
  <c r="A17" i="17" s="1"/>
  <c r="A18" i="17" s="1"/>
  <c r="A19" i="17" s="1"/>
  <c r="A20" i="17" s="1"/>
  <c r="A21" i="17" s="1"/>
  <c r="A22" i="17" s="1"/>
  <c r="E75" i="13" l="1"/>
  <c r="E76" i="13" s="1"/>
  <c r="C31" i="21"/>
  <c r="C32" i="21" s="1"/>
  <c r="C36" i="21" s="1"/>
  <c r="G88" i="11" s="1"/>
  <c r="A23" i="17"/>
  <c r="A24" i="17" s="1"/>
  <c r="A25" i="17" s="1"/>
  <c r="G99" i="11" l="1"/>
  <c r="G91" i="11"/>
  <c r="G100" i="11" s="1"/>
  <c r="A26" i="17"/>
  <c r="A27" i="17" s="1"/>
  <c r="A28" i="17" s="1"/>
  <c r="A29" i="17" s="1"/>
  <c r="G103" i="11" l="1"/>
  <c r="G106" i="11" s="1"/>
  <c r="G110" i="11" s="1"/>
  <c r="E78" i="13" l="1"/>
  <c r="G16" i="41"/>
  <c r="G18" i="41" s="1"/>
  <c r="G42" i="41" s="1"/>
  <c r="C15" i="15" s="1"/>
  <c r="E91" i="13"/>
  <c r="E93" i="13" s="1"/>
  <c r="E97" i="13" s="1"/>
  <c r="E99" i="13" s="1"/>
  <c r="E22" i="13" s="1"/>
  <c r="E80" i="13"/>
  <c r="E82" i="13" s="1"/>
  <c r="E20" i="13" s="1"/>
  <c r="G51" i="16"/>
  <c r="E47" i="16"/>
  <c r="E45" i="16"/>
  <c r="E43" i="16"/>
  <c r="E39" i="16"/>
  <c r="E37" i="16"/>
  <c r="E35" i="16"/>
  <c r="G33" i="16"/>
  <c r="G32" i="16"/>
  <c r="E33" i="16"/>
  <c r="E26" i="16"/>
  <c r="G26" i="16" s="1"/>
  <c r="E16" i="16"/>
  <c r="E18" i="16" s="1"/>
  <c r="E41" i="16" s="1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C38" i="15" l="1"/>
  <c r="C39" i="16" s="1"/>
  <c r="C16" i="16"/>
  <c r="E24" i="13"/>
  <c r="E26" i="13" s="1"/>
  <c r="E28" i="13" s="1"/>
  <c r="E33" i="13" s="1"/>
  <c r="E35" i="13" s="1"/>
  <c r="C13" i="15" s="1"/>
  <c r="G47" i="16"/>
  <c r="G45" i="16"/>
  <c r="E49" i="16"/>
  <c r="E53" i="16" s="1"/>
  <c r="G39" i="16"/>
  <c r="E24" i="16"/>
  <c r="E28" i="16" s="1"/>
  <c r="G12" i="16"/>
  <c r="G22" i="16"/>
  <c r="G16" i="16"/>
  <c r="A15" i="16"/>
  <c r="A16" i="16" s="1"/>
  <c r="C17" i="15" l="1"/>
  <c r="C40" i="15" s="1"/>
  <c r="D19" i="12" s="1"/>
  <c r="C36" i="15"/>
  <c r="C14" i="16"/>
  <c r="C37" i="16"/>
  <c r="G37" i="16" s="1"/>
  <c r="A17" i="16"/>
  <c r="A18" i="16" s="1"/>
  <c r="H18" i="16"/>
  <c r="C18" i="16" l="1"/>
  <c r="C41" i="16" s="1"/>
  <c r="G14" i="16"/>
  <c r="G18" i="16" s="1"/>
  <c r="D25" i="12"/>
  <c r="I25" i="12" s="1"/>
  <c r="D22" i="12"/>
  <c r="I22" i="12" s="1"/>
  <c r="D28" i="12"/>
  <c r="I28" i="12" s="1"/>
  <c r="D21" i="12"/>
  <c r="I21" i="12" s="1"/>
  <c r="D26" i="12"/>
  <c r="I26" i="12" s="1"/>
  <c r="D27" i="12"/>
  <c r="I27" i="12" s="1"/>
  <c r="D23" i="12"/>
  <c r="I23" i="12" s="1"/>
  <c r="D24" i="12"/>
  <c r="I24" i="12" s="1"/>
  <c r="I19" i="12"/>
  <c r="D30" i="12"/>
  <c r="I30" i="12" s="1"/>
  <c r="D20" i="12"/>
  <c r="I20" i="12" s="1"/>
  <c r="D29" i="12"/>
  <c r="I29" i="12" s="1"/>
  <c r="A19" i="16"/>
  <c r="A20" i="16" s="1"/>
  <c r="D31" i="12" l="1"/>
  <c r="I31" i="12"/>
  <c r="M19" i="12"/>
  <c r="K19" i="12"/>
  <c r="A21" i="16"/>
  <c r="A22" i="16" s="1"/>
  <c r="H24" i="16" s="1"/>
  <c r="N19" i="12" l="1"/>
  <c r="K20" i="12" s="1"/>
  <c r="M20" i="12" s="1"/>
  <c r="N20" i="12" s="1"/>
  <c r="K21" i="12" s="1"/>
  <c r="M21" i="12" s="1"/>
  <c r="N21" i="12" s="1"/>
  <c r="K22" i="12" s="1"/>
  <c r="M22" i="12" s="1"/>
  <c r="N22" i="12" s="1"/>
  <c r="A23" i="16"/>
  <c r="A24" i="16" s="1"/>
  <c r="K23" i="12" l="1"/>
  <c r="M23" i="12" s="1"/>
  <c r="N23" i="12" s="1"/>
  <c r="A25" i="16"/>
  <c r="A26" i="16" s="1"/>
  <c r="K24" i="12" l="1"/>
  <c r="M24" i="12"/>
  <c r="N24" i="12" s="1"/>
  <c r="A27" i="16"/>
  <c r="A28" i="16" s="1"/>
  <c r="A29" i="16" s="1"/>
  <c r="A34" i="16" s="1"/>
  <c r="A35" i="16" s="1"/>
  <c r="H28" i="16"/>
  <c r="K25" i="12" l="1"/>
  <c r="M25" i="12" s="1"/>
  <c r="N25" i="12" s="1"/>
  <c r="A36" i="16"/>
  <c r="A37" i="16" s="1"/>
  <c r="A38" i="16" s="1"/>
  <c r="A39" i="16" s="1"/>
  <c r="A40" i="16" s="1"/>
  <c r="A41" i="16" s="1"/>
  <c r="K26" i="12" l="1"/>
  <c r="M26" i="12"/>
  <c r="N26" i="12" s="1"/>
  <c r="A42" i="16"/>
  <c r="A43" i="16" s="1"/>
  <c r="A44" i="16" s="1"/>
  <c r="A45" i="16" s="1"/>
  <c r="A46" i="16" s="1"/>
  <c r="A47" i="16" s="1"/>
  <c r="A48" i="16" s="1"/>
  <c r="A49" i="16" s="1"/>
  <c r="H41" i="16"/>
  <c r="K27" i="12" l="1"/>
  <c r="M27" i="12" s="1"/>
  <c r="A50" i="16"/>
  <c r="A51" i="16" s="1"/>
  <c r="A52" i="16" s="1"/>
  <c r="A53" i="16" s="1"/>
  <c r="A54" i="16" s="1"/>
  <c r="H49" i="16"/>
  <c r="N27" i="12" l="1"/>
  <c r="K28" i="12" s="1"/>
  <c r="M28" i="12" s="1"/>
  <c r="N28" i="12" s="1"/>
  <c r="K29" i="12" s="1"/>
  <c r="M29" i="12" s="1"/>
  <c r="N29" i="12" s="1"/>
  <c r="K30" i="12" s="1"/>
  <c r="G15" i="1"/>
  <c r="G16" i="1" s="1"/>
  <c r="G17" i="1" s="1"/>
  <c r="G18" i="1" s="1"/>
  <c r="G19" i="1" s="1"/>
  <c r="G20" i="1" s="1"/>
  <c r="G21" i="1" s="1"/>
  <c r="A15" i="1"/>
  <c r="A16" i="1" s="1"/>
  <c r="A17" i="1" s="1"/>
  <c r="A18" i="1" s="1"/>
  <c r="A19" i="1" s="1"/>
  <c r="A20" i="1" s="1"/>
  <c r="A21" i="1" s="1"/>
  <c r="M30" i="12" l="1"/>
  <c r="M31" i="12" s="1"/>
  <c r="N30" i="12" l="1"/>
  <c r="C19" i="15" s="1"/>
  <c r="C23" i="15" l="1"/>
  <c r="C20" i="16"/>
  <c r="C42" i="15"/>
  <c r="C27" i="15" l="1"/>
  <c r="C48" i="15"/>
  <c r="C52" i="15" s="1"/>
  <c r="C43" i="16"/>
  <c r="C24" i="16"/>
  <c r="C28" i="16" s="1"/>
  <c r="G28" i="16" s="1"/>
  <c r="G20" i="16"/>
  <c r="G24" i="16" s="1"/>
  <c r="D18" i="26" l="1"/>
  <c r="D13" i="1"/>
  <c r="C49" i="16"/>
  <c r="C53" i="16" s="1"/>
  <c r="G53" i="16" s="1"/>
  <c r="G18" i="26" l="1"/>
  <c r="F18" i="26"/>
  <c r="D19" i="26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H18" i="26" l="1"/>
  <c r="F19" i="26"/>
  <c r="G19" i="26" s="1"/>
  <c r="H19" i="26" s="1"/>
  <c r="F20" i="26" s="1"/>
  <c r="G20" i="26" s="1"/>
  <c r="H20" i="26" s="1"/>
  <c r="F21" i="26" s="1"/>
  <c r="G21" i="26" s="1"/>
  <c r="H21" i="26" s="1"/>
  <c r="D54" i="26"/>
  <c r="F22" i="26" l="1"/>
  <c r="G22" i="26" s="1"/>
  <c r="H22" i="26" l="1"/>
  <c r="F23" i="26" s="1"/>
  <c r="G23" i="26" s="1"/>
  <c r="H23" i="26" s="1"/>
  <c r="F24" i="26" s="1"/>
  <c r="G24" i="26" s="1"/>
  <c r="H24" i="26" s="1"/>
  <c r="F25" i="26" s="1"/>
  <c r="G25" i="26" s="1"/>
  <c r="H25" i="26" s="1"/>
  <c r="F26" i="26" l="1"/>
  <c r="G26" i="26" s="1"/>
  <c r="H26" i="26" s="1"/>
  <c r="F27" i="26" s="1"/>
  <c r="G27" i="26" s="1"/>
  <c r="H27" i="26" s="1"/>
  <c r="F28" i="26" s="1"/>
  <c r="G28" i="26" s="1"/>
  <c r="H28" i="26" s="1"/>
  <c r="F29" i="26" s="1"/>
  <c r="G29" i="26" s="1"/>
  <c r="H29" i="26" s="1"/>
  <c r="F30" i="26" s="1"/>
  <c r="G30" i="26" s="1"/>
  <c r="H30" i="26" s="1"/>
  <c r="F31" i="26" s="1"/>
  <c r="G31" i="26" s="1"/>
  <c r="H31" i="26" s="1"/>
  <c r="F32" i="26" l="1"/>
  <c r="G32" i="26" s="1"/>
  <c r="H32" i="26" s="1"/>
  <c r="F33" i="26" l="1"/>
  <c r="G33" i="26" s="1"/>
  <c r="H33" i="26" s="1"/>
  <c r="F34" i="26" l="1"/>
  <c r="G34" i="26" s="1"/>
  <c r="H34" i="26" s="1"/>
  <c r="F35" i="26" l="1"/>
  <c r="G35" i="26" s="1"/>
  <c r="H35" i="26" s="1"/>
  <c r="F36" i="26" l="1"/>
  <c r="G36" i="26" s="1"/>
  <c r="H36" i="26" s="1"/>
  <c r="F37" i="26" l="1"/>
  <c r="G37" i="26" s="1"/>
  <c r="H37" i="26" s="1"/>
  <c r="F38" i="26" l="1"/>
  <c r="G38" i="26" s="1"/>
  <c r="H38" i="26" s="1"/>
  <c r="F39" i="26" l="1"/>
  <c r="G39" i="26" s="1"/>
  <c r="H39" i="26" s="1"/>
  <c r="F40" i="26" l="1"/>
  <c r="G40" i="26" s="1"/>
  <c r="H40" i="26" s="1"/>
  <c r="F41" i="26" l="1"/>
  <c r="G41" i="26" s="1"/>
  <c r="H41" i="26" s="1"/>
  <c r="F42" i="26" l="1"/>
  <c r="G42" i="26" s="1"/>
  <c r="H42" i="26" s="1"/>
  <c r="F43" i="26" l="1"/>
  <c r="G43" i="26" s="1"/>
  <c r="H43" i="26" s="1"/>
  <c r="F44" i="26" l="1"/>
  <c r="G44" i="26" s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l="1"/>
  <c r="G48" i="26" s="1"/>
  <c r="H48" i="26" s="1"/>
  <c r="F49" i="26" l="1"/>
  <c r="G49" i="26" s="1"/>
  <c r="H49" i="26" s="1"/>
  <c r="F50" i="26" l="1"/>
  <c r="G50" i="26" s="1"/>
  <c r="H50" i="26" s="1"/>
  <c r="F51" i="26" l="1"/>
  <c r="G51" i="26" s="1"/>
  <c r="H51" i="26" s="1"/>
  <c r="F52" i="26" l="1"/>
  <c r="G52" i="26" s="1"/>
  <c r="H52" i="26" s="1"/>
  <c r="F53" i="26" l="1"/>
  <c r="G53" i="26" s="1"/>
  <c r="G54" i="26" s="1"/>
  <c r="D15" i="1" s="1"/>
  <c r="D17" i="1" s="1"/>
  <c r="D21" i="1" s="1"/>
  <c r="H53" i="26" l="1"/>
</calcChain>
</file>

<file path=xl/sharedStrings.xml><?xml version="1.0" encoding="utf-8"?>
<sst xmlns="http://schemas.openxmlformats.org/spreadsheetml/2006/main" count="2138" uniqueCount="713">
  <si>
    <t>San Diego Gas &amp; Electric Company</t>
  </si>
  <si>
    <t xml:space="preserve">Citizen's Share of the Sunrise - Border East-Line </t>
  </si>
  <si>
    <r>
      <t xml:space="preserve">Appendix X Cycle 11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</si>
  <si>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Derivation of Other Adjustments Applicable to Appendix X Cycle 10</t>
  </si>
  <si>
    <t>($1,000)</t>
  </si>
  <si>
    <t>Line</t>
  </si>
  <si>
    <t>No.</t>
  </si>
  <si>
    <t>Description</t>
  </si>
  <si>
    <t>Amounts</t>
  </si>
  <si>
    <t>Reference</t>
  </si>
  <si>
    <t>Other Cost Adjustments due to Appendix X Cycle 10 Cost Adjustments Calculation:</t>
  </si>
  <si>
    <t>Total Annual Costs Citizens' Share of the Border East Line - Before Interest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</si>
  <si>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</si>
  <si>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</si>
  <si>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</si>
  <si>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</si>
  <si>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</si>
  <si>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</si>
  <si>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</si>
  <si>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 xml:space="preserve">Section C.6a of the Citizens Sunrise Protocols provides a mechanism for SDG&amp;E to correct errors that affected the Appendix X costs in a previous Informational </t>
  </si>
  <si>
    <t>SAN DIEGO GAS &amp; ELECTRIC COMPANY</t>
  </si>
  <si>
    <t>CITIZENS' SHARE OF THE SUNRISE - BORDER-EAST LINE</t>
  </si>
  <si>
    <t xml:space="preserve">Appendix X Cycle 11 Annual Informational Filing </t>
  </si>
  <si>
    <t>A</t>
  </si>
  <si>
    <t>B</t>
  </si>
  <si>
    <t>C = A - B</t>
  </si>
  <si>
    <t>Revised - Appendix X Cycle 10</t>
  </si>
  <si>
    <t>As Filed - Appendix X Cycle 10 per ER 22-139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</si>
  <si>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</si>
  <si>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</si>
  <si>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</si>
  <si>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</si>
  <si>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</si>
  <si>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</si>
  <si>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</si>
  <si>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</si>
  <si>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</si>
  <si>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</si>
  <si>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</si>
  <si>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</si>
  <si>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</si>
  <si>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</si>
  <si>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</si>
  <si>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</si>
  <si>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</si>
  <si>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</si>
  <si>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</si>
  <si>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</si>
  <si>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</si>
  <si>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</si>
  <si>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</si>
  <si>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</si>
  <si>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</si>
  <si>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</si>
  <si>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</si>
  <si>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</si>
  <si>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</si>
  <si>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</si>
  <si>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CITIZENS' SHARE OF THE BORDER EAST LINE</t>
  </si>
  <si>
    <t>Summary of Cost Components</t>
  </si>
  <si>
    <t>Rate Effective Period January 1, 2022 to December 31, 2022</t>
  </si>
  <si>
    <t>Section 1; Page 1; Line 17</t>
  </si>
  <si>
    <t>Section 2; Page 1; Line 25</t>
  </si>
  <si>
    <t>Section 3; Page 1; Line 31</t>
  </si>
  <si>
    <t>Total Citizens Annual Prior Year Cost of Service</t>
  </si>
  <si>
    <t>Sum Lines 1, 3, 5</t>
  </si>
  <si>
    <t>Section 4; Page TU; Col. 11; Line 21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</si>
  <si>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</si>
  <si>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</si>
  <si>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</si>
  <si>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</si>
  <si>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</si>
  <si>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</si>
  <si>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Base Period &amp; True-Up Period 12 - Months Ending December 31, 2020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</si>
  <si>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</si>
  <si>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</si>
  <si>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</si>
  <si>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</si>
  <si>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</si>
  <si>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</si>
  <si>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</si>
  <si>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</si>
  <si>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</si>
  <si>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</si>
  <si>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</si>
  <si>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</si>
  <si>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</si>
  <si>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</si>
  <si>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</si>
  <si>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</si>
  <si>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</si>
  <si>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</si>
  <si>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</si>
  <si>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>Statement AH; Line 18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</si>
  <si>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</si>
  <si>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</si>
  <si>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</si>
  <si>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</si>
  <si>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>Statement AH; Line 41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</si>
  <si>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</si>
  <si>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</si>
  <si>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</si>
  <si>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</si>
  <si>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</si>
  <si>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</si>
  <si>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</si>
  <si>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</si>
  <si>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</si>
  <si>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</si>
  <si>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</si>
  <si>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</si>
  <si>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</si>
  <si>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</si>
  <si>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</si>
  <si>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</si>
  <si>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</si>
  <si>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>Statement AL; Line 19</t>
  </si>
  <si>
    <t xml:space="preserve">     Total Transmission Related Working Capital</t>
  </si>
  <si>
    <t>Sum Lines 25 thru 27</t>
  </si>
  <si>
    <t>Cost of Capital Rate</t>
  </si>
  <si>
    <t>Statement AV2; Line 31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</si>
  <si>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</si>
  <si>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</si>
  <si>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</si>
  <si>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</si>
  <si>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</si>
  <si>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</si>
  <si>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</si>
  <si>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</si>
  <si>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</si>
  <si>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</si>
  <si>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</si>
  <si>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</si>
  <si>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</si>
  <si>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</si>
  <si>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</si>
  <si>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</si>
  <si>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</si>
  <si>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</si>
  <si>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</si>
  <si>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</si>
  <si>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Statement AH; Line 17</t>
  </si>
  <si>
    <t>Statement AH; Line 39</t>
  </si>
  <si>
    <t>DERIVATION OF CITIZENS' TRUE-UP ADJUSTMENT -  (OVER) / UNDERCOLLECTION</t>
  </si>
  <si>
    <t>True-Up Period - January 1, 2020 to December 31, 2020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</si>
  <si>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</si>
  <si>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</si>
  <si>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</si>
  <si>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</si>
  <si>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</si>
  <si>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</si>
  <si>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</si>
  <si>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</si>
  <si>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</si>
  <si>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</si>
  <si>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</si>
  <si>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</si>
  <si>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</si>
  <si>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</si>
  <si>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</si>
  <si>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</si>
  <si>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</si>
  <si>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</si>
  <si>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</si>
  <si>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</si>
  <si>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</si>
  <si>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</si>
  <si>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</si>
  <si>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</si>
  <si>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</si>
  <si>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</si>
  <si>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</si>
  <si>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</si>
  <si>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</si>
  <si>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</si>
  <si>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</si>
  <si>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</si>
  <si>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</si>
  <si>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</si>
  <si>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</si>
  <si>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</si>
  <si>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</si>
  <si>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</si>
  <si>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</si>
  <si>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</si>
  <si>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</si>
  <si>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</si>
  <si>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</si>
  <si>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</si>
  <si>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Cost of Service comprises Sections 1 thru 3 Direct Maintenance, Non-Direct Expense, and Other Specific Expenses Cost Components.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</si>
  <si>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</si>
  <si>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</si>
  <si>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</si>
  <si>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</si>
  <si>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</si>
  <si>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</si>
  <si>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</si>
  <si>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Statement AH</t>
  </si>
  <si>
    <t>Operation and Maintenance Expenses</t>
  </si>
  <si>
    <t>FERC Form 1</t>
  </si>
  <si>
    <t>Page; Line; Col.</t>
  </si>
  <si>
    <t>Derivation of Direct Maintenance Expense:</t>
  </si>
  <si>
    <t>Total Direct Maintenance Cost</t>
  </si>
  <si>
    <t>AH-1; Line 50</t>
  </si>
  <si>
    <t>Derivation of Non-Direct Transmission Operation and Maintenance Expense:</t>
  </si>
  <si>
    <t>Total Non-Direct Transmission O&amp;M Expense</t>
  </si>
  <si>
    <t>AH-2; Line 37; Col. a</t>
  </si>
  <si>
    <t>Adjustments to Per Book Transmission O&amp;M Expense:</t>
  </si>
  <si>
    <t xml:space="preserve">   Scheduling, System Control &amp; Dispatch Services</t>
  </si>
  <si>
    <t>Negative of AH-2; Line 44; Col. b</t>
  </si>
  <si>
    <t xml:space="preserve">   Reliability, Planning &amp; Standards Development</t>
  </si>
  <si>
    <t>Negative of AH-2; Line 45; Col. b</t>
  </si>
  <si>
    <t xml:space="preserve">   Station Expenses</t>
  </si>
  <si>
    <t>Negative of AH-2; Line 46; Col. b</t>
  </si>
  <si>
    <t xml:space="preserve">   Underground Line Expense</t>
  </si>
  <si>
    <t>Negative of AH-2; Line 47; Col. b</t>
  </si>
  <si>
    <t xml:space="preserve">   Transmission of Electricity by Others</t>
  </si>
  <si>
    <t>Negative of AH-2; Line 48; Col. b</t>
  </si>
  <si>
    <t xml:space="preserve">   Miscellaneous Transmission Expense </t>
  </si>
  <si>
    <t>Negative of AH-2; Line 56; Col. b</t>
  </si>
  <si>
    <t xml:space="preserve">   Maintenance of Station Equipment</t>
  </si>
  <si>
    <t>Negative of AH-2; Line 57; Col. b</t>
  </si>
  <si>
    <t xml:space="preserve">   Maintenance of Overhead Lines</t>
  </si>
  <si>
    <t>Negative of AH-2; Line 58; Col. b</t>
  </si>
  <si>
    <t xml:space="preserve">   Maintenance of Underground Lines</t>
  </si>
  <si>
    <t>Negative of AH-2; Line 59; Col. b</t>
  </si>
  <si>
    <t xml:space="preserve">   Other Transmission Non-Direct O&amp;M Exclusion Adjustments </t>
  </si>
  <si>
    <t xml:space="preserve">Negative of AH-2; Line 43; Col. b 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</si>
  <si>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</si>
  <si>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</si>
  <si>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</si>
  <si>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AH-3; Line 21; Col. a</t>
  </si>
  <si>
    <t>Adjustments to Per Book A&amp;G Expense:</t>
  </si>
  <si>
    <t xml:space="preserve"> </t>
  </si>
  <si>
    <t xml:space="preserve">   Abandoned Projects</t>
  </si>
  <si>
    <t>Negative of AH-3; Line 52; Col. a</t>
  </si>
  <si>
    <t xml:space="preserve">   CPUC energy efficiency programs</t>
  </si>
  <si>
    <t xml:space="preserve">Negative of AH-3; Sum Lines 25, 28, 32, 38, 41, 46, 55; Col. a </t>
  </si>
  <si>
    <t xml:space="preserve">   CPUC Intervenor Funding Expense - Transmission</t>
  </si>
  <si>
    <t>Negative of AH-3; Line 48; Col. a</t>
  </si>
  <si>
    <t xml:space="preserve">   CPUC Intervenor Funding Expense - Distribution</t>
  </si>
  <si>
    <t>Negative of AH-3; Line 49; Col. a</t>
  </si>
  <si>
    <t xml:space="preserve">   CPUC reimbursement fees</t>
  </si>
  <si>
    <t>Negative of AH-3; Line 45; Col. a</t>
  </si>
  <si>
    <t xml:space="preserve">   Injuries &amp; Damages</t>
  </si>
  <si>
    <t>Not Applicable to 2020 Base Period</t>
  </si>
  <si>
    <t xml:space="preserve">   General Advertising Expenses </t>
  </si>
  <si>
    <t>Negative of AH-3; Line 51; Col. b</t>
  </si>
  <si>
    <t xml:space="preserve">   Franchise Requirements</t>
  </si>
  <si>
    <t>Negative of AH-3; Line 44; Col. b</t>
  </si>
  <si>
    <t xml:space="preserve">   Hazardous substances - Hazardous Substance Cleanup Cost Account</t>
  </si>
  <si>
    <t>Negative of AH-3; Line 56; Col. a</t>
  </si>
  <si>
    <t xml:space="preserve">   Litigation expenses - Litigation Cost Memorandum Account (LCMA)</t>
  </si>
  <si>
    <t xml:space="preserve">Negative of AH-3; Line 47; Col. a   </t>
  </si>
  <si>
    <t xml:space="preserve">   Other A&amp;G Exclusion Adjustments</t>
  </si>
  <si>
    <t>Negative of AH-3; Sum Lines 26, 27, 29, 30, 33, 34, 35, 36, 37, 39, 40, 42, 43, 50, 53, 54; Col. a and Line 31; Col. b</t>
  </si>
  <si>
    <t xml:space="preserve">   Other Cost Adjustments</t>
  </si>
  <si>
    <t xml:space="preserve">     Total Adjusted Non-Direct A&amp;G Expenses Including Property Insurance</t>
  </si>
  <si>
    <t>Less: Property Insurance (Due to different allocation factor)</t>
  </si>
  <si>
    <t>Negative of AH-3; Line 5; Col. c</t>
  </si>
  <si>
    <t>Total Adjusted Non-Direct A&amp;G Expenses Excluding Property Insurance</t>
  </si>
  <si>
    <t>Transmission Wages and Salaries Allocation Factor</t>
  </si>
  <si>
    <t>Statement AI; Line 17</t>
  </si>
  <si>
    <t>Transmission Related Non-Direct Administrative &amp; General Expenses</t>
  </si>
  <si>
    <t>Property Insurance Allocated to Transmission, General, and Common Plant</t>
  </si>
  <si>
    <t xml:space="preserve">     Transmission Related Non-Direct A&amp;G Expense Including Property Insurance Expense</t>
  </si>
  <si>
    <t>Derivation of Transmission Plant Property Insurance Allocation Factor:</t>
  </si>
  <si>
    <t>Transmission Plant &amp; Incentive Transmission Plant</t>
  </si>
  <si>
    <t>Statement AD; Line 25</t>
  </si>
  <si>
    <t>Transmission Related Electric Miscellaneous Intangible Plant</t>
  </si>
  <si>
    <t>Shall be Zero</t>
  </si>
  <si>
    <t>Transmission Related General Plant</t>
  </si>
  <si>
    <t>Statement AD; Line 29</t>
  </si>
  <si>
    <t xml:space="preserve">Transmission Related Common Plant </t>
  </si>
  <si>
    <t>Statement AD; Line 31</t>
  </si>
  <si>
    <t xml:space="preserve">     Total Transmission Related Investment in Plant</t>
  </si>
  <si>
    <t>Total Transmission Plant &amp; Incentive Transmission Plant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</si>
  <si>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</si>
  <si>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</si>
  <si>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</si>
  <si>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</si>
  <si>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</si>
  <si>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</si>
  <si>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</si>
  <si>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</si>
  <si>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</si>
  <si>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</si>
  <si>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</si>
  <si>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</si>
  <si>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</si>
  <si>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>Used to allocate property insurance in conformance with the TO5 Formula Rate Mechanism.</t>
  </si>
  <si>
    <t>Administrative &amp; General Expenses</t>
  </si>
  <si>
    <t xml:space="preserve"> 12 Months Ending December 31, 2020</t>
  </si>
  <si>
    <t>(a)</t>
  </si>
  <si>
    <t>(b)</t>
  </si>
  <si>
    <t xml:space="preserve">(c) = (a) - (b) </t>
  </si>
  <si>
    <r>
      <t>(d)</t>
    </r>
    <r>
      <rPr>
        <b/>
        <vertAlign val="superscript"/>
        <sz val="12"/>
        <rFont val="Times New Roman"/>
        <family val="1"/>
      </rPr>
      <t xml:space="preserve"> </t>
    </r>
  </si>
  <si>
    <t>(e) = (c) + (d)</t>
  </si>
  <si>
    <t>FERC</t>
  </si>
  <si>
    <t>Total</t>
  </si>
  <si>
    <t>Excluded</t>
  </si>
  <si>
    <t xml:space="preserve">Add / (Deduct) </t>
  </si>
  <si>
    <t>Revised</t>
  </si>
  <si>
    <t>Acct</t>
  </si>
  <si>
    <t>Per Books</t>
  </si>
  <si>
    <t>Expenses</t>
  </si>
  <si>
    <t>Adjusted</t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</si>
  <si>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</si>
  <si>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</si>
  <si>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</si>
  <si>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</si>
  <si>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</si>
  <si>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</si>
  <si>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</si>
  <si>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</si>
  <si>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</si>
  <si>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</si>
  <si>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</si>
  <si>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</si>
  <si>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</si>
  <si>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</si>
  <si>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</si>
  <si>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t>Employee Pensions &amp; Benefits</t>
  </si>
  <si>
    <t>Form 1; Page 323; Line 187</t>
  </si>
  <si>
    <t xml:space="preserve">Franchise Requirements </t>
  </si>
  <si>
    <t>Form 1; Page 323; Line 188</t>
  </si>
  <si>
    <t xml:space="preserve">Regulatory Commission Expenses  </t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</si>
  <si>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</si>
  <si>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</si>
  <si>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</si>
  <si>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</si>
  <si>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</si>
  <si>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</si>
  <si>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</si>
  <si>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Rents</t>
  </si>
  <si>
    <t>Form 1; Page 323; Line 193</t>
  </si>
  <si>
    <t>Maintenance of General Plant</t>
  </si>
  <si>
    <t>Form 1; Page 323; Line 196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</si>
  <si>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</si>
  <si>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</si>
  <si>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</si>
  <si>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</si>
  <si>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CPUC energy efficiency programs</t>
  </si>
  <si>
    <t>CEMA Costs</t>
  </si>
  <si>
    <t>WMPMA Costs</t>
  </si>
  <si>
    <r>
      <t xml:space="preserve">Other Exclusion - 3P Adjustment </t>
    </r>
    <r>
      <rPr>
        <b/>
        <vertAlign val="superscript"/>
        <sz val="12"/>
        <rFont val="Times New Roman"/>
        <family val="1"/>
      </rPr>
      <t>2</t>
    </r>
  </si>
  <si>
    <r>
      <t xml:space="preserve">Other Exclusion - FERC Audit Adjustment (Finding #3) </t>
    </r>
    <r>
      <rPr>
        <b/>
        <vertAlign val="superscript"/>
        <sz val="12"/>
        <rFont val="Times New Roman"/>
        <family val="1"/>
      </rPr>
      <t>3</t>
    </r>
  </si>
  <si>
    <r>
      <t xml:space="preserve">Other Exclusion - FERC Audit Adjustment (Finding #8) </t>
    </r>
    <r>
      <rPr>
        <b/>
        <vertAlign val="superscript"/>
        <sz val="12"/>
        <rFont val="Times New Roman"/>
        <family val="1"/>
      </rPr>
      <t>3</t>
    </r>
  </si>
  <si>
    <t>Customer Information System</t>
  </si>
  <si>
    <t xml:space="preserve">CPUC reimbursement fees  </t>
  </si>
  <si>
    <t>Litigation expenses - Litigation Cost Memorandum Account (LCMA)</t>
  </si>
  <si>
    <t>CPUC Intervenor Funding Expense - Transmission</t>
  </si>
  <si>
    <t>CPUC Intervenor Funding Expense - Distribution</t>
  </si>
  <si>
    <r>
      <t xml:space="preserve">Other Exclusion - FERC Audit Adjustment (Finding #5) </t>
    </r>
    <r>
      <rPr>
        <b/>
        <vertAlign val="superscript"/>
        <sz val="12"/>
        <rFont val="Times New Roman"/>
        <family val="1"/>
      </rPr>
      <t>3</t>
    </r>
  </si>
  <si>
    <t>Abandoned Projects</t>
  </si>
  <si>
    <r>
      <t xml:space="preserve">Other Exclusion - FERC Audit Adjustment (Finding #7) </t>
    </r>
    <r>
      <rPr>
        <b/>
        <vertAlign val="superscript"/>
        <sz val="12"/>
        <rFont val="Times New Roman"/>
        <family val="1"/>
      </rPr>
      <t>3</t>
    </r>
  </si>
  <si>
    <r>
      <t xml:space="preserve">2019 Abandoned Projects Correction </t>
    </r>
    <r>
      <rPr>
        <b/>
        <vertAlign val="superscript"/>
        <sz val="12"/>
        <rFont val="Times New Roman"/>
        <family val="1"/>
      </rPr>
      <t>4</t>
    </r>
  </si>
  <si>
    <t xml:space="preserve">CPUC energy efficiency programs  </t>
  </si>
  <si>
    <t xml:space="preserve">Hazardous Substances-Hazardous Substance Cleanup Cost Account </t>
  </si>
  <si>
    <t>Total Excluded Expenses</t>
  </si>
  <si>
    <t>This amount represents the Non-Direct A&amp;G expenses billed to Citizens in 2020, which is added back to derive Total Adjusted A&amp;G Expenses in SAP</t>
  </si>
  <si>
    <t>Account 7000717, which was created to track Citizens Border East Line A&amp;G Expense.</t>
  </si>
  <si>
    <t>2</t>
  </si>
  <si>
    <t>Represents reclassification of 2018 and 2019 3P (People, Process, Priorities) project costs from O&amp;M FERC Accounts 560, 566, 580, and 588 to A&amp;G FERC</t>
  </si>
  <si>
    <t>Account 923, in 2020. Entries are excluded here and reflected as an "Other Adjustments" in Cycle 10 (see separate Cost Adjustment workpapers).</t>
  </si>
  <si>
    <t>3</t>
  </si>
  <si>
    <t>Adjusting journal entries related to prior year O&amp;M and A&amp;G costs (2016 - 2019) that resulted from the 2020 FERC Audit are excluded from Appendix X Cycle 10.</t>
  </si>
  <si>
    <t>The impacts of the adjusting entries is reflected in the per book amount and were excluded from the adjusted 2020 total. The impact of FERC Audit adjustments</t>
  </si>
  <si>
    <t>and corresponding refunds will be accounted for in a separate refund analysis filed with FERC.</t>
  </si>
  <si>
    <t>4</t>
  </si>
  <si>
    <t>Represents reclassification of 2019 abandoned project costs from A&amp;G FERC Account 930.2 to FERC Account 426.5. Entry is excluded here and reflected as</t>
  </si>
  <si>
    <t>an "Other Adjustments" in Cycle 10 (see separate Cost Adjustment workpapers).</t>
  </si>
  <si>
    <t>Removal of EPRI dues from Appendix X Cycle 10 and going forward per response to Six Cities protest.</t>
  </si>
  <si>
    <t>Add back of credit balance included in FERC account 930.2 related to electric vehicles or clean transportation initiatives which is a balancing account.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</si>
  <si>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</si>
  <si>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</si>
  <si>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</si>
  <si>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</si>
  <si>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</si>
  <si>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</si>
  <si>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  <r>
      <rPr>
        <vertAlign val="superscript"/>
        <sz val="12"/>
        <rFont val="Times New Roman"/>
        <family val="1"/>
      </rPr>
      <t>,</t>
    </r>
    <r>
      <rPr>
        <b/>
        <vertAlign val="superscript"/>
        <sz val="12"/>
        <rFont val="Times New Roman"/>
        <family val="1"/>
      </rPr>
      <t>2</t>
    </r>
  </si>
  <si>
    <t>450.1; Sch. Pg. 227; 12; c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</si>
  <si>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</si>
  <si>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</si>
  <si>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</si>
  <si>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</si>
  <si>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</si>
  <si>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</si>
  <si>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</si>
  <si>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</si>
  <si>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</si>
  <si>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</si>
  <si>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</si>
  <si>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</si>
  <si>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</si>
  <si>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>Statement AH; Line 40</t>
  </si>
  <si>
    <t>Negative of Statement AH; Line 24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</si>
  <si>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</si>
  <si>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</si>
  <si>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</si>
  <si>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</si>
  <si>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</si>
  <si>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</si>
  <si>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The balances for Materials &amp; Supplies and Prepayments are derived based on a 13-month average balance.</t>
  </si>
  <si>
    <t>The 13-Month Avg. for Electric Materials &amp; Supplies included on FERC Form 1; Page 450.1; Sch. Pg. 227; Line 12; Col c is incorrect. During the preparation of the Appendix X Cycle 10 filing,</t>
  </si>
  <si>
    <t>an error was identified in the allocation used to prepare the footnote. The 13-Month Avg. included in Appendix X Cycle 10 is the correct amount.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</si>
  <si>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</si>
  <si>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</si>
  <si>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</si>
  <si>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</si>
  <si>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</si>
  <si>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</si>
  <si>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</si>
  <si>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</si>
  <si>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</si>
  <si>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</si>
  <si>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</si>
  <si>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</si>
  <si>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</si>
  <si>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</si>
  <si>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</si>
  <si>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</si>
  <si>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</si>
  <si>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</si>
  <si>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</si>
  <si>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</si>
  <si>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</si>
  <si>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</si>
  <si>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</si>
  <si>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</si>
  <si>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</si>
  <si>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</si>
  <si>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</si>
  <si>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</si>
  <si>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</si>
  <si>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</si>
  <si>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</si>
  <si>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</si>
  <si>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</si>
  <si>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</si>
  <si>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</si>
  <si>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</si>
  <si>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</si>
  <si>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</si>
  <si>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</si>
  <si>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</si>
  <si>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</si>
  <si>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</si>
  <si>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</si>
  <si>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</si>
  <si>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</si>
  <si>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</si>
  <si>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</si>
  <si>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</si>
  <si>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</si>
  <si>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</si>
  <si>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</si>
  <si>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</si>
  <si>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</si>
  <si>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</si>
  <si>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</si>
  <si>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</si>
  <si>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</si>
  <si>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</si>
  <si>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</si>
  <si>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</si>
  <si>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</si>
  <si>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</si>
  <si>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</si>
  <si>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</si>
  <si>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</si>
  <si>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</si>
  <si>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</si>
  <si>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</si>
  <si>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</si>
  <si>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</si>
  <si>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</si>
  <si>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</si>
  <si>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>AV-2A; Line 40</t>
  </si>
  <si>
    <t xml:space="preserve">     D = Transmission Rate Base</t>
  </si>
  <si>
    <t>AV-4; Page 1; Line 26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</si>
  <si>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</si>
  <si>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</si>
  <si>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</si>
  <si>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</si>
  <si>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</si>
  <si>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</si>
  <si>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</si>
  <si>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</si>
  <si>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</si>
  <si>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</si>
  <si>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</si>
  <si>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</si>
  <si>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</si>
  <si>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</si>
  <si>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</si>
  <si>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</si>
  <si>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</si>
  <si>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</si>
  <si>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</si>
  <si>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</si>
  <si>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</si>
  <si>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</si>
  <si>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</si>
  <si>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</si>
  <si>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</si>
  <si>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</si>
  <si>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AV-2A; Line 42</t>
  </si>
  <si>
    <t xml:space="preserve">Derivation of End Use Transmission Rate Base </t>
  </si>
  <si>
    <t>A. Derivation of Transmission Rate Base:</t>
  </si>
  <si>
    <t>Net Transmission Plant:</t>
  </si>
  <si>
    <t>Transmission Plant</t>
  </si>
  <si>
    <t>Page 2; Line 16</t>
  </si>
  <si>
    <t>Page 2; Line 17</t>
  </si>
  <si>
    <t>Page 2; Line 18</t>
  </si>
  <si>
    <t>Transmission Related Common Plant</t>
  </si>
  <si>
    <t>Page 2;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</si>
  <si>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</si>
  <si>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</si>
  <si>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</si>
  <si>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</si>
  <si>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</si>
  <si>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</si>
  <si>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Misc.; Line 3</t>
  </si>
  <si>
    <t xml:space="preserve">     Total Rate Base Additions</t>
  </si>
  <si>
    <t>Line 9 + Line 10</t>
  </si>
  <si>
    <t>Rate Base Reductions:</t>
  </si>
  <si>
    <t>Transmission Related Accum. Def. Inc. Taxes</t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</si>
  <si>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</si>
  <si>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</si>
  <si>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</si>
  <si>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</si>
  <si>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</si>
  <si>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</si>
  <si>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</si>
  <si>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</si>
  <si>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</si>
  <si>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</si>
  <si>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Sum Lines 19 thru 21</t>
  </si>
  <si>
    <t>Other Regulatory Assets/Liabilities</t>
  </si>
  <si>
    <t>Statement Misc.; Line 5</t>
  </si>
  <si>
    <t xml:space="preserve">     Total Transmission Rate Base</t>
  </si>
  <si>
    <t>Sum Lines 6, 11, 16, 22, 24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</si>
  <si>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</si>
  <si>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</si>
  <si>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</si>
  <si>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</si>
  <si>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29 + Line 30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</si>
  <si>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</si>
  <si>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</si>
  <si>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</si>
  <si>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</si>
  <si>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34 + Line 35</t>
  </si>
  <si>
    <t>D. Incentive Transmission Construction Work In Progress</t>
  </si>
  <si>
    <t>A. Derivation of Net Transmission Plant:</t>
  </si>
  <si>
    <t>Gross Transmission Plant:</t>
  </si>
  <si>
    <t>Statement AD; Line 11</t>
  </si>
  <si>
    <t>Transmission Related Electric Misc. Intangible Plant</t>
  </si>
  <si>
    <t>Statement AD; Line 27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</si>
  <si>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</si>
  <si>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</si>
  <si>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</si>
  <si>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</si>
  <si>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</si>
  <si>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</si>
  <si>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</si>
  <si>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</si>
  <si>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</si>
  <si>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</si>
  <si>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</si>
  <si>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</si>
  <si>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</si>
  <si>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</si>
  <si>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</si>
  <si>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</si>
  <si>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</si>
  <si>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</si>
  <si>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</si>
  <si>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</si>
  <si>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</si>
  <si>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</si>
  <si>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 xml:space="preserve">Appendix X Cycle 11Annual Informational Filing </t>
  </si>
  <si>
    <t>Derivation of Interest Expense on Other Adjustments Applicable to Appendix X Cycle 10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</si>
  <si>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</si>
  <si>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</si>
  <si>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</si>
  <si>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</si>
  <si>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</si>
  <si>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</si>
  <si>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</si>
  <si>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</si>
  <si>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AH-3; Line 20; Col. d</t>
  </si>
  <si>
    <r>
      <t xml:space="preserve">Statement AF </t>
    </r>
    <r>
      <rPr>
        <b/>
        <vertAlign val="superscript"/>
        <sz val="12"/>
        <rFont val="Times New Roman"/>
        <family val="1"/>
      </rPr>
      <t>1</t>
    </r>
  </si>
  <si>
    <t>Deferred Credits</t>
  </si>
  <si>
    <t>(c) = [(a)+(b)]/2</t>
  </si>
  <si>
    <t>FERC Account 190</t>
  </si>
  <si>
    <t>FERC Account 282</t>
  </si>
  <si>
    <t>FERC Account 283</t>
  </si>
  <si>
    <r>
      <t xml:space="preserve">     Total Transmission Related ADIT </t>
    </r>
    <r>
      <rPr>
        <b/>
        <vertAlign val="superscript"/>
        <sz val="12"/>
        <rFont val="Times New Roman"/>
        <family val="1"/>
      </rPr>
      <t>2</t>
    </r>
  </si>
  <si>
    <t>Incentive Transmission Plant ADIT</t>
  </si>
  <si>
    <t>Transmission Plant Abandoned ADIT</t>
  </si>
  <si>
    <t>Incentive Transmission Plant Abandoned Project Cost ADIT</t>
  </si>
  <si>
    <t>Statement AF is utilized in the derivation of Transmission Rate Base for use in Statement AV.</t>
  </si>
  <si>
    <t xml:space="preserve">The allocated general and common accumulated deferred income taxes are included in the total transmission related accumulated deferred income taxes. See FERC Form 1; Page 450.1; Sch. Pg. 274; </t>
  </si>
  <si>
    <t>Line 2; Col. b and k.</t>
  </si>
  <si>
    <t xml:space="preserve">STATEMENT AF </t>
  </si>
  <si>
    <t>ACCUMULATED DEFERRED INCOME TAXES - ELECTRIC TRANSMISSION</t>
  </si>
  <si>
    <t>(d) = [Sum (a) thru (c)]</t>
  </si>
  <si>
    <t xml:space="preserve">Remeasured </t>
  </si>
  <si>
    <t>Excess Reserve</t>
  </si>
  <si>
    <t>Amount</t>
  </si>
  <si>
    <t>Protected</t>
  </si>
  <si>
    <t>Unprotected</t>
  </si>
  <si>
    <t>Account 190 (Non-Citizens)</t>
  </si>
  <si>
    <t xml:space="preserve">   Compensation Related Items</t>
  </si>
  <si>
    <t xml:space="preserve">   Post Retirement Benefits</t>
  </si>
  <si>
    <t xml:space="preserve">   Net Operating Loss</t>
  </si>
  <si>
    <t xml:space="preserve">     Total of Account 190</t>
  </si>
  <si>
    <t>Account 282 (Non-Citizens)</t>
  </si>
  <si>
    <t xml:space="preserve">   Accumulated Depreciation Timing Differences</t>
  </si>
  <si>
    <t xml:space="preserve">     Total of Account 282</t>
  </si>
  <si>
    <t>Account 283 (Non-Citizens)</t>
  </si>
  <si>
    <t xml:space="preserve">   Ad Valorem Taxes</t>
  </si>
  <si>
    <t xml:space="preserve">     Total of Account 283</t>
  </si>
  <si>
    <t>Account 190 (Citizens Sunrise)</t>
  </si>
  <si>
    <t>Account 282 (Citizens Sunrise)</t>
  </si>
  <si>
    <t>Account 283 (Citizens Sunrise)</t>
  </si>
  <si>
    <t>Statement AR</t>
  </si>
  <si>
    <t>Federal Tax Adjustments</t>
  </si>
  <si>
    <t>Transmission Related Amortization of Investment Tax Credits</t>
  </si>
  <si>
    <t>450.1; Sch. Pg. 266; 8; f</t>
  </si>
  <si>
    <t>Transmission Related Amortization of Excess Deferred Tax Liabilities</t>
  </si>
  <si>
    <t xml:space="preserve">   FERC Account 190</t>
  </si>
  <si>
    <t>450.1; Sch. Pg. 234; 2; c</t>
  </si>
  <si>
    <t xml:space="preserve">   FERC Account 282</t>
  </si>
  <si>
    <t>450.1; Sch. Pg. 274; 2; k</t>
  </si>
  <si>
    <t xml:space="preserve">   FERC Account 283</t>
  </si>
  <si>
    <t>450.1; Sch. Pg. 276; 3; k</t>
  </si>
  <si>
    <t>Total Transmission Related Amortization of Excess Deferred Tax Liabilities</t>
  </si>
  <si>
    <t>Other Federal Tax Adjustments</t>
  </si>
  <si>
    <r>
      <t xml:space="preserve">     Total Federal Tax Adjustments </t>
    </r>
    <r>
      <rPr>
        <b/>
        <vertAlign val="superscript"/>
        <sz val="12"/>
        <rFont val="Times New Roman"/>
        <family val="1"/>
      </rPr>
      <t>1</t>
    </r>
  </si>
  <si>
    <t>STATEMENT AR</t>
  </si>
  <si>
    <t>AMORTIZATION OF TRANSMISSION RELATED EXCESS DEFERRED TAX LIABILITIES</t>
  </si>
  <si>
    <t>(c) = [(a) + (b)]</t>
  </si>
  <si>
    <t>SDG&amp;E Records</t>
  </si>
  <si>
    <t>2020 Form 1; Page 450.1; Sch. Pg. 274; Line 2; Col. k</t>
  </si>
  <si>
    <t>Account 190 (Citizens)</t>
  </si>
  <si>
    <t>2020 Form 1; Page 450.1; Sch. Pg. 234; Line 2; Col. c</t>
  </si>
  <si>
    <t>Account 282 (Citizens)</t>
  </si>
  <si>
    <t>Account 283 (Citizens)</t>
  </si>
  <si>
    <t>Source: Appendix X Cycle 10; ER22-139</t>
  </si>
  <si>
    <t>31-Dec-19</t>
  </si>
  <si>
    <t>31-Dec-20</t>
  </si>
  <si>
    <t>AF-1 and AF-2; Line 5 + Line 21; Col. d</t>
  </si>
  <si>
    <t>AF-1 and AF-2; Line 10 + Line 26; Col. d</t>
  </si>
  <si>
    <t>AF-1 and AF-2; Line 15 + Line 31; Col. d</t>
  </si>
  <si>
    <t>AF-1 and AF-2; Line 34; Col. d</t>
  </si>
  <si>
    <t>Base Period 12 Months Ending December 31, 2019</t>
  </si>
  <si>
    <t>2020 Form 1; Page 450.1; Sch. Pg. 234; Line 8; Col. b</t>
  </si>
  <si>
    <t>2020 Form 1; Page 450.1; Sch. Pg. 274; Line 2; Col. b</t>
  </si>
  <si>
    <t>2020 Form 1; Page 450.1; Sch. Pg. 276; Line 3; Col. b</t>
  </si>
  <si>
    <t>2019 Form 1; Page 450.1; Sch. Pg. 234; Line 8; Col. b</t>
  </si>
  <si>
    <t>2019 Form 1; Page 450.1; Sch. Pg. 274; Line 2; Col. b</t>
  </si>
  <si>
    <t>Not Applicable to 2019 Base Period</t>
  </si>
  <si>
    <t>Base Period 12 Months Ending December 31, 2020</t>
  </si>
  <si>
    <t>2020 Form 1; Page 450.1; Sch. Pg. 234; Line 8; Col. c</t>
  </si>
  <si>
    <t>2020 Form 1; Page 450.1; Sch. Pg. 276; Line 3; Col. k</t>
  </si>
  <si>
    <t>AR-1; Line 6 + Line 22; Col. c</t>
  </si>
  <si>
    <t>AR-1; Line 11 + Line 27; Col. c</t>
  </si>
  <si>
    <t>AR-1; Line 16 + Line 32; Col. c</t>
  </si>
  <si>
    <t>Information on Statement AR is used in Statement AV2, Line 7 to calculate the Cost of Capital Rate.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</si>
  <si>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</si>
  <si>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</si>
  <si>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</si>
  <si>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</si>
  <si>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</si>
  <si>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</si>
  <si>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</si>
  <si>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</si>
  <si>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</si>
  <si>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</si>
  <si>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C. Derivation of Citizens Border East Line Cost of Removal</t>
  </si>
  <si>
    <t>FERC Account</t>
  </si>
  <si>
    <t xml:space="preserve">   354 - Towers &amp; Fixtures</t>
  </si>
  <si>
    <t>TO5 Transmission Plant Deprec. Rates WP</t>
  </si>
  <si>
    <t xml:space="preserve">   356 - Overhead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</si>
  <si>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</si>
  <si>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</si>
  <si>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</si>
  <si>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</si>
  <si>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</si>
  <si>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</si>
  <si>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Page 17; Line 45; Col. 5</t>
  </si>
  <si>
    <t>Filing. In this Appendix X Cycle 11 Informational Filing, SDG&amp;E is correcting Appendix X Cycle 10 for approximately ($2K) for various 2020 adjustments.</t>
  </si>
  <si>
    <t>to the original Sunrise Appendix X Cycle 10 filing per ER22-139.</t>
  </si>
  <si>
    <t>AV-2B; Line 17</t>
  </si>
  <si>
    <t>Items in BOLD have changed due to A&amp;G adjustments as compared to the original Sunrise Appendix X Cycle 10 filing per ER22-139.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</si>
  <si>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1, 2</t>
    </r>
  </si>
  <si>
    <t>Negative of AH-3; Line 51; Col. a</t>
  </si>
  <si>
    <t xml:space="preserve">Negative of AH-3; Sum Lines 24, 27, 31, 37, 40, 45, 54; Col. a </t>
  </si>
  <si>
    <t>Negative of AH-3; Line 47; Col. a</t>
  </si>
  <si>
    <t>Negative of AH-3; Line 43; Col. a</t>
  </si>
  <si>
    <t>Negative of AH-3; Line 50; Col. b</t>
  </si>
  <si>
    <t>Negative of AH-3; Line 43; Col. b</t>
  </si>
  <si>
    <t>Negative of AH-3; Line 55; Col. a</t>
  </si>
  <si>
    <t xml:space="preserve">Negative of AH-3; Line 46; Col. a   </t>
  </si>
  <si>
    <t>Negative of AH-3; Sum Lines 25, 26, 28, 29, 32, 33, 34, 35, 36, 38, 39, 41, 42, 49, 52, 53; Col. a and Line 30; Col. b</t>
  </si>
  <si>
    <t>AH-1; Line 44</t>
  </si>
  <si>
    <t>AH-3; Line 20; Col. a</t>
  </si>
  <si>
    <t xml:space="preserve">   Net Operating Loss </t>
  </si>
  <si>
    <t>Items in BOLD have changed due to the removal of CIAC related ADIT per SDG&amp;E's TO5 Cycle 4 Letter Order determination in ER22-527 as compared to the original TO5 Cycle 4 filing.</t>
  </si>
  <si>
    <t>None of the CIAC related ADIT is allocated to Citizens, thus only the SDG&amp;E amounts reported in the filings are being revised.</t>
  </si>
  <si>
    <t xml:space="preserve">Items in BOLD have changed due to A&amp;G adjustments and removal of CIAC related ADIT per SDG&amp;E's TO5 Cycle 4 Letter Order determination in ER22-527 as compared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</si>
</sst>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0.00000%"/>
    <numFmt numFmtId="168" formatCode="#,##0.0_);\(#,##0.0\)"/>
    <numFmt numFmtId="169" formatCode="0.0000%"/>
    <numFmt numFmtId="170" formatCode="0.000000"/>
    <numFmt numFmtId="171" formatCode="_(&quot;$&quot;* #,##0.000_);_(&quot;$&quot;* \(#,##0.000\);_(&quot;$&quot;* &quot;-&quot;??_);_(@_)"/>
    <numFmt numFmtId="172" formatCode="_(* #,##0.000_);_(* \(#,##0.000\);_(* &quot;-&quot;??_);_(@_)"/>
    <numFmt numFmtId="173" formatCode="&quot;$&quot;#,##0"/>
    <numFmt numFmtId="174" formatCode="0.0%"/>
    <numFmt numFmtId="175" formatCode="_(&quot;$&quot;* #,##0,_);_(&quot;$&quot;* \(#,##0,\);_(&quot;$&quot;* &quot;-&quot;??_);_(@_)"/>
    <numFmt numFmtId="176" formatCode="&quot;$&quot;#,##0,_);[Red]\(&quot;$&quot;#,##0,\)"/>
    <numFmt numFmtId="177" formatCode="00000"/>
    <numFmt numFmtId="178" formatCode="0.000"/>
    <numFmt numFmtId="179" formatCode="0_);\(0\)"/>
    <numFmt numFmtId="180" formatCode="_(* #,##0.0_);_(* \(#,##0.0\);_(* &quot;-&quot;??_);_(@_)"/>
    <numFmt numFmtId="181" formatCode="[$-409]d\-mmm\-yy;@"/>
    <numFmt numFmtId="182" formatCode="_(&quot;$&quot;* #,##0.0000000_);_(&quot;$&quot;* \(#,##0.0000000\);_(&quot;$&quot;* &quot;-&quot;??_);_(@_)"/>
    <numFmt numFmtId="183" formatCode="_(* #,##0.0000_);_(* \(#,##0.0000\);_(* &quot;-&quot;??_);_(@_)"/>
    <numFmt numFmtId="184" formatCode="_(* #,##0.00000_);_(* \(#,##0.0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3"/>
      <name val="Times New Roman"/>
      <family val="1"/>
    </font>
    <font>
      <sz val="12"/>
      <color rgb="FF0000FF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8"/>
      <name val="Arial"/>
      <family val="2"/>
    </font>
    <font>
      <sz val="11"/>
      <name val="Calibri"/>
      <family val="2"/>
      <scheme val="minor"/>
    </font>
    <font>
      <strike/>
      <sz val="12"/>
      <color rgb="FFFF0000"/>
      <name val="Times New Roman"/>
      <family val="1"/>
    </font>
    <font>
      <b/>
      <strike/>
      <vertAlign val="superscript"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0" fontId="30" fillId="5" borderId="0"/>
    <xf numFmtId="41" fontId="1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82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37" fontId="9" fillId="0" borderId="0" xfId="0" applyNumberFormat="1" applyFont="1"/>
    <xf numFmtId="164" fontId="5" fillId="0" borderId="1" xfId="2" applyNumberFormat="1" applyFont="1" applyBorder="1"/>
    <xf numFmtId="164" fontId="9" fillId="0" borderId="0" xfId="0" applyNumberFormat="1" applyFont="1"/>
    <xf numFmtId="168" fontId="5" fillId="0" borderId="0" xfId="0" applyNumberFormat="1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0" borderId="0" xfId="2" applyNumberFormat="1" applyFont="1" applyFill="1" applyBorder="1"/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8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6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6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1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8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64" fontId="9" fillId="0" borderId="13" xfId="2" applyNumberFormat="1" applyFont="1" applyFill="1" applyBorder="1" applyAlignment="1">
      <alignment vertical="center"/>
    </xf>
    <xf numFmtId="165" fontId="9" fillId="0" borderId="13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22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3" xfId="2" applyNumberFormat="1" applyFont="1" applyFill="1" applyBorder="1" applyAlignment="1">
      <alignment vertical="center"/>
    </xf>
    <xf numFmtId="164" fontId="5" fillId="0" borderId="15" xfId="2" applyNumberFormat="1" applyFont="1" applyFill="1" applyBorder="1" applyAlignment="1">
      <alignment vertical="center"/>
    </xf>
    <xf numFmtId="0" fontId="18" fillId="0" borderId="27" xfId="0" applyFont="1" applyBorder="1" applyAlignment="1">
      <alignment horizontal="center"/>
    </xf>
    <xf numFmtId="164" fontId="5" fillId="0" borderId="28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65" fontId="9" fillId="0" borderId="13" xfId="1" applyNumberFormat="1" applyFont="1" applyFill="1" applyBorder="1" applyAlignment="1">
      <alignment horizontal="right" vertical="center"/>
    </xf>
    <xf numFmtId="37" fontId="9" fillId="0" borderId="10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9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8" xfId="2" applyNumberFormat="1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164" fontId="9" fillId="0" borderId="17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6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70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9" fontId="9" fillId="0" borderId="0" xfId="3" applyNumberFormat="1" applyFont="1" applyAlignment="1">
      <alignment horizontal="right" vertical="center"/>
    </xf>
    <xf numFmtId="169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70" fontId="9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9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9" fontId="9" fillId="0" borderId="0" xfId="3" applyNumberFormat="1" applyFont="1" applyBorder="1" applyAlignment="1">
      <alignment horizontal="right" vertical="center"/>
    </xf>
    <xf numFmtId="169" fontId="9" fillId="0" borderId="1" xfId="3" applyNumberFormat="1" applyFont="1" applyBorder="1" applyAlignment="1">
      <alignment horizontal="right" vertical="center"/>
    </xf>
    <xf numFmtId="169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10" xfId="11" applyFont="1" applyBorder="1" applyAlignment="1">
      <alignment horizontal="center" vertical="center"/>
    </xf>
    <xf numFmtId="0" fontId="5" fillId="0" borderId="19" xfId="11" applyFont="1" applyBorder="1" applyAlignment="1">
      <alignment horizontal="center"/>
    </xf>
    <xf numFmtId="0" fontId="5" fillId="0" borderId="11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/>
    </xf>
    <xf numFmtId="0" fontId="5" fillId="0" borderId="23" xfId="11" applyFont="1" applyBorder="1"/>
    <xf numFmtId="10" fontId="5" fillId="0" borderId="13" xfId="19" applyNumberFormat="1" applyFont="1" applyBorder="1" applyAlignment="1">
      <alignment horizont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2" xfId="11" applyFont="1" applyBorder="1" applyAlignment="1">
      <alignment horizontal="left"/>
    </xf>
    <xf numFmtId="164" fontId="9" fillId="2" borderId="13" xfId="20" applyNumberFormat="1" applyFont="1" applyFill="1" applyBorder="1" applyAlignment="1">
      <alignment horizontal="right" vertical="center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2" xfId="11" applyFont="1" applyBorder="1"/>
    <xf numFmtId="164" fontId="9" fillId="0" borderId="13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165" fontId="5" fillId="2" borderId="13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2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22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3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1" fontId="5" fillId="0" borderId="13" xfId="11" applyNumberFormat="1" applyFont="1" applyBorder="1" applyAlignment="1">
      <alignment vertical="center"/>
    </xf>
    <xf numFmtId="171" fontId="5" fillId="0" borderId="0" xfId="11" applyNumberFormat="1" applyFont="1" applyAlignment="1">
      <alignment vertical="center"/>
    </xf>
    <xf numFmtId="164" fontId="5" fillId="0" borderId="15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6" xfId="11" applyFont="1" applyBorder="1"/>
    <xf numFmtId="0" fontId="5" fillId="0" borderId="8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2" xfId="11" applyFont="1" applyBorder="1" applyAlignment="1">
      <alignment horizontal="center"/>
    </xf>
    <xf numFmtId="0" fontId="5" fillId="0" borderId="22" xfId="11" applyFont="1" applyBorder="1"/>
    <xf numFmtId="171" fontId="9" fillId="0" borderId="0" xfId="20" applyNumberFormat="1" applyFont="1" applyFill="1" applyBorder="1" applyAlignment="1">
      <alignment horizontal="right"/>
    </xf>
    <xf numFmtId="171" fontId="9" fillId="0" borderId="13" xfId="11" applyNumberFormat="1" applyFont="1" applyBorder="1" applyAlignment="1">
      <alignment horizontal="right"/>
    </xf>
    <xf numFmtId="171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2" fontId="5" fillId="0" borderId="13" xfId="1" applyNumberFormat="1" applyFont="1" applyFill="1" applyBorder="1" applyAlignment="1">
      <alignment horizontal="right"/>
    </xf>
    <xf numFmtId="165" fontId="9" fillId="0" borderId="13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2" fontId="9" fillId="0" borderId="0" xfId="1" applyNumberFormat="1" applyFont="1" applyFill="1" applyBorder="1" applyAlignment="1">
      <alignment horizontal="right"/>
    </xf>
    <xf numFmtId="165" fontId="9" fillId="0" borderId="13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3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1" fontId="5" fillId="0" borderId="13" xfId="14" applyNumberFormat="1" applyFont="1" applyBorder="1"/>
    <xf numFmtId="171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8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20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10" fontId="5" fillId="0" borderId="22" xfId="19" applyNumberFormat="1" applyFont="1" applyBorder="1" applyAlignment="1">
      <alignment horizontal="center"/>
    </xf>
    <xf numFmtId="10" fontId="5" fillId="0" borderId="14" xfId="19" applyNumberFormat="1" applyFont="1" applyBorder="1" applyAlignment="1">
      <alignment horizontal="center"/>
    </xf>
    <xf numFmtId="164" fontId="9" fillId="2" borderId="22" xfId="20" applyNumberFormat="1" applyFont="1" applyFill="1" applyBorder="1" applyAlignment="1">
      <alignment horizontal="right" vertical="center"/>
    </xf>
    <xf numFmtId="41" fontId="9" fillId="0" borderId="14" xfId="13" applyNumberFormat="1" applyFont="1" applyBorder="1" applyAlignment="1">
      <alignment horizontal="center"/>
    </xf>
    <xf numFmtId="164" fontId="9" fillId="0" borderId="22" xfId="11" applyNumberFormat="1" applyFont="1" applyBorder="1" applyAlignment="1">
      <alignment horizontal="right" vertical="center"/>
    </xf>
    <xf numFmtId="0" fontId="5" fillId="0" borderId="14" xfId="11" applyFont="1" applyBorder="1" applyAlignment="1">
      <alignment horizontal="center"/>
    </xf>
    <xf numFmtId="165" fontId="9" fillId="2" borderId="22" xfId="1" applyNumberFormat="1" applyFont="1" applyFill="1" applyBorder="1" applyAlignment="1">
      <alignment horizontal="right" vertical="center"/>
    </xf>
    <xf numFmtId="43" fontId="5" fillId="0" borderId="14" xfId="11" applyNumberFormat="1" applyFont="1" applyBorder="1" applyAlignment="1">
      <alignment horizontal="center"/>
    </xf>
    <xf numFmtId="164" fontId="9" fillId="0" borderId="13" xfId="2" applyNumberFormat="1" applyFont="1" applyFill="1" applyBorder="1" applyAlignment="1">
      <alignment horizontal="right" vertical="center"/>
    </xf>
    <xf numFmtId="41" fontId="5" fillId="0" borderId="14" xfId="13" applyNumberFormat="1" applyFont="1" applyBorder="1" applyAlignment="1">
      <alignment horizontal="left"/>
    </xf>
    <xf numFmtId="165" fontId="9" fillId="2" borderId="13" xfId="1" applyNumberFormat="1" applyFont="1" applyFill="1" applyBorder="1" applyAlignment="1">
      <alignment horizontal="right" vertical="center"/>
    </xf>
    <xf numFmtId="41" fontId="5" fillId="0" borderId="14" xfId="13" applyNumberFormat="1" applyFont="1" applyFill="1" applyBorder="1" applyAlignment="1">
      <alignment horizontal="left"/>
    </xf>
    <xf numFmtId="41" fontId="9" fillId="0" borderId="14" xfId="13" applyNumberFormat="1" applyFont="1" applyFill="1" applyBorder="1" applyAlignment="1">
      <alignment horizontal="center"/>
    </xf>
    <xf numFmtId="0" fontId="5" fillId="0" borderId="25" xfId="11" applyFont="1" applyBorder="1"/>
    <xf numFmtId="171" fontId="9" fillId="0" borderId="22" xfId="20" applyNumberFormat="1" applyFont="1" applyFill="1" applyBorder="1" applyAlignment="1">
      <alignment horizontal="right"/>
    </xf>
    <xf numFmtId="171" fontId="9" fillId="0" borderId="22" xfId="11" applyNumberFormat="1" applyFont="1" applyBorder="1" applyAlignment="1">
      <alignment horizontal="right"/>
    </xf>
    <xf numFmtId="0" fontId="9" fillId="0" borderId="14" xfId="11" applyFont="1" applyBorder="1" applyAlignment="1">
      <alignment horizontal="center"/>
    </xf>
    <xf numFmtId="172" fontId="9" fillId="0" borderId="22" xfId="1" applyNumberFormat="1" applyFont="1" applyFill="1" applyBorder="1" applyAlignment="1">
      <alignment horizontal="right"/>
    </xf>
    <xf numFmtId="165" fontId="9" fillId="0" borderId="22" xfId="1" applyNumberFormat="1" applyFont="1" applyBorder="1" applyAlignment="1">
      <alignment horizontal="right"/>
    </xf>
    <xf numFmtId="43" fontId="9" fillId="0" borderId="14" xfId="11" applyNumberFormat="1" applyFont="1" applyBorder="1" applyAlignment="1">
      <alignment horizontal="center"/>
    </xf>
    <xf numFmtId="165" fontId="9" fillId="0" borderId="22" xfId="1" applyNumberFormat="1" applyFont="1" applyFill="1" applyBorder="1" applyAlignment="1">
      <alignment horizontal="right"/>
    </xf>
    <xf numFmtId="41" fontId="5" fillId="0" borderId="14" xfId="13" applyNumberFormat="1" applyFont="1" applyBorder="1" applyAlignment="1">
      <alignment horizontal="center"/>
    </xf>
    <xf numFmtId="41" fontId="5" fillId="0" borderId="14" xfId="13" applyNumberFormat="1" applyFont="1" applyFill="1" applyBorder="1" applyAlignment="1">
      <alignment horizontal="center"/>
    </xf>
    <xf numFmtId="41" fontId="5" fillId="0" borderId="14" xfId="13" applyNumberFormat="1" applyFont="1" applyFill="1" applyBorder="1"/>
    <xf numFmtId="165" fontId="5" fillId="0" borderId="14" xfId="14" applyNumberFormat="1" applyFont="1" applyFill="1" applyBorder="1"/>
    <xf numFmtId="0" fontId="5" fillId="0" borderId="25" xfId="11" applyFont="1" applyBorder="1" applyAlignment="1">
      <alignment horizontal="center"/>
    </xf>
    <xf numFmtId="168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/>
    </xf>
    <xf numFmtId="0" fontId="0" fillId="0" borderId="2" xfId="0" applyBorder="1"/>
    <xf numFmtId="0" fontId="16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8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0" fontId="5" fillId="0" borderId="29" xfId="11" applyFont="1" applyBorder="1"/>
    <xf numFmtId="168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2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1" fontId="5" fillId="0" borderId="0" xfId="2" applyNumberFormat="1" applyFont="1" applyFill="1" applyBorder="1" applyAlignment="1">
      <alignment horizontal="right"/>
    </xf>
    <xf numFmtId="171" fontId="5" fillId="0" borderId="0" xfId="2" applyNumberFormat="1" applyFont="1" applyFill="1" applyBorder="1"/>
    <xf numFmtId="171" fontId="5" fillId="0" borderId="0" xfId="14" applyNumberFormat="1" applyFont="1" applyBorder="1"/>
    <xf numFmtId="172" fontId="9" fillId="0" borderId="0" xfId="1" applyNumberFormat="1" applyFont="1" applyAlignment="1">
      <alignment horizontal="right"/>
    </xf>
    <xf numFmtId="172" fontId="9" fillId="0" borderId="0" xfId="1" applyNumberFormat="1" applyFont="1" applyAlignment="1">
      <alignment horizontal="center"/>
    </xf>
    <xf numFmtId="171" fontId="9" fillId="0" borderId="0" xfId="2" applyNumberFormat="1" applyFont="1" applyFill="1" applyBorder="1"/>
    <xf numFmtId="171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5" fillId="0" borderId="1" xfId="20" applyNumberFormat="1" applyFont="1" applyBorder="1" applyAlignment="1">
      <alignment horizontal="right"/>
    </xf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73" fontId="9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4" fontId="9" fillId="0" borderId="0" xfId="3" applyNumberFormat="1" applyFont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0" fontId="9" fillId="0" borderId="30" xfId="11" applyFont="1" applyBorder="1" applyAlignment="1">
      <alignment horizontal="left" vertical="center"/>
    </xf>
    <xf numFmtId="1" fontId="9" fillId="0" borderId="30" xfId="11" applyNumberFormat="1" applyFont="1" applyBorder="1" applyAlignment="1">
      <alignment horizontal="center" vertical="center"/>
    </xf>
    <xf numFmtId="165" fontId="9" fillId="0" borderId="30" xfId="1" applyNumberFormat="1" applyFont="1" applyFill="1" applyBorder="1" applyAlignment="1">
      <alignment vertical="center"/>
    </xf>
    <xf numFmtId="165" fontId="9" fillId="0" borderId="30" xfId="1" applyNumberFormat="1" applyFont="1" applyFill="1" applyBorder="1" applyAlignment="1">
      <alignment horizontal="right" vertical="center"/>
    </xf>
    <xf numFmtId="10" fontId="9" fillId="3" borderId="30" xfId="3" applyNumberFormat="1" applyFont="1" applyFill="1" applyBorder="1" applyAlignment="1">
      <alignment horizontal="center" vertical="center"/>
    </xf>
    <xf numFmtId="165" fontId="9" fillId="0" borderId="30" xfId="1" applyNumberFormat="1" applyFont="1" applyBorder="1" applyAlignment="1">
      <alignment horizontal="right" vertical="center"/>
    </xf>
    <xf numFmtId="165" fontId="5" fillId="0" borderId="30" xfId="1" applyNumberFormat="1" applyFont="1" applyFill="1" applyBorder="1" applyAlignment="1">
      <alignment horizontal="right" vertical="center"/>
    </xf>
    <xf numFmtId="164" fontId="9" fillId="0" borderId="16" xfId="2" applyNumberFormat="1" applyFont="1" applyFill="1" applyBorder="1" applyAlignment="1">
      <alignment vertical="center"/>
    </xf>
    <xf numFmtId="175" fontId="9" fillId="0" borderId="0" xfId="2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5" fontId="9" fillId="0" borderId="30" xfId="0" applyNumberFormat="1" applyFont="1" applyBorder="1" applyAlignment="1">
      <alignment horizontal="center" vertical="center"/>
    </xf>
    <xf numFmtId="0" fontId="19" fillId="0" borderId="0" xfId="11" applyFont="1"/>
    <xf numFmtId="0" fontId="19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5" fontId="5" fillId="3" borderId="30" xfId="1" applyNumberFormat="1" applyFont="1" applyFill="1" applyBorder="1" applyAlignment="1" applyProtection="1">
      <alignment vertical="center"/>
      <protection locked="0"/>
    </xf>
    <xf numFmtId="165" fontId="9" fillId="3" borderId="30" xfId="1" applyNumberFormat="1" applyFont="1" applyFill="1" applyBorder="1" applyAlignment="1" applyProtection="1">
      <alignment vertical="center"/>
      <protection locked="0"/>
    </xf>
    <xf numFmtId="10" fontId="9" fillId="2" borderId="30" xfId="0" applyNumberFormat="1" applyFont="1" applyFill="1" applyBorder="1" applyAlignment="1">
      <alignment horizontal="right" vertical="center"/>
    </xf>
    <xf numFmtId="164" fontId="5" fillId="0" borderId="1" xfId="2" applyNumberFormat="1" applyFont="1" applyFill="1" applyBorder="1" applyAlignment="1">
      <alignment horizontal="right" vertical="center"/>
    </xf>
    <xf numFmtId="165" fontId="9" fillId="2" borderId="30" xfId="1" applyNumberFormat="1" applyFont="1" applyFill="1" applyBorder="1" applyAlignment="1" applyProtection="1">
      <alignment horizontal="right" vertical="center"/>
    </xf>
    <xf numFmtId="165" fontId="9" fillId="2" borderId="30" xfId="1" applyNumberFormat="1" applyFont="1" applyFill="1" applyBorder="1" applyAlignment="1">
      <alignment vertical="center"/>
    </xf>
    <xf numFmtId="165" fontId="9" fillId="0" borderId="31" xfId="1" applyNumberFormat="1" applyFont="1" applyFill="1" applyBorder="1" applyAlignment="1">
      <alignment vertical="center"/>
    </xf>
    <xf numFmtId="165" fontId="9" fillId="0" borderId="30" xfId="1" applyNumberFormat="1" applyFont="1" applyFill="1" applyBorder="1"/>
    <xf numFmtId="0" fontId="9" fillId="0" borderId="0" xfId="23" applyFont="1"/>
    <xf numFmtId="0" fontId="14" fillId="0" borderId="9" xfId="23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15" fontId="9" fillId="0" borderId="30" xfId="11" applyNumberFormat="1" applyFont="1" applyBorder="1" applyAlignment="1">
      <alignment horizontal="center" vertical="center"/>
    </xf>
    <xf numFmtId="0" fontId="9" fillId="0" borderId="30" xfId="11" applyFont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0" fontId="9" fillId="2" borderId="30" xfId="11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1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4" fontId="9" fillId="3" borderId="30" xfId="13" applyNumberFormat="1" applyFont="1" applyFill="1" applyBorder="1" applyAlignment="1" applyProtection="1">
      <alignment horizontal="center" vertical="center"/>
      <protection locked="0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3" borderId="30" xfId="28" applyNumberFormat="1" applyFont="1" applyFill="1" applyBorder="1" applyAlignment="1">
      <alignment vertical="center"/>
    </xf>
    <xf numFmtId="10" fontId="9" fillId="0" borderId="0" xfId="28" applyNumberFormat="1" applyFont="1" applyBorder="1" applyAlignment="1">
      <alignment vertical="center"/>
    </xf>
    <xf numFmtId="164" fontId="5" fillId="0" borderId="1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0" fontId="9" fillId="0" borderId="30" xfId="0" applyFont="1" applyBorder="1" applyAlignment="1">
      <alignment horizontal="center" vertical="center" wrapText="1"/>
    </xf>
    <xf numFmtId="164" fontId="9" fillId="3" borderId="30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30" xfId="3" applyNumberFormat="1" applyFont="1" applyFill="1" applyBorder="1" applyAlignment="1">
      <alignment horizontal="right" vertical="center"/>
    </xf>
    <xf numFmtId="10" fontId="9" fillId="0" borderId="30" xfId="3" applyNumberFormat="1" applyFont="1" applyBorder="1" applyAlignment="1">
      <alignment horizontal="right" vertical="center"/>
    </xf>
    <xf numFmtId="177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30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30" xfId="3" applyFont="1" applyFill="1" applyBorder="1" applyAlignment="1">
      <alignment horizontal="right" vertical="center"/>
    </xf>
    <xf numFmtId="169" fontId="9" fillId="0" borderId="30" xfId="3" applyNumberFormat="1" applyFont="1" applyBorder="1" applyAlignment="1">
      <alignment horizontal="right" vertical="center"/>
    </xf>
    <xf numFmtId="169" fontId="9" fillId="2" borderId="30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30" xfId="3" applyFont="1" applyFill="1" applyBorder="1" applyAlignment="1">
      <alignment horizontal="right" vertical="center"/>
    </xf>
    <xf numFmtId="10" fontId="9" fillId="2" borderId="30" xfId="3" applyNumberFormat="1" applyFont="1" applyFill="1" applyBorder="1" applyAlignment="1">
      <alignment horizontal="right" vertical="center"/>
    </xf>
    <xf numFmtId="169" fontId="9" fillId="2" borderId="30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0" xfId="11" applyFont="1" applyAlignment="1">
      <alignment horizontal="right"/>
    </xf>
    <xf numFmtId="0" fontId="5" fillId="0" borderId="31" xfId="11" applyFont="1" applyBorder="1" applyAlignment="1">
      <alignment horizontal="center"/>
    </xf>
    <xf numFmtId="0" fontId="5" fillId="0" borderId="30" xfId="11" applyFont="1" applyBorder="1" applyAlignment="1">
      <alignment horizontal="center"/>
    </xf>
    <xf numFmtId="178" fontId="5" fillId="0" borderId="13" xfId="2" applyNumberFormat="1" applyFont="1" applyFill="1" applyBorder="1" applyAlignment="1">
      <alignment horizontal="right"/>
    </xf>
    <xf numFmtId="178" fontId="9" fillId="0" borderId="13" xfId="1" applyNumberFormat="1" applyFont="1" applyFill="1" applyBorder="1" applyAlignment="1">
      <alignment horizontal="right"/>
    </xf>
    <xf numFmtId="178" fontId="9" fillId="0" borderId="0" xfId="1" applyNumberFormat="1" applyFont="1" applyFill="1" applyBorder="1" applyAlignment="1">
      <alignment horizontal="right"/>
    </xf>
    <xf numFmtId="172" fontId="5" fillId="0" borderId="15" xfId="1" applyNumberFormat="1" applyFont="1" applyFill="1" applyBorder="1"/>
    <xf numFmtId="165" fontId="5" fillId="0" borderId="15" xfId="1" applyNumberFormat="1" applyFont="1" applyBorder="1" applyAlignment="1">
      <alignment horizontal="right"/>
    </xf>
    <xf numFmtId="165" fontId="5" fillId="0" borderId="25" xfId="14" applyNumberFormat="1" applyFont="1" applyFill="1" applyBorder="1"/>
    <xf numFmtId="178" fontId="9" fillId="0" borderId="22" xfId="2" applyNumberFormat="1" applyFont="1" applyFill="1" applyBorder="1" applyAlignment="1">
      <alignment horizontal="right"/>
    </xf>
    <xf numFmtId="178" fontId="9" fillId="0" borderId="22" xfId="1" applyNumberFormat="1" applyFont="1" applyFill="1" applyBorder="1" applyAlignment="1">
      <alignment horizontal="right"/>
    </xf>
    <xf numFmtId="165" fontId="9" fillId="0" borderId="15" xfId="1" applyNumberFormat="1" applyFont="1" applyBorder="1" applyAlignment="1">
      <alignment horizontal="right"/>
    </xf>
    <xf numFmtId="165" fontId="9" fillId="0" borderId="30" xfId="1" applyNumberFormat="1" applyFont="1" applyFill="1" applyBorder="1" applyAlignment="1" applyProtection="1">
      <alignment horizontal="right" vertical="center"/>
      <protection locked="0"/>
    </xf>
    <xf numFmtId="165" fontId="5" fillId="2" borderId="30" xfId="1" applyNumberFormat="1" applyFont="1" applyFill="1" applyBorder="1" applyAlignment="1" applyProtection="1">
      <alignment vertical="center"/>
      <protection locked="0"/>
    </xf>
    <xf numFmtId="0" fontId="5" fillId="0" borderId="0" xfId="11" applyFont="1" applyAlignment="1">
      <alignment horizontal="right" vertical="center"/>
    </xf>
    <xf numFmtId="10" fontId="9" fillId="3" borderId="30" xfId="3" applyNumberFormat="1" applyFont="1" applyFill="1" applyBorder="1" applyAlignment="1">
      <alignment horizontal="right" vertical="center"/>
    </xf>
    <xf numFmtId="164" fontId="9" fillId="2" borderId="0" xfId="2" applyNumberFormat="1" applyFont="1" applyFill="1" applyAlignment="1">
      <alignment vertical="center"/>
    </xf>
    <xf numFmtId="164" fontId="5" fillId="0" borderId="0" xfId="2" applyNumberFormat="1" applyFont="1" applyAlignment="1">
      <alignment horizontal="right" vertical="center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7" fontId="9" fillId="0" borderId="0" xfId="31" applyNumberFormat="1" applyFont="1" applyAlignment="1">
      <alignment horizontal="right"/>
    </xf>
    <xf numFmtId="0" fontId="17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7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7" fontId="9" fillId="0" borderId="0" xfId="31" applyNumberFormat="1" applyFont="1" applyAlignment="1">
      <alignment vertical="center"/>
    </xf>
    <xf numFmtId="167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7" fontId="9" fillId="0" borderId="18" xfId="31" applyNumberFormat="1" applyFont="1" applyBorder="1" applyAlignment="1" applyProtection="1">
      <alignment horizontal="right" vertical="center"/>
      <protection locked="0"/>
    </xf>
    <xf numFmtId="167" fontId="9" fillId="0" borderId="0" xfId="31" applyNumberFormat="1" applyFont="1" applyAlignment="1" applyProtection="1">
      <alignment horizontal="right"/>
      <protection locked="0"/>
    </xf>
    <xf numFmtId="167" fontId="9" fillId="0" borderId="0" xfId="31" quotePrefix="1" applyNumberFormat="1" applyFont="1" applyAlignment="1">
      <alignment horizontal="right" vertical="center"/>
    </xf>
    <xf numFmtId="167" fontId="9" fillId="0" borderId="0" xfId="31" quotePrefix="1" applyNumberFormat="1" applyFont="1" applyAlignment="1">
      <alignment horizontal="right"/>
    </xf>
    <xf numFmtId="169" fontId="9" fillId="3" borderId="0" xfId="31" applyNumberFormat="1" applyFont="1" applyFill="1" applyAlignment="1">
      <alignment horizontal="right" vertical="center"/>
    </xf>
    <xf numFmtId="10" fontId="9" fillId="0" borderId="30" xfId="3" quotePrefix="1" applyNumberFormat="1" applyFont="1" applyBorder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7" fontId="5" fillId="0" borderId="18" xfId="31" quotePrefix="1" applyNumberFormat="1" applyFont="1" applyBorder="1" applyAlignment="1">
      <alignment horizontal="right" vertical="center"/>
    </xf>
    <xf numFmtId="167" fontId="5" fillId="0" borderId="0" xfId="31" quotePrefix="1" applyNumberFormat="1" applyFont="1" applyAlignment="1">
      <alignment horizontal="right"/>
    </xf>
    <xf numFmtId="0" fontId="17" fillId="0" borderId="0" xfId="31" applyFont="1" applyAlignment="1">
      <alignment vertical="center"/>
    </xf>
    <xf numFmtId="10" fontId="17" fillId="0" borderId="18" xfId="31" applyNumberFormat="1" applyFont="1" applyBorder="1" applyAlignment="1">
      <alignment horizontal="right" vertical="center"/>
    </xf>
    <xf numFmtId="10" fontId="17" fillId="0" borderId="0" xfId="31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9" fontId="9" fillId="0" borderId="0" xfId="31" applyNumberFormat="1" applyFont="1" applyAlignment="1">
      <alignment horizontal="left"/>
    </xf>
    <xf numFmtId="0" fontId="17" fillId="0" borderId="0" xfId="31" applyFont="1" applyAlignment="1">
      <alignment horizontal="center" vertical="center"/>
    </xf>
    <xf numFmtId="0" fontId="17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164" fontId="5" fillId="2" borderId="30" xfId="31" applyNumberFormat="1" applyFont="1" applyFill="1" applyBorder="1" applyAlignment="1" applyProtection="1">
      <alignment horizontal="right" vertical="center"/>
      <protection locked="0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30" xfId="31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9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2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9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18" applyFont="1" applyAlignment="1">
      <alignment horizontal="right"/>
    </xf>
    <xf numFmtId="165" fontId="9" fillId="2" borderId="33" xfId="1" applyNumberFormat="1" applyFont="1" applyFill="1" applyBorder="1" applyAlignment="1">
      <alignment horizontal="right" vertical="center"/>
    </xf>
    <xf numFmtId="0" fontId="12" fillId="0" borderId="0" xfId="0" applyFont="1"/>
    <xf numFmtId="165" fontId="25" fillId="0" borderId="0" xfId="14" applyNumberFormat="1" applyFont="1" applyBorder="1" applyAlignment="1">
      <alignment horizontal="right" vertical="center"/>
    </xf>
    <xf numFmtId="165" fontId="25" fillId="0" borderId="0" xfId="14" applyNumberFormat="1" applyFont="1" applyBorder="1"/>
    <xf numFmtId="164" fontId="9" fillId="0" borderId="0" xfId="20" applyNumberFormat="1" applyFont="1" applyAlignment="1">
      <alignment horizontal="right" vertical="center"/>
    </xf>
    <xf numFmtId="164" fontId="10" fillId="0" borderId="0" xfId="20" applyNumberFormat="1" applyFont="1"/>
    <xf numFmtId="0" fontId="12" fillId="0" borderId="0" xfId="31" applyFont="1"/>
    <xf numFmtId="164" fontId="12" fillId="0" borderId="0" xfId="20" applyNumberFormat="1" applyFont="1" applyAlignment="1">
      <alignment horizontal="right" vertical="center"/>
    </xf>
    <xf numFmtId="0" fontId="12" fillId="0" borderId="0" xfId="31" applyFont="1" applyAlignment="1">
      <alignment horizontal="center"/>
    </xf>
    <xf numFmtId="169" fontId="9" fillId="0" borderId="30" xfId="3" applyNumberFormat="1" applyFont="1" applyFill="1" applyBorder="1" applyAlignment="1">
      <alignment horizontal="right" vertical="center"/>
    </xf>
    <xf numFmtId="10" fontId="26" fillId="0" borderId="0" xfId="19" applyNumberFormat="1" applyFont="1" applyBorder="1" applyAlignment="1" applyProtection="1">
      <alignment vertical="center"/>
    </xf>
    <xf numFmtId="10" fontId="26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30" xfId="2" applyNumberFormat="1" applyFont="1" applyFill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165" fontId="9" fillId="0" borderId="34" xfId="1" applyNumberFormat="1" applyFont="1" applyFill="1" applyBorder="1" applyAlignment="1">
      <alignment vertical="center"/>
    </xf>
    <xf numFmtId="165" fontId="9" fillId="0" borderId="35" xfId="1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168" fontId="5" fillId="0" borderId="0" xfId="11" applyNumberFormat="1" applyFont="1" applyAlignment="1">
      <alignment horizontal="center"/>
    </xf>
    <xf numFmtId="5" fontId="9" fillId="0" borderId="30" xfId="11" applyNumberFormat="1" applyFont="1" applyBorder="1" applyAlignment="1">
      <alignment horizontal="center"/>
    </xf>
    <xf numFmtId="0" fontId="9" fillId="0" borderId="30" xfId="11" applyFont="1" applyBorder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7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horizontal="right"/>
      <protection locked="0"/>
    </xf>
    <xf numFmtId="165" fontId="9" fillId="2" borderId="30" xfId="27" applyNumberFormat="1" applyFont="1" applyFill="1" applyBorder="1" applyAlignment="1" applyProtection="1">
      <alignment horizontal="right" vertical="center"/>
      <protection locked="0"/>
    </xf>
    <xf numFmtId="164" fontId="9" fillId="0" borderId="17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7" applyFont="1" applyFill="1" applyBorder="1" applyAlignment="1" applyProtection="1">
      <alignment horizontal="center" vertical="center"/>
    </xf>
    <xf numFmtId="164" fontId="9" fillId="0" borderId="17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5" fontId="5" fillId="2" borderId="30" xfId="27" applyNumberFormat="1" applyFont="1" applyFill="1" applyBorder="1" applyAlignment="1" applyProtection="1">
      <alignment horizontal="right" vertical="center"/>
      <protection locked="0"/>
    </xf>
    <xf numFmtId="164" fontId="5" fillId="0" borderId="17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5" fontId="5" fillId="2" borderId="30" xfId="27" applyNumberFormat="1" applyFont="1" applyFill="1" applyBorder="1" applyAlignment="1" applyProtection="1">
      <alignment horizontal="center" vertical="center"/>
    </xf>
    <xf numFmtId="164" fontId="5" fillId="0" borderId="1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7" applyNumberFormat="1" applyFont="1" applyFill="1" applyBorder="1" applyAlignment="1" applyProtection="1">
      <alignment horizontal="right" vertical="center"/>
    </xf>
    <xf numFmtId="165" fontId="9" fillId="4" borderId="30" xfId="27" applyNumberFormat="1" applyFont="1" applyFill="1" applyBorder="1" applyAlignment="1" applyProtection="1">
      <alignment horizontal="right" vertical="center"/>
    </xf>
    <xf numFmtId="164" fontId="9" fillId="4" borderId="1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5" fontId="9" fillId="2" borderId="30" xfId="27" applyNumberFormat="1" applyFont="1" applyFill="1" applyBorder="1" applyAlignment="1" applyProtection="1">
      <alignment horizontal="right" vertical="center"/>
    </xf>
    <xf numFmtId="168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5" fontId="9" fillId="0" borderId="0" xfId="27" applyNumberFormat="1" applyFont="1" applyFill="1" applyAlignment="1" applyProtection="1">
      <alignment horizontal="right" vertical="center"/>
    </xf>
    <xf numFmtId="165" fontId="9" fillId="0" borderId="0" xfId="27" applyNumberFormat="1" applyFont="1" applyFill="1" applyAlignment="1" applyProtection="1">
      <alignment horizontal="right"/>
    </xf>
    <xf numFmtId="165" fontId="9" fillId="0" borderId="30" xfId="27" applyNumberFormat="1" applyFont="1" applyFill="1" applyBorder="1" applyAlignment="1" applyProtection="1">
      <alignment horizontal="right" vertical="center"/>
    </xf>
    <xf numFmtId="165" fontId="9" fillId="0" borderId="0" xfId="27" applyNumberFormat="1" applyFont="1" applyFill="1" applyBorder="1" applyAlignment="1" applyProtection="1">
      <alignment horizontal="right"/>
    </xf>
    <xf numFmtId="164" fontId="9" fillId="0" borderId="1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164" fontId="3" fillId="0" borderId="0" xfId="2" applyNumberFormat="1" applyFont="1" applyBorder="1"/>
    <xf numFmtId="0" fontId="3" fillId="0" borderId="0" xfId="4" applyFont="1" applyAlignment="1">
      <alignment horizontal="left"/>
    </xf>
    <xf numFmtId="0" fontId="5" fillId="0" borderId="35" xfId="11" applyFont="1" applyBorder="1" applyAlignment="1">
      <alignment horizontal="center"/>
    </xf>
    <xf numFmtId="165" fontId="9" fillId="2" borderId="34" xfId="1" applyNumberFormat="1" applyFont="1" applyFill="1" applyBorder="1" applyAlignment="1">
      <alignment horizontal="right" vertical="center"/>
    </xf>
    <xf numFmtId="165" fontId="9" fillId="3" borderId="34" xfId="1" applyNumberFormat="1" applyFont="1" applyFill="1" applyBorder="1" applyAlignment="1">
      <alignment vertical="center"/>
    </xf>
    <xf numFmtId="172" fontId="9" fillId="0" borderId="34" xfId="1" applyNumberFormat="1" applyFont="1" applyFill="1" applyBorder="1" applyAlignment="1">
      <alignment horizontal="right"/>
    </xf>
    <xf numFmtId="165" fontId="9" fillId="3" borderId="34" xfId="21" applyNumberFormat="1" applyFont="1" applyFill="1" applyBorder="1"/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5" fillId="0" borderId="19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4" xfId="0" quotePrefix="1" applyNumberFormat="1" applyFont="1" applyBorder="1" applyAlignment="1">
      <alignment horizontal="center" vertical="center"/>
    </xf>
    <xf numFmtId="37" fontId="5" fillId="0" borderId="2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center" vertical="center"/>
    </xf>
    <xf numFmtId="37" fontId="5" fillId="0" borderId="0" xfId="33" applyNumberFormat="1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7" fontId="5" fillId="0" borderId="10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8" xfId="33" applyNumberFormat="1" applyFont="1" applyBorder="1" applyAlignment="1">
      <alignment horizontal="center" vertical="center"/>
    </xf>
    <xf numFmtId="37" fontId="5" fillId="0" borderId="2" xfId="3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37" fontId="5" fillId="0" borderId="7" xfId="0" applyNumberFormat="1" applyFont="1" applyBorder="1" applyAlignment="1">
      <alignment horizontal="center" vertical="center"/>
    </xf>
    <xf numFmtId="37" fontId="9" fillId="0" borderId="21" xfId="0" applyNumberFormat="1" applyFont="1" applyBorder="1" applyAlignment="1">
      <alignment horizontal="center" vertical="center"/>
    </xf>
    <xf numFmtId="37" fontId="20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left" vertical="center"/>
    </xf>
    <xf numFmtId="37" fontId="9" fillId="0" borderId="13" xfId="33" applyNumberFormat="1" applyFont="1" applyBorder="1" applyAlignment="1">
      <alignment horizontal="center" vertical="center"/>
    </xf>
    <xf numFmtId="37" fontId="9" fillId="0" borderId="0" xfId="33" applyNumberFormat="1" applyFont="1" applyAlignment="1">
      <alignment horizontal="center" vertical="center"/>
    </xf>
    <xf numFmtId="37" fontId="9" fillId="0" borderId="20" xfId="33" applyNumberFormat="1" applyFont="1" applyBorder="1" applyAlignment="1">
      <alignment horizontal="center" vertical="center"/>
    </xf>
    <xf numFmtId="37" fontId="9" fillId="0" borderId="10" xfId="33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5" fontId="27" fillId="0" borderId="22" xfId="1" applyNumberFormat="1" applyFont="1" applyFill="1" applyBorder="1" applyAlignment="1">
      <alignment vertical="center"/>
    </xf>
    <xf numFmtId="164" fontId="5" fillId="0" borderId="22" xfId="2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37" fontId="9" fillId="0" borderId="22" xfId="0" applyNumberFormat="1" applyFont="1" applyBorder="1" applyAlignment="1">
      <alignment vertical="center"/>
    </xf>
    <xf numFmtId="168" fontId="9" fillId="0" borderId="21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3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37" fontId="9" fillId="0" borderId="24" xfId="0" applyNumberFormat="1" applyFont="1" applyBorder="1" applyAlignment="1">
      <alignment vertical="center"/>
    </xf>
    <xf numFmtId="37" fontId="9" fillId="0" borderId="8" xfId="1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17" fillId="0" borderId="9" xfId="0" applyNumberFormat="1" applyFont="1" applyBorder="1" applyAlignment="1">
      <alignment horizontal="left" vertical="center"/>
    </xf>
    <xf numFmtId="37" fontId="9" fillId="0" borderId="9" xfId="11" applyNumberFormat="1" applyFont="1" applyBorder="1" applyAlignment="1">
      <alignment horizontal="center"/>
    </xf>
    <xf numFmtId="164" fontId="9" fillId="0" borderId="0" xfId="2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top"/>
    </xf>
    <xf numFmtId="37" fontId="5" fillId="0" borderId="0" xfId="0" applyNumberFormat="1" applyFont="1" applyAlignment="1">
      <alignment horizontal="right" vertical="center"/>
    </xf>
    <xf numFmtId="37" fontId="5" fillId="0" borderId="10" xfId="0" applyNumberFormat="1" applyFont="1" applyBorder="1" applyAlignment="1">
      <alignment vertical="center"/>
    </xf>
    <xf numFmtId="168" fontId="9" fillId="0" borderId="9" xfId="11" applyNumberFormat="1" applyFont="1" applyBorder="1" applyAlignment="1">
      <alignment horizontal="center" wrapText="1"/>
    </xf>
    <xf numFmtId="165" fontId="9" fillId="0" borderId="0" xfId="1" applyNumberFormat="1" applyFont="1" applyFill="1" applyBorder="1" applyAlignment="1">
      <alignment vertical="top"/>
    </xf>
    <xf numFmtId="165" fontId="28" fillId="0" borderId="0" xfId="1" applyNumberFormat="1" applyFont="1" applyFill="1" applyBorder="1" applyAlignment="1">
      <alignment vertical="top"/>
    </xf>
    <xf numFmtId="165" fontId="9" fillId="0" borderId="3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wrapText="1"/>
    </xf>
    <xf numFmtId="37" fontId="9" fillId="0" borderId="9" xfId="0" applyNumberFormat="1" applyFont="1" applyBorder="1" applyAlignment="1">
      <alignment horizontal="center" vertical="center"/>
    </xf>
    <xf numFmtId="43" fontId="5" fillId="0" borderId="0" xfId="1" applyFont="1" applyFill="1" applyBorder="1" applyAlignment="1">
      <alignment horizontal="right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/>
    </xf>
    <xf numFmtId="164" fontId="5" fillId="0" borderId="0" xfId="2" applyNumberFormat="1" applyFont="1" applyBorder="1" applyAlignment="1">
      <alignment vertical="center"/>
    </xf>
    <xf numFmtId="0" fontId="29" fillId="0" borderId="9" xfId="23" applyFont="1" applyBorder="1" applyAlignment="1">
      <alignment horizontal="center"/>
    </xf>
    <xf numFmtId="37" fontId="9" fillId="0" borderId="6" xfId="0" applyNumberFormat="1" applyFont="1" applyBorder="1" applyAlignment="1">
      <alignment vertical="center"/>
    </xf>
    <xf numFmtId="37" fontId="9" fillId="0" borderId="2" xfId="0" applyNumberFormat="1" applyFont="1" applyBorder="1" applyAlignment="1">
      <alignment horizontal="left" vertical="center"/>
    </xf>
    <xf numFmtId="168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11" quotePrefix="1" applyFont="1" applyAlignment="1">
      <alignment horizontal="center"/>
    </xf>
    <xf numFmtId="0" fontId="5" fillId="0" borderId="34" xfId="11" applyFont="1" applyBorder="1" applyAlignment="1">
      <alignment horizontal="center"/>
    </xf>
    <xf numFmtId="172" fontId="9" fillId="0" borderId="0" xfId="1" applyNumberFormat="1" applyFont="1"/>
    <xf numFmtId="0" fontId="5" fillId="0" borderId="0" xfId="18" applyFont="1" applyAlignment="1">
      <alignment horizontal="right"/>
    </xf>
    <xf numFmtId="0" fontId="9" fillId="0" borderId="37" xfId="31" applyFont="1" applyBorder="1" applyAlignment="1">
      <alignment horizontal="center"/>
    </xf>
    <xf numFmtId="172" fontId="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65" fontId="9" fillId="3" borderId="3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64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 vertical="center"/>
    </xf>
    <xf numFmtId="10" fontId="7" fillId="0" borderId="0" xfId="3" applyNumberFormat="1" applyFont="1" applyAlignment="1">
      <alignment vertical="center"/>
    </xf>
    <xf numFmtId="174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65" fontId="7" fillId="0" borderId="0" xfId="1" applyNumberFormat="1" applyFont="1" applyBorder="1" applyAlignment="1">
      <alignment horizontal="center" vertical="center"/>
    </xf>
    <xf numFmtId="175" fontId="7" fillId="0" borderId="0" xfId="2" applyNumberFormat="1" applyFont="1" applyAlignment="1">
      <alignment vertical="center"/>
    </xf>
    <xf numFmtId="175" fontId="9" fillId="0" borderId="0" xfId="2" applyNumberFormat="1" applyFont="1" applyFill="1" applyAlignment="1">
      <alignment vertical="center"/>
    </xf>
    <xf numFmtId="176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1" fontId="3" fillId="0" borderId="1" xfId="2" applyNumberFormat="1" applyFont="1" applyBorder="1"/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9" fillId="0" borderId="10" xfId="11" applyFont="1" applyBorder="1" applyAlignment="1">
      <alignment horizontal="center"/>
    </xf>
    <xf numFmtId="0" fontId="9" fillId="0" borderId="9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0" fontId="5" fillId="0" borderId="0" xfId="31" quotePrefix="1" applyNumberFormat="1" applyFont="1" applyAlignment="1">
      <alignment horizontal="right"/>
    </xf>
    <xf numFmtId="164" fontId="9" fillId="0" borderId="1" xfId="2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2" borderId="30" xfId="13" applyNumberFormat="1" applyFont="1" applyFill="1" applyBorder="1" applyAlignment="1" applyProtection="1">
      <alignment vertical="center"/>
      <protection locked="0"/>
    </xf>
    <xf numFmtId="164" fontId="9" fillId="0" borderId="32" xfId="31" applyNumberFormat="1" applyFont="1" applyBorder="1" applyAlignment="1" applyProtection="1">
      <alignment horizontal="right" vertical="center"/>
      <protection locked="0"/>
    </xf>
    <xf numFmtId="164" fontId="9" fillId="0" borderId="0" xfId="31" applyNumberFormat="1" applyFont="1" applyAlignment="1" applyProtection="1">
      <alignment horizontal="right"/>
      <protection locked="0"/>
    </xf>
    <xf numFmtId="164" fontId="9" fillId="0" borderId="33" xfId="31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9" fillId="0" borderId="30" xfId="1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164" fontId="9" fillId="0" borderId="0" xfId="2" applyNumberFormat="1" applyFont="1" applyFill="1" applyAlignment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0" xfId="13" applyNumberFormat="1" applyFont="1" applyFill="1" applyAlignment="1" applyProtection="1">
      <alignment horizontal="right"/>
    </xf>
    <xf numFmtId="164" fontId="9" fillId="0" borderId="16" xfId="13" applyNumberFormat="1" applyFont="1" applyFill="1" applyBorder="1" applyAlignment="1" applyProtection="1">
      <alignment horizontal="right" vertical="center"/>
    </xf>
    <xf numFmtId="37" fontId="5" fillId="0" borderId="11" xfId="33" applyNumberFormat="1" applyFont="1" applyBorder="1" applyAlignment="1">
      <alignment horizontal="left" vertical="center"/>
    </xf>
    <xf numFmtId="37" fontId="9" fillId="0" borderId="11" xfId="33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7" fontId="9" fillId="0" borderId="0" xfId="0" applyNumberFormat="1" applyFont="1" applyAlignment="1">
      <alignment horizontal="right"/>
    </xf>
    <xf numFmtId="37" fontId="9" fillId="0" borderId="30" xfId="0" applyNumberFormat="1" applyFont="1" applyBorder="1" applyAlignment="1">
      <alignment horizontal="right"/>
    </xf>
    <xf numFmtId="165" fontId="9" fillId="0" borderId="0" xfId="1" applyNumberFormat="1" applyFont="1" applyFill="1" applyBorder="1" applyAlignment="1"/>
    <xf numFmtId="165" fontId="9" fillId="0" borderId="0" xfId="1" applyNumberFormat="1" applyFont="1" applyFill="1"/>
    <xf numFmtId="37" fontId="9" fillId="0" borderId="9" xfId="11" applyNumberFormat="1" applyFont="1" applyBorder="1" applyAlignment="1">
      <alignment horizontal="center" wrapText="1"/>
    </xf>
    <xf numFmtId="49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top"/>
    </xf>
    <xf numFmtId="164" fontId="9" fillId="2" borderId="0" xfId="13" applyNumberFormat="1" applyFont="1" applyFill="1" applyAlignment="1" applyProtection="1">
      <alignment vertical="center"/>
      <protection locked="0"/>
    </xf>
    <xf numFmtId="10" fontId="9" fillId="0" borderId="0" xfId="22" applyNumberFormat="1" applyFont="1" applyFill="1" applyBorder="1" applyAlignment="1">
      <alignment horizontal="right" vertical="center"/>
    </xf>
    <xf numFmtId="175" fontId="9" fillId="0" borderId="0" xfId="2" applyNumberFormat="1" applyFont="1" applyBorder="1" applyAlignment="1">
      <alignment vertical="center"/>
    </xf>
    <xf numFmtId="0" fontId="18" fillId="0" borderId="0" xfId="0" applyFont="1" applyAlignment="1">
      <alignment horizontal="right"/>
    </xf>
    <xf numFmtId="43" fontId="9" fillId="0" borderId="0" xfId="0" applyNumberFormat="1" applyFont="1" applyAlignment="1">
      <alignment vertical="center"/>
    </xf>
    <xf numFmtId="3" fontId="9" fillId="0" borderId="22" xfId="11" applyNumberFormat="1" applyFont="1" applyBorder="1" applyAlignment="1">
      <alignment horizontal="left" vertical="center"/>
    </xf>
    <xf numFmtId="3" fontId="9" fillId="0" borderId="0" xfId="11" applyNumberFormat="1" applyFont="1" applyAlignment="1">
      <alignment horizontal="left" vertical="center"/>
    </xf>
    <xf numFmtId="165" fontId="5" fillId="0" borderId="13" xfId="1" applyNumberFormat="1" applyFont="1" applyFill="1" applyBorder="1" applyAlignment="1">
      <alignment vertical="center"/>
    </xf>
    <xf numFmtId="175" fontId="7" fillId="0" borderId="0" xfId="2" applyNumberFormat="1" applyFont="1" applyBorder="1" applyAlignment="1">
      <alignment vertical="center"/>
    </xf>
    <xf numFmtId="164" fontId="5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0" xfId="13" applyNumberFormat="1" applyFont="1" applyFill="1" applyBorder="1" applyAlignment="1" applyProtection="1">
      <alignment horizontal="right" vertical="center"/>
    </xf>
    <xf numFmtId="0" fontId="9" fillId="0" borderId="38" xfId="0" applyFont="1" applyBorder="1" applyAlignment="1">
      <alignment horizontal="center"/>
    </xf>
    <xf numFmtId="165" fontId="7" fillId="0" borderId="38" xfId="6" applyNumberFormat="1" applyFont="1" applyBorder="1"/>
    <xf numFmtId="165" fontId="7" fillId="0" borderId="38" xfId="1" applyNumberFormat="1" applyFont="1" applyBorder="1"/>
    <xf numFmtId="0" fontId="5" fillId="0" borderId="30" xfId="0" applyFont="1" applyBorder="1" applyAlignment="1">
      <alignment horizontal="center"/>
    </xf>
    <xf numFmtId="165" fontId="9" fillId="2" borderId="30" xfId="1" applyNumberFormat="1" applyFont="1" applyFill="1" applyBorder="1" applyAlignment="1">
      <alignment horizontal="right" vertical="center"/>
    </xf>
    <xf numFmtId="172" fontId="9" fillId="0" borderId="30" xfId="1" applyNumberFormat="1" applyFont="1" applyFill="1" applyBorder="1" applyAlignment="1">
      <alignment horizontal="right"/>
    </xf>
    <xf numFmtId="165" fontId="9" fillId="3" borderId="30" xfId="21" applyNumberFormat="1" applyFont="1" applyFill="1" applyBorder="1"/>
    <xf numFmtId="165" fontId="9" fillId="0" borderId="30" xfId="21" applyNumberFormat="1" applyFont="1" applyFill="1" applyBorder="1"/>
    <xf numFmtId="0" fontId="5" fillId="0" borderId="30" xfId="1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5" fontId="7" fillId="0" borderId="30" xfId="1" applyNumberFormat="1" applyFont="1" applyFill="1" applyBorder="1" applyAlignment="1">
      <alignment vertical="center"/>
    </xf>
    <xf numFmtId="10" fontId="9" fillId="3" borderId="30" xfId="3" applyNumberFormat="1" applyFont="1" applyFill="1" applyBorder="1"/>
    <xf numFmtId="165" fontId="7" fillId="0" borderId="30" xfId="1" applyNumberFormat="1" applyFont="1" applyBorder="1" applyAlignment="1">
      <alignment horizontal="center" vertical="center"/>
    </xf>
    <xf numFmtId="164" fontId="9" fillId="0" borderId="3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164" fontId="5" fillId="0" borderId="0" xfId="11" applyNumberFormat="1" applyFont="1" applyAlignment="1">
      <alignment vertical="center"/>
    </xf>
    <xf numFmtId="44" fontId="9" fillId="0" borderId="0" xfId="0" applyNumberFormat="1" applyFont="1"/>
    <xf numFmtId="165" fontId="5" fillId="0" borderId="0" xfId="1" applyNumberFormat="1" applyFont="1" applyAlignment="1">
      <alignment horizontal="center"/>
    </xf>
    <xf numFmtId="168" fontId="5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5" fontId="9" fillId="2" borderId="38" xfId="11" applyNumberFormat="1" applyFont="1" applyFill="1" applyBorder="1" applyAlignment="1">
      <alignment horizontal="center" vertical="center"/>
    </xf>
    <xf numFmtId="15" fontId="9" fillId="0" borderId="38" xfId="0" applyNumberFormat="1" applyFont="1" applyBorder="1" applyAlignment="1">
      <alignment horizontal="center" vertical="center"/>
    </xf>
    <xf numFmtId="164" fontId="9" fillId="3" borderId="0" xfId="2" applyNumberFormat="1" applyFont="1" applyFill="1" applyAlignment="1">
      <alignment vertical="center"/>
    </xf>
    <xf numFmtId="164" fontId="9" fillId="0" borderId="0" xfId="2" applyNumberFormat="1" applyFont="1" applyAlignment="1">
      <alignment vertical="center"/>
    </xf>
    <xf numFmtId="41" fontId="9" fillId="3" borderId="0" xfId="0" applyNumberFormat="1" applyFont="1" applyFill="1" applyAlignment="1">
      <alignment vertical="center"/>
    </xf>
    <xf numFmtId="41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9" fillId="3" borderId="38" xfId="1" applyNumberFormat="1" applyFont="1" applyFill="1" applyBorder="1" applyAlignment="1">
      <alignment vertical="center"/>
    </xf>
    <xf numFmtId="41" fontId="9" fillId="0" borderId="38" xfId="0" applyNumberFormat="1" applyFont="1" applyBorder="1" applyAlignment="1">
      <alignment vertical="center"/>
    </xf>
    <xf numFmtId="164" fontId="9" fillId="0" borderId="1" xfId="2" applyNumberFormat="1" applyFont="1" applyFill="1" applyBorder="1" applyAlignment="1">
      <alignment vertical="center"/>
    </xf>
    <xf numFmtId="164" fontId="14" fillId="0" borderId="0" xfId="2" applyNumberFormat="1" applyFont="1" applyFill="1" applyAlignment="1">
      <alignment horizontal="center" vertical="center"/>
    </xf>
    <xf numFmtId="5" fontId="9" fillId="0" borderId="0" xfId="0" applyNumberFormat="1" applyFont="1" applyAlignment="1">
      <alignment horizontal="center"/>
    </xf>
    <xf numFmtId="164" fontId="9" fillId="4" borderId="0" xfId="2" applyNumberFormat="1" applyFont="1" applyFill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5" fillId="0" borderId="0" xfId="1" applyNumberFormat="1" applyFont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181" fontId="5" fillId="0" borderId="38" xfId="0" applyNumberFormat="1" applyFont="1" applyBorder="1" applyAlignment="1">
      <alignment horizontal="center" vertical="center"/>
    </xf>
    <xf numFmtId="181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82" fontId="9" fillId="0" borderId="0" xfId="2" applyNumberFormat="1" applyFont="1" applyFill="1" applyAlignment="1">
      <alignment vertical="center"/>
    </xf>
    <xf numFmtId="164" fontId="5" fillId="0" borderId="16" xfId="2" applyNumberFormat="1" applyFont="1" applyBorder="1" applyAlignment="1">
      <alignment vertical="center"/>
    </xf>
    <xf numFmtId="41" fontId="9" fillId="0" borderId="0" xfId="36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37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164" fontId="5" fillId="0" borderId="2" xfId="2" applyNumberFormat="1" applyFont="1" applyBorder="1" applyAlignment="1">
      <alignment vertical="center"/>
    </xf>
    <xf numFmtId="165" fontId="9" fillId="0" borderId="2" xfId="1" applyNumberFormat="1" applyFont="1" applyBorder="1" applyAlignment="1">
      <alignment vertical="center"/>
    </xf>
    <xf numFmtId="164" fontId="9" fillId="0" borderId="2" xfId="2" applyNumberFormat="1" applyFont="1" applyBorder="1" applyAlignment="1">
      <alignment horizontal="center" vertical="center"/>
    </xf>
    <xf numFmtId="0" fontId="9" fillId="0" borderId="0" xfId="37" applyFont="1"/>
    <xf numFmtId="0" fontId="14" fillId="0" borderId="0" xfId="37" applyFont="1" applyAlignment="1">
      <alignment horizontal="center" vertical="center"/>
    </xf>
    <xf numFmtId="0" fontId="9" fillId="0" borderId="38" xfId="11" applyFont="1" applyBorder="1" applyAlignment="1">
      <alignment horizontal="center" vertical="center"/>
    </xf>
    <xf numFmtId="0" fontId="32" fillId="0" borderId="0" xfId="11" applyFont="1" applyAlignment="1">
      <alignment horizontal="center" vertical="center"/>
    </xf>
    <xf numFmtId="165" fontId="9" fillId="3" borderId="38" xfId="1" applyNumberFormat="1" applyFont="1" applyFill="1" applyBorder="1" applyAlignment="1" applyProtection="1">
      <alignment vertical="center"/>
      <protection locked="0"/>
    </xf>
    <xf numFmtId="164" fontId="9" fillId="0" borderId="1" xfId="13" applyNumberFormat="1" applyFont="1" applyBorder="1" applyAlignment="1">
      <alignment vertical="center"/>
    </xf>
    <xf numFmtId="44" fontId="9" fillId="0" borderId="0" xfId="2" applyFont="1" applyAlignment="1">
      <alignment vertical="center"/>
    </xf>
    <xf numFmtId="164" fontId="5" fillId="0" borderId="16" xfId="0" applyNumberFormat="1" applyFont="1" applyBorder="1" applyAlignment="1">
      <alignment vertical="center"/>
    </xf>
    <xf numFmtId="44" fontId="5" fillId="0" borderId="16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164" fontId="5" fillId="0" borderId="0" xfId="2" applyNumberFormat="1" applyFont="1" applyAlignment="1">
      <alignment vertical="center"/>
    </xf>
    <xf numFmtId="41" fontId="5" fillId="3" borderId="0" xfId="0" applyNumberFormat="1" applyFont="1" applyFill="1" applyAlignment="1">
      <alignment vertical="center"/>
    </xf>
    <xf numFmtId="41" fontId="5" fillId="0" borderId="0" xfId="0" applyNumberFormat="1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44" fontId="5" fillId="0" borderId="0" xfId="0" applyNumberFormat="1" applyFont="1" applyBorder="1" applyAlignment="1">
      <alignment vertical="center"/>
    </xf>
    <xf numFmtId="44" fontId="9" fillId="0" borderId="16" xfId="0" applyNumberFormat="1" applyFont="1" applyBorder="1" applyAlignment="1">
      <alignment vertical="center"/>
    </xf>
    <xf numFmtId="165" fontId="5" fillId="3" borderId="0" xfId="1" applyNumberFormat="1" applyFont="1" applyFill="1" applyAlignment="1" applyProtection="1">
      <alignment vertical="center"/>
      <protection locked="0"/>
    </xf>
    <xf numFmtId="164" fontId="5" fillId="0" borderId="1" xfId="13" applyNumberFormat="1" applyFont="1" applyBorder="1" applyAlignment="1">
      <alignment vertical="center"/>
    </xf>
    <xf numFmtId="164" fontId="5" fillId="0" borderId="1" xfId="2" applyNumberFormat="1" applyFont="1" applyBorder="1" applyAlignment="1">
      <alignment horizontal="right" vertical="center"/>
    </xf>
    <xf numFmtId="164" fontId="5" fillId="2" borderId="0" xfId="13" applyNumberFormat="1" applyFont="1" applyFill="1" applyBorder="1" applyAlignment="1" applyProtection="1">
      <alignment horizontal="right" vertical="center"/>
    </xf>
    <xf numFmtId="164" fontId="5" fillId="2" borderId="0" xfId="2" applyNumberFormat="1" applyFont="1" applyFill="1" applyAlignment="1">
      <alignment horizontal="center" vertical="center"/>
    </xf>
    <xf numFmtId="169" fontId="5" fillId="0" borderId="0" xfId="3" applyNumberFormat="1" applyFont="1" applyAlignment="1">
      <alignment horizontal="right" vertical="center"/>
    </xf>
    <xf numFmtId="169" fontId="5" fillId="0" borderId="0" xfId="3" applyNumberFormat="1" applyFont="1" applyFill="1" applyAlignment="1">
      <alignment horizontal="right" vertical="center"/>
    </xf>
    <xf numFmtId="169" fontId="5" fillId="0" borderId="30" xfId="3" applyNumberFormat="1" applyFont="1" applyBorder="1" applyAlignment="1">
      <alignment horizontal="right" vertical="center"/>
    </xf>
    <xf numFmtId="169" fontId="5" fillId="0" borderId="1" xfId="3" applyNumberFormat="1" applyFont="1" applyBorder="1" applyAlignment="1">
      <alignment horizontal="right" vertical="center"/>
    </xf>
    <xf numFmtId="169" fontId="5" fillId="2" borderId="0" xfId="19" applyNumberFormat="1" applyFont="1" applyFill="1" applyBorder="1" applyAlignment="1">
      <alignment horizontal="right" vertical="center"/>
    </xf>
    <xf numFmtId="169" fontId="5" fillId="0" borderId="30" xfId="3" applyNumberFormat="1" applyFont="1" applyFill="1" applyBorder="1" applyAlignment="1">
      <alignment horizontal="right" vertical="center"/>
    </xf>
    <xf numFmtId="164" fontId="5" fillId="0" borderId="13" xfId="2" applyNumberFormat="1" applyFont="1" applyFill="1" applyBorder="1" applyAlignment="1">
      <alignment horizontal="right" vertical="center"/>
    </xf>
    <xf numFmtId="0" fontId="5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5" fillId="0" borderId="0" xfId="18" quotePrefix="1" applyFont="1" applyAlignment="1">
      <alignment horizontal="center" vertical="center"/>
    </xf>
    <xf numFmtId="0" fontId="5" fillId="0" borderId="0" xfId="18" quotePrefix="1" applyFont="1" applyAlignment="1">
      <alignment horizontal="center"/>
    </xf>
    <xf numFmtId="0" fontId="9" fillId="0" borderId="0" xfId="11" quotePrefix="1" applyFont="1" applyAlignment="1">
      <alignment horizontal="center" vertical="center"/>
    </xf>
    <xf numFmtId="0" fontId="9" fillId="0" borderId="0" xfId="18" applyFont="1" applyAlignment="1">
      <alignment horizontal="center"/>
    </xf>
    <xf numFmtId="0" fontId="9" fillId="0" borderId="38" xfId="18" applyFont="1" applyBorder="1" applyAlignment="1">
      <alignment horizontal="center"/>
    </xf>
    <xf numFmtId="0" fontId="17" fillId="0" borderId="0" xfId="18" applyFont="1"/>
    <xf numFmtId="0" fontId="9" fillId="0" borderId="0" xfId="38" applyFont="1"/>
    <xf numFmtId="164" fontId="9" fillId="3" borderId="0" xfId="39" applyNumberFormat="1" applyFont="1" applyFill="1" applyAlignment="1">
      <alignment vertical="center"/>
    </xf>
    <xf numFmtId="164" fontId="9" fillId="0" borderId="0" xfId="39" applyNumberFormat="1" applyFont="1"/>
    <xf numFmtId="0" fontId="9" fillId="0" borderId="0" xfId="38" applyFont="1" applyAlignment="1">
      <alignment vertical="center"/>
    </xf>
    <xf numFmtId="169" fontId="9" fillId="2" borderId="38" xfId="22" applyNumberFormat="1" applyFont="1" applyFill="1" applyBorder="1" applyAlignment="1">
      <alignment horizontal="right" vertical="center"/>
    </xf>
    <xf numFmtId="164" fontId="9" fillId="0" borderId="0" xfId="39" applyNumberFormat="1" applyFont="1" applyAlignment="1">
      <alignment horizontal="right" vertical="center"/>
    </xf>
    <xf numFmtId="164" fontId="9" fillId="0" borderId="0" xfId="39" applyNumberFormat="1" applyFont="1" applyBorder="1" applyAlignment="1">
      <alignment horizontal="right" vertical="center"/>
    </xf>
    <xf numFmtId="169" fontId="9" fillId="0" borderId="0" xfId="22" applyNumberFormat="1" applyFont="1" applyAlignment="1">
      <alignment horizontal="right"/>
    </xf>
    <xf numFmtId="43" fontId="5" fillId="0" borderId="0" xfId="38" applyNumberFormat="1" applyFont="1" applyAlignment="1">
      <alignment vertical="center"/>
    </xf>
    <xf numFmtId="164" fontId="9" fillId="0" borderId="0" xfId="39" applyNumberFormat="1" applyFont="1" applyAlignment="1">
      <alignment horizontal="right"/>
    </xf>
    <xf numFmtId="0" fontId="17" fillId="0" borderId="0" xfId="38" applyFont="1"/>
    <xf numFmtId="1" fontId="5" fillId="0" borderId="0" xfId="38" applyNumberFormat="1" applyFont="1" applyAlignment="1">
      <alignment vertical="center"/>
    </xf>
    <xf numFmtId="0" fontId="9" fillId="0" borderId="0" xfId="38" applyFont="1" applyAlignment="1">
      <alignment vertical="top"/>
    </xf>
    <xf numFmtId="170" fontId="5" fillId="0" borderId="0" xfId="18" applyNumberFormat="1" applyFont="1"/>
    <xf numFmtId="169" fontId="9" fillId="0" borderId="0" xfId="31" applyNumberFormat="1" applyFont="1" applyAlignment="1">
      <alignment horizontal="right"/>
    </xf>
    <xf numFmtId="164" fontId="9" fillId="2" borderId="0" xfId="39" applyNumberFormat="1" applyFont="1" applyFill="1" applyBorder="1" applyAlignment="1">
      <alignment vertical="center"/>
    </xf>
    <xf numFmtId="0" fontId="9" fillId="0" borderId="0" xfId="38" applyFont="1" applyAlignment="1">
      <alignment horizontal="center" vertical="top" wrapText="1"/>
    </xf>
    <xf numFmtId="0" fontId="9" fillId="0" borderId="0" xfId="18" applyFont="1" applyAlignment="1">
      <alignment horizontal="left"/>
    </xf>
    <xf numFmtId="183" fontId="9" fillId="3" borderId="0" xfId="40" applyNumberFormat="1" applyFont="1" applyFill="1" applyAlignment="1">
      <alignment vertical="center"/>
    </xf>
    <xf numFmtId="164" fontId="9" fillId="0" borderId="0" xfId="39" applyNumberFormat="1" applyFont="1" applyFill="1" applyAlignment="1">
      <alignment vertical="center"/>
    </xf>
    <xf numFmtId="164" fontId="9" fillId="0" borderId="0" xfId="39" applyNumberFormat="1" applyFont="1" applyFill="1"/>
    <xf numFmtId="165" fontId="9" fillId="0" borderId="0" xfId="40" applyNumberFormat="1" applyFont="1" applyAlignment="1">
      <alignment vertical="center"/>
    </xf>
    <xf numFmtId="164" fontId="9" fillId="3" borderId="0" xfId="1" applyNumberFormat="1" applyFont="1" applyFill="1" applyAlignment="1">
      <alignment vertical="center"/>
    </xf>
    <xf numFmtId="164" fontId="9" fillId="0" borderId="0" xfId="1" applyNumberFormat="1" applyFont="1" applyFill="1" applyAlignment="1">
      <alignment vertical="center"/>
    </xf>
    <xf numFmtId="165" fontId="9" fillId="3" borderId="0" xfId="40" applyNumberFormat="1" applyFont="1" applyFill="1" applyAlignment="1">
      <alignment vertical="center"/>
    </xf>
    <xf numFmtId="165" fontId="9" fillId="0" borderId="0" xfId="40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9" fillId="3" borderId="38" xfId="1" applyNumberFormat="1" applyFont="1" applyFill="1" applyBorder="1" applyAlignment="1">
      <alignment vertical="center"/>
    </xf>
    <xf numFmtId="165" fontId="9" fillId="3" borderId="0" xfId="40" applyNumberFormat="1" applyFont="1" applyFill="1" applyBorder="1" applyAlignment="1">
      <alignment vertical="center"/>
    </xf>
    <xf numFmtId="165" fontId="9" fillId="0" borderId="38" xfId="1" applyNumberFormat="1" applyFont="1" applyFill="1" applyBorder="1" applyAlignment="1">
      <alignment vertical="center"/>
    </xf>
    <xf numFmtId="164" fontId="9" fillId="0" borderId="0" xfId="18" applyNumberFormat="1" applyFont="1" applyAlignment="1">
      <alignment vertical="center"/>
    </xf>
    <xf numFmtId="164" fontId="5" fillId="0" borderId="0" xfId="18" applyNumberFormat="1" applyFont="1" applyAlignment="1">
      <alignment vertical="center"/>
    </xf>
    <xf numFmtId="164" fontId="5" fillId="0" borderId="0" xfId="18" applyNumberFormat="1" applyFont="1"/>
    <xf numFmtId="169" fontId="9" fillId="3" borderId="0" xfId="3" applyNumberFormat="1" applyFont="1" applyFill="1" applyAlignment="1">
      <alignment horizontal="right" vertical="center"/>
    </xf>
    <xf numFmtId="165" fontId="9" fillId="0" borderId="38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8" applyFont="1"/>
    <xf numFmtId="164" fontId="9" fillId="0" borderId="1" xfId="18" applyNumberFormat="1" applyFont="1" applyBorder="1" applyAlignment="1">
      <alignment horizontal="right" vertical="center"/>
    </xf>
    <xf numFmtId="164" fontId="5" fillId="0" borderId="0" xfId="18" applyNumberFormat="1" applyFont="1" applyAlignment="1">
      <alignment horizontal="right"/>
    </xf>
    <xf numFmtId="44" fontId="5" fillId="0" borderId="0" xfId="18" applyNumberFormat="1" applyFont="1"/>
    <xf numFmtId="0" fontId="33" fillId="0" borderId="0" xfId="18" quotePrefix="1" applyFont="1" applyAlignment="1">
      <alignment horizontal="center" vertical="center"/>
    </xf>
    <xf numFmtId="0" fontId="32" fillId="0" borderId="0" xfId="18" applyFont="1"/>
    <xf numFmtId="0" fontId="32" fillId="0" borderId="0" xfId="0" applyFont="1" applyAlignment="1">
      <alignment horizontal="center" vertical="center"/>
    </xf>
    <xf numFmtId="169" fontId="5" fillId="2" borderId="38" xfId="22" applyNumberFormat="1" applyFont="1" applyFill="1" applyBorder="1" applyAlignment="1">
      <alignment horizontal="right" vertical="center"/>
    </xf>
    <xf numFmtId="172" fontId="5" fillId="0" borderId="34" xfId="1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6" xfId="2" applyNumberFormat="1" applyFont="1" applyFill="1" applyBorder="1" applyAlignment="1">
      <alignment vertical="center"/>
    </xf>
    <xf numFmtId="165" fontId="5" fillId="0" borderId="30" xfId="1" applyNumberFormat="1" applyFont="1" applyBorder="1" applyAlignment="1">
      <alignment horizontal="center" vertical="center"/>
    </xf>
    <xf numFmtId="15" fontId="9" fillId="0" borderId="38" xfId="11" applyNumberFormat="1" applyFont="1" applyBorder="1" applyAlignment="1">
      <alignment horizontal="center" vertical="center"/>
    </xf>
    <xf numFmtId="10" fontId="9" fillId="2" borderId="38" xfId="11" applyNumberFormat="1" applyFont="1" applyFill="1" applyBorder="1" applyAlignment="1" applyProtection="1">
      <alignment horizontal="right" vertical="center"/>
      <protection locked="0"/>
    </xf>
    <xf numFmtId="164" fontId="9" fillId="3" borderId="38" xfId="13" applyNumberFormat="1" applyFont="1" applyFill="1" applyBorder="1" applyAlignment="1" applyProtection="1">
      <alignment horizontal="center" vertical="center"/>
      <protection locked="0"/>
    </xf>
    <xf numFmtId="165" fontId="9" fillId="2" borderId="38" xfId="1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Alignment="1">
      <alignment horizontal="right" vertical="center"/>
    </xf>
    <xf numFmtId="10" fontId="9" fillId="3" borderId="38" xfId="28" applyNumberFormat="1" applyFont="1" applyFill="1" applyBorder="1" applyAlignment="1">
      <alignment vertical="center"/>
    </xf>
    <xf numFmtId="0" fontId="10" fillId="0" borderId="0" xfId="3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10" fontId="9" fillId="2" borderId="38" xfId="0" applyNumberFormat="1" applyFont="1" applyFill="1" applyBorder="1" applyAlignment="1">
      <alignment horizontal="right" vertical="center"/>
    </xf>
    <xf numFmtId="164" fontId="9" fillId="0" borderId="18" xfId="2" applyNumberFormat="1" applyFont="1" applyBorder="1" applyAlignment="1">
      <alignment horizontal="right" vertical="center"/>
    </xf>
    <xf numFmtId="165" fontId="9" fillId="0" borderId="38" xfId="1" applyNumberFormat="1" applyFont="1" applyFill="1" applyBorder="1" applyAlignment="1" applyProtection="1">
      <alignment horizontal="right" vertical="center"/>
      <protection locked="0"/>
    </xf>
    <xf numFmtId="164" fontId="9" fillId="0" borderId="1" xfId="2" applyNumberFormat="1" applyFont="1" applyFill="1" applyBorder="1" applyAlignment="1">
      <alignment horizontal="right" vertical="center"/>
    </xf>
    <xf numFmtId="165" fontId="9" fillId="2" borderId="38" xfId="1" applyNumberFormat="1" applyFont="1" applyFill="1" applyBorder="1" applyAlignment="1" applyProtection="1">
      <alignment horizontal="right" vertical="center"/>
    </xf>
    <xf numFmtId="165" fontId="9" fillId="2" borderId="38" xfId="1" applyNumberFormat="1" applyFont="1" applyFill="1" applyBorder="1" applyAlignment="1">
      <alignment vertical="center"/>
    </xf>
    <xf numFmtId="171" fontId="5" fillId="0" borderId="13" xfId="20" applyNumberFormat="1" applyFont="1" applyFill="1" applyBorder="1" applyAlignment="1">
      <alignment horizontal="right"/>
    </xf>
    <xf numFmtId="171" fontId="5" fillId="0" borderId="0" xfId="20" applyNumberFormat="1" applyFont="1" applyFill="1" applyBorder="1" applyAlignment="1">
      <alignment horizontal="right"/>
    </xf>
    <xf numFmtId="172" fontId="5" fillId="0" borderId="30" xfId="1" applyNumberFormat="1" applyFont="1" applyFill="1" applyBorder="1" applyAlignment="1">
      <alignment horizontal="right"/>
    </xf>
    <xf numFmtId="184" fontId="9" fillId="0" borderId="0" xfId="1" applyNumberFormat="1" applyFont="1" applyFill="1" applyBorder="1" applyAlignment="1">
      <alignment horizontal="right"/>
    </xf>
    <xf numFmtId="184" fontId="9" fillId="0" borderId="30" xfId="1" applyNumberFormat="1" applyFont="1" applyFill="1" applyBorder="1" applyAlignment="1">
      <alignment horizontal="right"/>
    </xf>
    <xf numFmtId="171" fontId="9" fillId="0" borderId="0" xfId="0" applyNumberFormat="1" applyFont="1"/>
    <xf numFmtId="166" fontId="7" fillId="0" borderId="0" xfId="2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180" fontId="7" fillId="0" borderId="30" xfId="1" applyNumberFormat="1" applyFont="1" applyFill="1" applyBorder="1" applyAlignment="1">
      <alignment vertical="center"/>
    </xf>
    <xf numFmtId="166" fontId="7" fillId="0" borderId="16" xfId="2" applyNumberFormat="1" applyFont="1" applyFill="1" applyBorder="1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" vertical="justify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18" applyFont="1" applyAlignment="1">
      <alignment horizontal="center"/>
    </xf>
    <xf numFmtId="2" fontId="5" fillId="2" borderId="0" xfId="18" applyNumberFormat="1" applyFont="1" applyFill="1" applyAlignment="1">
      <alignment horizontal="center"/>
    </xf>
    <xf numFmtId="0" fontId="5" fillId="0" borderId="0" xfId="18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0" xfId="23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applyFont="1" applyAlignment="1">
      <alignment vertical="center"/>
    </xf>
    <xf numFmtId="0" fontId="5" fillId="2" borderId="0" xfId="11" applyFont="1" applyFill="1" applyAlignment="1">
      <alignment horizontal="center"/>
    </xf>
    <xf numFmtId="0" fontId="5" fillId="2" borderId="0" xfId="11" applyFont="1" applyFill="1" applyAlignment="1"/>
    <xf numFmtId="0" fontId="5" fillId="0" borderId="0" xfId="11" quotePrefix="1" applyFont="1" applyAlignment="1">
      <alignment horizontal="center"/>
    </xf>
    <xf numFmtId="0" fontId="5" fillId="0" borderId="0" xfId="11" applyFont="1" applyAlignme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41">
    <cellStyle name="Comma" xfId="1" builtinId="3"/>
    <cellStyle name="Comma [0]" xfId="36" builtinId="6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omma 81" xfId="40" xr:uid="{70AFA262-9C99-432F-A49E-5A8399EBC022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4" xr:uid="{83F2A21B-13F0-490B-BE7B-8947CEEF5932}"/>
    <cellStyle name="Currency 30" xfId="39" xr:uid="{31327FF2-D800-474A-AA20-A7AFBD29CED1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7" xr:uid="{42250845-17D2-450E-BA65-8ED3FC2FC8ED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29 2" xfId="38" xr:uid="{FF228082-07FD-451C-9E54-A3FE824C90D4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6" xfId="35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33" xr:uid="{CEB38DB1-3144-46DF-B857-A948191A94E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FA3FD29-EBC3-40DD-AC40-644186DDCB3F}"/>
            </a:ext>
          </a:extLst>
        </xdr:cNvPr>
        <xdr:cNvSpPr>
          <a:spLocks noChangeShapeType="1"/>
        </xdr:cNvSpPr>
      </xdr:nvSpPr>
      <xdr:spPr bwMode="auto">
        <a:xfrm>
          <a:off x="1908177" y="269700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95EED9ED-B7ED-442E-BFBA-5238D89D3D0D}"/>
            </a:ext>
          </a:extLst>
        </xdr:cNvPr>
        <xdr:cNvSpPr>
          <a:spLocks noChangeShapeType="1"/>
        </xdr:cNvSpPr>
      </xdr:nvSpPr>
      <xdr:spPr bwMode="auto">
        <a:xfrm>
          <a:off x="1908177" y="269700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3707C26-FC28-40B1-9A61-BC173EBD2A19}"/>
            </a:ext>
          </a:extLst>
        </xdr:cNvPr>
        <xdr:cNvSpPr>
          <a:spLocks noChangeShapeType="1"/>
        </xdr:cNvSpPr>
      </xdr:nvSpPr>
      <xdr:spPr bwMode="auto">
        <a:xfrm>
          <a:off x="1765305" y="293036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335B0A9-09B7-4000-9057-E12FFED21090}"/>
            </a:ext>
          </a:extLst>
        </xdr:cNvPr>
        <xdr:cNvSpPr>
          <a:spLocks noChangeShapeType="1"/>
        </xdr:cNvSpPr>
      </xdr:nvSpPr>
      <xdr:spPr bwMode="auto">
        <a:xfrm>
          <a:off x="190658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BA05AE7-24A1-45F1-9417-CB2A6D33EABB}"/>
            </a:ext>
          </a:extLst>
        </xdr:cNvPr>
        <xdr:cNvSpPr>
          <a:spLocks noChangeShapeType="1"/>
        </xdr:cNvSpPr>
      </xdr:nvSpPr>
      <xdr:spPr bwMode="auto">
        <a:xfrm>
          <a:off x="1760542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806AD5AD-7A9B-4186-A808-563A6AF17460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25F432EE-0F2D-4204-901E-93F538E2613C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A7631E9F-3E37-4AC3-A631-4E00ABD30A7E}"/>
            </a:ext>
          </a:extLst>
        </xdr:cNvPr>
        <xdr:cNvSpPr>
          <a:spLocks noChangeShapeType="1"/>
        </xdr:cNvSpPr>
      </xdr:nvSpPr>
      <xdr:spPr bwMode="auto">
        <a:xfrm>
          <a:off x="1760542" y="299370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796875" defaultRowHeight="14.5" x14ac:dyDescent="0.35"/>
  <cols>
    <col min="1" max="1" width="4.81640625" style="1" bestFit="1" customWidth="1"/>
    <col min="2" max="2" width="71.54296875" style="1" customWidth="1"/>
    <col min="3" max="3" width="1.81640625" style="1" customWidth="1"/>
    <col min="4" max="4" width="20.81640625" style="1" customWidth="1"/>
    <col min="5" max="5" width="1.54296875" style="1" customWidth="1"/>
    <col min="6" max="6" width="44.81640625" style="1" customWidth="1"/>
    <col min="7" max="7" width="4.81640625" style="1" customWidth="1"/>
    <col min="8" max="16384" width="9.1796875" style="1"/>
  </cols>
  <sheetData>
    <row r="2" spans="1:8" ht="17.5" x14ac:dyDescent="0.35">
      <c r="B2" s="852" t="s">
        <v>0</v>
      </c>
      <c r="C2" s="852"/>
      <c r="D2" s="852"/>
      <c r="E2" s="852"/>
      <c r="F2" s="852"/>
    </row>
    <row r="3" spans="1:8" ht="17.5" x14ac:dyDescent="0.35">
      <c r="B3" s="153" t="s">
        <v>1</v>
      </c>
      <c r="C3" s="2"/>
      <c r="D3" s="3"/>
      <c r="E3" s="3"/>
      <c r="F3" s="3"/>
    </row>
    <row r="4" spans="1:8" ht="17.5" x14ac:dyDescent="0.35">
      <c r="B4" s="851" t="s">
        <v>2</v>
      </c>
      <c r="C4" s="851"/>
      <c r="D4" s="851"/>
      <c r="E4" s="851"/>
      <c r="F4" s="851"/>
    </row>
    <row r="5" spans="1:8" ht="17.5" x14ac:dyDescent="0.35">
      <c r="B5" s="155" t="s">
        <v>3</v>
      </c>
      <c r="C5" s="2"/>
      <c r="D5" s="2"/>
      <c r="E5" s="2"/>
      <c r="F5" s="2"/>
    </row>
    <row r="6" spans="1:8" ht="15.5" x14ac:dyDescent="0.35">
      <c r="B6" s="850" t="s">
        <v>4</v>
      </c>
      <c r="C6" s="850"/>
      <c r="D6" s="850"/>
      <c r="E6" s="850"/>
      <c r="F6" s="850"/>
      <c r="G6" s="4"/>
      <c r="H6" s="4"/>
    </row>
    <row r="7" spans="1:8" ht="15.5" x14ac:dyDescent="0.35">
      <c r="B7" s="5"/>
      <c r="C7" s="5"/>
      <c r="D7" s="6"/>
      <c r="E7" s="7"/>
      <c r="F7" s="5"/>
      <c r="G7" s="5"/>
    </row>
    <row r="8" spans="1:8" ht="15.5" x14ac:dyDescent="0.35">
      <c r="A8" s="8" t="s">
        <v>5</v>
      </c>
      <c r="G8" s="8" t="s">
        <v>5</v>
      </c>
    </row>
    <row r="9" spans="1:8" ht="15.5" x14ac:dyDescent="0.35">
      <c r="A9" s="675" t="s">
        <v>6</v>
      </c>
      <c r="B9" s="9" t="s">
        <v>7</v>
      </c>
      <c r="C9" s="9"/>
      <c r="D9" s="9" t="s">
        <v>8</v>
      </c>
      <c r="E9" s="10"/>
      <c r="F9" s="9" t="s">
        <v>9</v>
      </c>
      <c r="G9" s="675" t="s">
        <v>6</v>
      </c>
    </row>
    <row r="10" spans="1:8" ht="15.5" x14ac:dyDescent="0.35">
      <c r="A10" s="8"/>
      <c r="B10" s="5"/>
      <c r="C10" s="5"/>
      <c r="D10" s="11"/>
      <c r="E10" s="11"/>
      <c r="F10" s="11"/>
      <c r="G10" s="8"/>
    </row>
    <row r="11" spans="1:8" ht="15.5" x14ac:dyDescent="0.35">
      <c r="A11" s="8">
        <v>1</v>
      </c>
      <c r="B11" s="7" t="s">
        <v>10</v>
      </c>
      <c r="C11" s="7"/>
      <c r="D11" s="11"/>
      <c r="E11" s="11"/>
      <c r="F11" s="11"/>
      <c r="G11" s="8">
        <v>1</v>
      </c>
    </row>
    <row r="12" spans="1:8" ht="15.5" x14ac:dyDescent="0.3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15.5" x14ac:dyDescent="0.35">
      <c r="A13" s="8">
        <f t="shared" ref="A13:A14" si="0">A12+1</f>
        <v>3</v>
      </c>
      <c r="B13" s="160" t="s">
        <v>11</v>
      </c>
      <c r="C13" s="12"/>
      <c r="D13" s="13">
        <f>'Pg2 Appendix X C10 Comparison'!G28</f>
        <v>-1.5151947657041092</v>
      </c>
      <c r="E13" s="13"/>
      <c r="F13" s="11" t="s">
        <v>12</v>
      </c>
      <c r="G13" s="8">
        <f t="shared" ref="G13:G14" si="1">G12+1</f>
        <v>3</v>
      </c>
    </row>
    <row r="14" spans="1:8" ht="15.5" x14ac:dyDescent="0.35">
      <c r="A14" s="8">
        <f t="shared" si="0"/>
        <v>4</v>
      </c>
      <c r="B14" s="5"/>
      <c r="C14" s="11"/>
      <c r="D14" s="13"/>
      <c r="E14" s="13"/>
      <c r="F14" s="11"/>
      <c r="G14" s="8">
        <f t="shared" si="1"/>
        <v>4</v>
      </c>
    </row>
    <row r="15" spans="1:8" ht="15.5" x14ac:dyDescent="0.35">
      <c r="A15" s="8">
        <f t="shared" ref="A15:A21" si="2">A14+1</f>
        <v>5</v>
      </c>
      <c r="B15" s="5" t="s">
        <v>13</v>
      </c>
      <c r="C15" s="11"/>
      <c r="D15" s="676">
        <f>'Pg17 Appendix X C10 Int Calc'!G54</f>
        <v>-0.14157610694673384</v>
      </c>
      <c r="E15" s="14"/>
      <c r="F15" s="11" t="s">
        <v>692</v>
      </c>
      <c r="G15" s="8">
        <f t="shared" ref="G15:G21" si="3">G14+1</f>
        <v>5</v>
      </c>
    </row>
    <row r="16" spans="1:8" ht="15.5" x14ac:dyDescent="0.35">
      <c r="A16" s="8">
        <f t="shared" si="2"/>
        <v>6</v>
      </c>
      <c r="B16" s="5"/>
      <c r="C16" s="11"/>
      <c r="D16" s="15"/>
      <c r="E16" s="15"/>
      <c r="F16" s="11"/>
      <c r="G16" s="8">
        <f t="shared" si="3"/>
        <v>6</v>
      </c>
    </row>
    <row r="17" spans="1:7" ht="15.5" x14ac:dyDescent="0.35">
      <c r="A17" s="8">
        <f t="shared" si="2"/>
        <v>7</v>
      </c>
      <c r="B17" s="521" t="s">
        <v>14</v>
      </c>
      <c r="C17" s="10"/>
      <c r="D17" s="520">
        <f>D13+D15</f>
        <v>-1.656770872650843</v>
      </c>
      <c r="E17" s="13"/>
      <c r="F17" s="11" t="s">
        <v>15</v>
      </c>
      <c r="G17" s="8">
        <f t="shared" si="3"/>
        <v>7</v>
      </c>
    </row>
    <row r="18" spans="1:7" ht="15.5" x14ac:dyDescent="0.35">
      <c r="A18" s="8">
        <f t="shared" si="2"/>
        <v>8</v>
      </c>
      <c r="B18" s="5"/>
      <c r="C18" s="11"/>
      <c r="D18" s="154"/>
      <c r="E18" s="5"/>
      <c r="F18" s="5"/>
      <c r="G18" s="8">
        <f t="shared" si="3"/>
        <v>8</v>
      </c>
    </row>
    <row r="19" spans="1:7" ht="15.5" x14ac:dyDescent="0.35">
      <c r="A19" s="8">
        <f t="shared" si="2"/>
        <v>9</v>
      </c>
      <c r="B19" s="264" t="s">
        <v>16</v>
      </c>
      <c r="C19" s="11"/>
      <c r="D19" s="677">
        <v>12</v>
      </c>
      <c r="E19" s="5"/>
      <c r="F19" s="5"/>
      <c r="G19" s="8">
        <f t="shared" si="3"/>
        <v>9</v>
      </c>
    </row>
    <row r="20" spans="1:7" ht="15.5" x14ac:dyDescent="0.35">
      <c r="A20" s="8">
        <f t="shared" si="2"/>
        <v>10</v>
      </c>
      <c r="B20" s="5"/>
      <c r="C20" s="11"/>
      <c r="D20" s="154"/>
      <c r="E20" s="5"/>
      <c r="F20" s="5"/>
      <c r="G20" s="8">
        <f t="shared" si="3"/>
        <v>10</v>
      </c>
    </row>
    <row r="21" spans="1:7" ht="16" thickBot="1" x14ac:dyDescent="0.4">
      <c r="A21" s="8">
        <f t="shared" si="2"/>
        <v>11</v>
      </c>
      <c r="B21" s="521" t="s">
        <v>17</v>
      </c>
      <c r="C21" s="5"/>
      <c r="D21" s="630">
        <f>D17/12</f>
        <v>-0.13806423938757026</v>
      </c>
      <c r="E21" s="5"/>
      <c r="F21" s="11" t="s">
        <v>18</v>
      </c>
      <c r="G21" s="8">
        <f t="shared" si="3"/>
        <v>11</v>
      </c>
    </row>
    <row r="22" spans="1:7" ht="16" thickTop="1" x14ac:dyDescent="0.35">
      <c r="A22" s="8"/>
      <c r="B22" s="156"/>
      <c r="C22" s="5"/>
      <c r="D22" s="363"/>
      <c r="E22" s="5"/>
      <c r="F22" s="5"/>
      <c r="G22" s="5"/>
    </row>
    <row r="23" spans="1:7" ht="15.5" x14ac:dyDescent="0.35">
      <c r="B23" s="5"/>
      <c r="C23" s="5"/>
      <c r="D23" s="5"/>
      <c r="E23" s="5"/>
      <c r="F23" s="5"/>
      <c r="G23" s="5"/>
    </row>
    <row r="24" spans="1:7" ht="17" x14ac:dyDescent="0.35">
      <c r="A24" s="16">
        <v>1</v>
      </c>
      <c r="B24" s="17" t="s">
        <v>19</v>
      </c>
      <c r="C24" s="5"/>
      <c r="D24" s="5"/>
      <c r="E24" s="5"/>
      <c r="F24" s="5"/>
      <c r="G24" s="5"/>
    </row>
    <row r="25" spans="1:7" ht="15.5" x14ac:dyDescent="0.35">
      <c r="B25" s="17" t="s">
        <v>693</v>
      </c>
      <c r="C25" s="5"/>
      <c r="D25" s="5"/>
      <c r="E25" s="5"/>
      <c r="F25" s="5"/>
      <c r="G25" s="5"/>
    </row>
    <row r="26" spans="1:7" ht="15.5" x14ac:dyDescent="0.35">
      <c r="B26" s="5"/>
      <c r="C26" s="5"/>
      <c r="D26" s="5"/>
      <c r="E26" s="5"/>
      <c r="F26" s="5"/>
      <c r="G26" s="5"/>
    </row>
    <row r="27" spans="1:7" ht="15.5" x14ac:dyDescent="0.35">
      <c r="B27" s="5"/>
      <c r="C27" s="5"/>
      <c r="D27" s="5"/>
      <c r="E27" s="5"/>
      <c r="F27" s="5"/>
      <c r="G27" s="5"/>
    </row>
    <row r="28" spans="1:7" ht="15.5" x14ac:dyDescent="0.35">
      <c r="B28" s="5"/>
      <c r="C28" s="5"/>
      <c r="D28" s="5"/>
      <c r="E28" s="5"/>
      <c r="F28" s="5"/>
      <c r="G28" s="5"/>
    </row>
    <row r="29" spans="1:7" ht="17" x14ac:dyDescent="0.35">
      <c r="A29" s="16"/>
      <c r="B29" s="5"/>
      <c r="C29" s="5"/>
      <c r="D29" s="5"/>
      <c r="E29" s="5"/>
      <c r="F29" s="5"/>
      <c r="G29" s="5"/>
    </row>
    <row r="30" spans="1:7" ht="15.5" x14ac:dyDescent="0.35">
      <c r="B30" s="5"/>
      <c r="C30" s="5"/>
      <c r="D30" s="5"/>
      <c r="E30" s="5"/>
      <c r="F30" s="5"/>
      <c r="G30" s="5"/>
    </row>
    <row r="31" spans="1:7" ht="15.5" x14ac:dyDescent="0.35">
      <c r="B31" s="5"/>
      <c r="C31" s="5"/>
      <c r="D31" s="5"/>
      <c r="E31" s="5"/>
      <c r="F31" s="5"/>
      <c r="G31" s="5"/>
    </row>
    <row r="32" spans="1:7" ht="15.5" x14ac:dyDescent="0.35">
      <c r="B32" s="5"/>
      <c r="C32" s="5"/>
      <c r="D32" s="5"/>
      <c r="E32" s="5"/>
      <c r="F32" s="5"/>
      <c r="G32" s="5"/>
    </row>
    <row r="33" spans="2:7" ht="15.5" x14ac:dyDescent="0.35">
      <c r="B33" s="5"/>
      <c r="C33" s="5"/>
      <c r="D33" s="5"/>
      <c r="E33" s="5"/>
      <c r="F33" s="5"/>
      <c r="G33" s="5"/>
    </row>
    <row r="34" spans="2:7" ht="15.5" x14ac:dyDescent="0.35">
      <c r="B34" s="5"/>
      <c r="C34" s="5"/>
      <c r="D34" s="5"/>
      <c r="E34" s="5"/>
      <c r="F34" s="5"/>
      <c r="G34" s="5"/>
    </row>
    <row r="35" spans="2:7" ht="15.5" x14ac:dyDescent="0.35">
      <c r="B35" s="5"/>
      <c r="C35" s="5"/>
      <c r="D35" s="5"/>
      <c r="E35" s="5"/>
      <c r="F35" s="5"/>
      <c r="G35" s="5"/>
    </row>
    <row r="36" spans="2:7" ht="15.5" x14ac:dyDescent="0.35">
      <c r="B36" s="5"/>
      <c r="C36" s="5"/>
      <c r="D36" s="5"/>
      <c r="E36" s="5"/>
      <c r="F36" s="5"/>
      <c r="G36" s="5"/>
    </row>
    <row r="37" spans="2:7" ht="15.5" x14ac:dyDescent="0.35">
      <c r="B37" s="5"/>
      <c r="C37" s="5"/>
      <c r="D37" s="5"/>
      <c r="E37" s="5"/>
      <c r="F37" s="5"/>
      <c r="G37" s="5"/>
    </row>
    <row r="38" spans="2:7" ht="15.5" x14ac:dyDescent="0.35">
      <c r="B38" s="5"/>
      <c r="C38" s="5"/>
      <c r="D38" s="5"/>
      <c r="E38" s="5"/>
      <c r="F38" s="5"/>
      <c r="G38" s="5"/>
    </row>
    <row r="39" spans="2:7" ht="15.5" x14ac:dyDescent="0.35">
      <c r="B39" s="5"/>
      <c r="C39" s="5"/>
      <c r="D39" s="5"/>
      <c r="E39" s="5"/>
      <c r="F39" s="5"/>
      <c r="G39" s="5"/>
    </row>
    <row r="40" spans="2:7" ht="15.5" x14ac:dyDescent="0.35">
      <c r="B40" s="5"/>
      <c r="C40" s="5"/>
      <c r="D40" s="5"/>
      <c r="E40" s="5"/>
      <c r="F40" s="5"/>
      <c r="G40" s="5"/>
    </row>
    <row r="41" spans="2:7" ht="15.5" x14ac:dyDescent="0.35">
      <c r="B41" s="5"/>
      <c r="C41" s="5"/>
      <c r="D41" s="5"/>
      <c r="E41" s="5"/>
      <c r="F41" s="5"/>
      <c r="G41" s="5"/>
    </row>
  </sheetData>
  <mergeCells count="3">
    <mergeCell ref="B6:F6"/>
    <mergeCell ref="B4:F4"/>
    <mergeCell ref="B2:F2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&amp;CPage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4101-DE21-4537-9D11-E827536EEE2D}">
  <sheetPr>
    <pageSetUpPr fitToPage="1"/>
  </sheetPr>
  <dimension ref="A1:Q42"/>
  <sheetViews>
    <sheetView zoomScale="80" zoomScaleNormal="80" workbookViewId="0"/>
  </sheetViews>
  <sheetFormatPr defaultColWidth="9.1796875" defaultRowHeight="15.5" x14ac:dyDescent="0.35"/>
  <cols>
    <col min="1" max="1" width="5.1796875" style="36" customWidth="1"/>
    <col min="2" max="2" width="12.54296875" style="37" customWidth="1"/>
    <col min="3" max="3" width="20" style="37" customWidth="1"/>
    <col min="4" max="7" width="21.54296875" style="37" customWidth="1"/>
    <col min="8" max="8" width="22.81640625" style="37" bestFit="1" customWidth="1"/>
    <col min="9" max="13" width="21.54296875" style="37" customWidth="1"/>
    <col min="14" max="14" width="5.1796875" style="36" customWidth="1"/>
    <col min="15" max="15" width="13.54296875" style="37" customWidth="1"/>
    <col min="16" max="16" width="12.54296875" style="37" customWidth="1"/>
    <col min="17" max="16384" width="9.1796875" style="37"/>
  </cols>
  <sheetData>
    <row r="1" spans="1:14" x14ac:dyDescent="0.35">
      <c r="A1" s="720" t="s">
        <v>650</v>
      </c>
      <c r="I1" s="601"/>
    </row>
    <row r="2" spans="1:14" x14ac:dyDescent="0.35">
      <c r="A2" s="720"/>
      <c r="I2" s="747"/>
    </row>
    <row r="3" spans="1:14" x14ac:dyDescent="0.35">
      <c r="B3" s="863" t="s">
        <v>20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</row>
    <row r="4" spans="1:14" x14ac:dyDescent="0.3">
      <c r="B4" s="853" t="s">
        <v>58</v>
      </c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</row>
    <row r="5" spans="1:14" x14ac:dyDescent="0.3">
      <c r="B5" s="853" t="s">
        <v>143</v>
      </c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</row>
    <row r="6" spans="1:14" x14ac:dyDescent="0.3">
      <c r="B6" s="864" t="s">
        <v>144</v>
      </c>
      <c r="C6" s="864"/>
      <c r="D6" s="864"/>
      <c r="E6" s="864"/>
      <c r="F6" s="864"/>
      <c r="G6" s="864"/>
      <c r="H6" s="864"/>
      <c r="I6" s="864"/>
      <c r="J6" s="864"/>
      <c r="K6" s="864"/>
      <c r="L6" s="864"/>
      <c r="M6" s="864"/>
      <c r="N6" s="864"/>
    </row>
    <row r="7" spans="1:14" x14ac:dyDescent="0.35">
      <c r="B7" s="865" t="s">
        <v>4</v>
      </c>
      <c r="C7" s="865"/>
      <c r="D7" s="865"/>
      <c r="E7" s="865"/>
      <c r="F7" s="865"/>
      <c r="G7" s="865"/>
      <c r="H7" s="865"/>
      <c r="I7" s="865"/>
      <c r="J7" s="865"/>
      <c r="K7" s="865"/>
      <c r="L7" s="865"/>
      <c r="M7" s="865"/>
      <c r="N7" s="364"/>
    </row>
    <row r="8" spans="1:14" x14ac:dyDescent="0.35">
      <c r="A8" s="364"/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</row>
    <row r="9" spans="1:14" x14ac:dyDescent="0.35">
      <c r="A9" s="36" t="s">
        <v>5</v>
      </c>
      <c r="B9" s="53"/>
      <c r="E9" s="43"/>
      <c r="F9" s="133"/>
      <c r="G9" s="133"/>
      <c r="N9" s="36" t="s">
        <v>5</v>
      </c>
    </row>
    <row r="10" spans="1:14" x14ac:dyDescent="0.35">
      <c r="A10" s="36" t="s">
        <v>6</v>
      </c>
      <c r="B10" s="53"/>
      <c r="E10" s="43"/>
      <c r="F10" s="133"/>
      <c r="G10" s="133"/>
      <c r="N10" s="36" t="s">
        <v>6</v>
      </c>
    </row>
    <row r="11" spans="1:14" x14ac:dyDescent="0.35">
      <c r="A11" s="36">
        <v>1</v>
      </c>
      <c r="E11" s="43"/>
      <c r="I11" s="285"/>
      <c r="J11" s="285"/>
      <c r="N11" s="36">
        <v>1</v>
      </c>
    </row>
    <row r="12" spans="1:14" x14ac:dyDescent="0.35">
      <c r="A12" s="36">
        <f t="shared" ref="A12:A32" si="0">A11+1</f>
        <v>2</v>
      </c>
      <c r="C12" s="286" t="s">
        <v>145</v>
      </c>
      <c r="D12" s="286" t="s">
        <v>146</v>
      </c>
      <c r="E12" s="286" t="s">
        <v>147</v>
      </c>
      <c r="F12" s="286" t="s">
        <v>148</v>
      </c>
      <c r="G12" s="286" t="s">
        <v>149</v>
      </c>
      <c r="H12" s="286" t="s">
        <v>150</v>
      </c>
      <c r="I12" s="286" t="s">
        <v>151</v>
      </c>
      <c r="J12" s="286" t="s">
        <v>152</v>
      </c>
      <c r="K12" s="286" t="s">
        <v>153</v>
      </c>
      <c r="L12" s="286" t="s">
        <v>154</v>
      </c>
      <c r="M12" s="286" t="s">
        <v>155</v>
      </c>
      <c r="N12" s="36">
        <f t="shared" ref="N12:N32" si="1">N11+1</f>
        <v>2</v>
      </c>
    </row>
    <row r="13" spans="1:14" x14ac:dyDescent="0.35">
      <c r="A13" s="36">
        <f t="shared" si="0"/>
        <v>3</v>
      </c>
      <c r="B13" s="43" t="s">
        <v>156</v>
      </c>
      <c r="C13" s="36"/>
      <c r="D13" s="36"/>
      <c r="E13" s="36"/>
      <c r="F13" s="36" t="str">
        <f>"= "&amp;F12&amp;"; Line "&amp;A32&amp;" / 12"</f>
        <v>= Col. 4; Line 22 / 12</v>
      </c>
      <c r="G13" s="36"/>
      <c r="H13" s="68" t="str">
        <f>"= Sum "&amp;E12&amp;" thru "&amp;G12</f>
        <v>= Sum Col. 3 thru Col. 5</v>
      </c>
      <c r="I13" s="68" t="str">
        <f>"= "&amp;D12&amp;" - "&amp;H12</f>
        <v>= Col. 2 - Col. 6</v>
      </c>
      <c r="J13" s="36"/>
      <c r="K13" s="36" t="str">
        <f>"See Footnote "&amp;A41</f>
        <v>See Footnote 6</v>
      </c>
      <c r="L13" s="36" t="str">
        <f>"See Footnote "&amp;A42</f>
        <v>See Footnote 7</v>
      </c>
      <c r="M13" s="68" t="str">
        <f>"= "&amp;K12&amp;" + "&amp;L12</f>
        <v>= Col. 9 + Col. 10</v>
      </c>
      <c r="N13" s="36">
        <f t="shared" si="1"/>
        <v>3</v>
      </c>
    </row>
    <row r="14" spans="1:14" x14ac:dyDescent="0.35">
      <c r="A14" s="36">
        <f t="shared" si="0"/>
        <v>4</v>
      </c>
      <c r="B14" s="43"/>
      <c r="C14" s="36"/>
      <c r="D14" s="36"/>
      <c r="E14" s="36"/>
      <c r="F14" s="36"/>
      <c r="G14" s="36"/>
      <c r="H14" s="68"/>
      <c r="I14" s="68"/>
      <c r="J14" s="36"/>
      <c r="K14" s="36"/>
      <c r="L14" s="36"/>
      <c r="M14" s="68"/>
      <c r="N14" s="36">
        <f t="shared" si="1"/>
        <v>4</v>
      </c>
    </row>
    <row r="15" spans="1:14" x14ac:dyDescent="0.35">
      <c r="A15" s="36">
        <f t="shared" si="0"/>
        <v>5</v>
      </c>
      <c r="C15" s="286"/>
      <c r="H15" s="364"/>
      <c r="K15" s="364" t="s">
        <v>157</v>
      </c>
      <c r="M15" s="364" t="s">
        <v>157</v>
      </c>
      <c r="N15" s="36">
        <f t="shared" si="1"/>
        <v>5</v>
      </c>
    </row>
    <row r="16" spans="1:14" x14ac:dyDescent="0.35">
      <c r="A16" s="36">
        <f t="shared" si="0"/>
        <v>6</v>
      </c>
      <c r="C16" s="286"/>
      <c r="F16" s="364"/>
      <c r="G16" s="364"/>
      <c r="H16" s="364"/>
      <c r="I16" s="364" t="s">
        <v>158</v>
      </c>
      <c r="J16" s="364"/>
      <c r="K16" s="364" t="s">
        <v>159</v>
      </c>
      <c r="M16" s="364" t="s">
        <v>159</v>
      </c>
      <c r="N16" s="36">
        <f t="shared" si="1"/>
        <v>6</v>
      </c>
    </row>
    <row r="17" spans="1:17" x14ac:dyDescent="0.35">
      <c r="A17" s="36">
        <f t="shared" si="0"/>
        <v>7</v>
      </c>
      <c r="C17" s="364"/>
      <c r="D17" s="364" t="s">
        <v>158</v>
      </c>
      <c r="E17" s="364" t="s">
        <v>158</v>
      </c>
      <c r="F17" s="364" t="s">
        <v>160</v>
      </c>
      <c r="G17" s="364"/>
      <c r="H17" s="364" t="s">
        <v>161</v>
      </c>
      <c r="I17" s="364" t="s">
        <v>159</v>
      </c>
      <c r="J17" s="364" t="s">
        <v>158</v>
      </c>
      <c r="K17" s="364" t="s">
        <v>162</v>
      </c>
      <c r="M17" s="364" t="s">
        <v>162</v>
      </c>
      <c r="N17" s="36">
        <f t="shared" si="1"/>
        <v>7</v>
      </c>
    </row>
    <row r="18" spans="1:17" x14ac:dyDescent="0.35">
      <c r="A18" s="36">
        <f t="shared" si="0"/>
        <v>8</v>
      </c>
      <c r="C18" s="364"/>
      <c r="D18" s="364" t="s">
        <v>163</v>
      </c>
      <c r="E18" s="364" t="s">
        <v>163</v>
      </c>
      <c r="F18" s="364" t="s">
        <v>163</v>
      </c>
      <c r="G18" s="364" t="s">
        <v>164</v>
      </c>
      <c r="H18" s="364" t="s">
        <v>163</v>
      </c>
      <c r="I18" s="364" t="s">
        <v>162</v>
      </c>
      <c r="J18" s="364" t="s">
        <v>165</v>
      </c>
      <c r="K18" s="364" t="s">
        <v>166</v>
      </c>
      <c r="L18" s="364"/>
      <c r="M18" s="364" t="s">
        <v>166</v>
      </c>
      <c r="N18" s="36">
        <f t="shared" si="1"/>
        <v>8</v>
      </c>
    </row>
    <row r="19" spans="1:17" ht="18" x14ac:dyDescent="0.35">
      <c r="A19" s="36">
        <f t="shared" si="0"/>
        <v>9</v>
      </c>
      <c r="B19" s="287" t="s">
        <v>167</v>
      </c>
      <c r="C19" s="287" t="s">
        <v>168</v>
      </c>
      <c r="D19" s="133" t="s">
        <v>169</v>
      </c>
      <c r="E19" s="133" t="s">
        <v>170</v>
      </c>
      <c r="F19" s="133" t="s">
        <v>171</v>
      </c>
      <c r="G19" s="133" t="s">
        <v>172</v>
      </c>
      <c r="H19" s="133" t="s">
        <v>173</v>
      </c>
      <c r="I19" s="133" t="s">
        <v>166</v>
      </c>
      <c r="J19" s="133" t="s">
        <v>174</v>
      </c>
      <c r="K19" s="133" t="s">
        <v>175</v>
      </c>
      <c r="L19" s="133" t="s">
        <v>165</v>
      </c>
      <c r="M19" s="133" t="s">
        <v>176</v>
      </c>
      <c r="N19" s="36">
        <f t="shared" si="1"/>
        <v>9</v>
      </c>
    </row>
    <row r="20" spans="1:17" x14ac:dyDescent="0.35">
      <c r="A20" s="36">
        <f t="shared" si="0"/>
        <v>10</v>
      </c>
      <c r="B20" s="96" t="s">
        <v>177</v>
      </c>
      <c r="C20" s="288" t="str">
        <f>RIGHT(B6,4)</f>
        <v>2020</v>
      </c>
      <c r="D20" s="32">
        <v>320.41709954188553</v>
      </c>
      <c r="E20" s="33">
        <v>288.95415264480692</v>
      </c>
      <c r="F20" s="33">
        <v>-84.485757445093</v>
      </c>
      <c r="G20" s="381">
        <v>0</v>
      </c>
      <c r="H20" s="254">
        <f>SUM(E20:G20)</f>
        <v>204.46839519971394</v>
      </c>
      <c r="I20" s="60">
        <f>D20-H20</f>
        <v>115.9487043421716</v>
      </c>
      <c r="J20" s="289">
        <v>4.1999999999999997E-3</v>
      </c>
      <c r="K20" s="645">
        <f>I20</f>
        <v>115.9487043421716</v>
      </c>
      <c r="L20" s="290">
        <f>(I20/2)*J20</f>
        <v>0.24349227911856033</v>
      </c>
      <c r="M20" s="290">
        <f t="shared" ref="M20:M30" si="2">K20+L20</f>
        <v>116.19219662129015</v>
      </c>
      <c r="N20" s="36">
        <f t="shared" si="1"/>
        <v>10</v>
      </c>
      <c r="O20" s="35"/>
    </row>
    <row r="21" spans="1:17" x14ac:dyDescent="0.35">
      <c r="A21" s="36">
        <f t="shared" si="0"/>
        <v>11</v>
      </c>
      <c r="B21" s="96" t="s">
        <v>178</v>
      </c>
      <c r="C21" s="288" t="str">
        <f>C20</f>
        <v>2020</v>
      </c>
      <c r="D21" s="623">
        <f>$D$20</f>
        <v>320.41709954188553</v>
      </c>
      <c r="E21" s="116">
        <f>$E$20</f>
        <v>288.95415264480692</v>
      </c>
      <c r="F21" s="116">
        <f>$F$20</f>
        <v>-84.485757445093</v>
      </c>
      <c r="G21" s="116">
        <f>$G$20</f>
        <v>0</v>
      </c>
      <c r="H21" s="184">
        <f>SUM(E21:G21)</f>
        <v>204.46839519971394</v>
      </c>
      <c r="I21" s="116">
        <f t="shared" ref="I21:I31" si="3">D21-H21</f>
        <v>115.9487043421716</v>
      </c>
      <c r="J21" s="289">
        <v>3.8999999999999998E-3</v>
      </c>
      <c r="K21" s="646">
        <f>M20+I21</f>
        <v>232.14090096346175</v>
      </c>
      <c r="L21" s="291">
        <f t="shared" ref="L21:L30" si="4">(M20+K21)/2*J21</f>
        <v>0.67924954029026618</v>
      </c>
      <c r="M21" s="291">
        <f t="shared" si="2"/>
        <v>232.82015050375202</v>
      </c>
      <c r="N21" s="36">
        <f t="shared" si="1"/>
        <v>11</v>
      </c>
      <c r="O21" s="132"/>
    </row>
    <row r="22" spans="1:17" x14ac:dyDescent="0.35">
      <c r="A22" s="36">
        <f t="shared" si="0"/>
        <v>12</v>
      </c>
      <c r="B22" s="96" t="s">
        <v>179</v>
      </c>
      <c r="C22" s="288" t="str">
        <f>C20</f>
        <v>2020</v>
      </c>
      <c r="D22" s="623">
        <f t="shared" ref="D22:D31" si="5">$D$20</f>
        <v>320.41709954188553</v>
      </c>
      <c r="E22" s="116">
        <f>$E$20</f>
        <v>288.95415264480692</v>
      </c>
      <c r="F22" s="116">
        <f t="shared" ref="F22:F31" si="6">$F$20</f>
        <v>-84.485757445093</v>
      </c>
      <c r="G22" s="116">
        <f t="shared" ref="G22:G24" si="7">$G$20</f>
        <v>0</v>
      </c>
      <c r="H22" s="184">
        <f t="shared" ref="H22:H30" si="8">SUM(E22:G22)</f>
        <v>204.46839519971394</v>
      </c>
      <c r="I22" s="116">
        <f t="shared" si="3"/>
        <v>115.9487043421716</v>
      </c>
      <c r="J22" s="289">
        <v>4.1999999999999997E-3</v>
      </c>
      <c r="K22" s="646">
        <f t="shared" ref="K22:K30" si="9">M21+I22</f>
        <v>348.76885484592361</v>
      </c>
      <c r="L22" s="291">
        <f>(M21+K22)/2*J22</f>
        <v>1.2213369112343186</v>
      </c>
      <c r="M22" s="291">
        <f t="shared" si="2"/>
        <v>349.99019175715796</v>
      </c>
      <c r="N22" s="36">
        <f t="shared" si="1"/>
        <v>12</v>
      </c>
      <c r="O22" s="132"/>
    </row>
    <row r="23" spans="1:17" x14ac:dyDescent="0.35">
      <c r="A23" s="36">
        <f t="shared" si="0"/>
        <v>13</v>
      </c>
      <c r="B23" s="96" t="s">
        <v>180</v>
      </c>
      <c r="C23" s="288" t="str">
        <f>C20</f>
        <v>2020</v>
      </c>
      <c r="D23" s="623">
        <f t="shared" si="5"/>
        <v>320.41709954188553</v>
      </c>
      <c r="E23" s="116">
        <f>$E$20</f>
        <v>288.95415264480692</v>
      </c>
      <c r="F23" s="116">
        <f t="shared" si="6"/>
        <v>-84.485757445093</v>
      </c>
      <c r="G23" s="116">
        <f t="shared" si="7"/>
        <v>0</v>
      </c>
      <c r="H23" s="184">
        <f t="shared" si="8"/>
        <v>204.46839519971394</v>
      </c>
      <c r="I23" s="116">
        <f>D23-H23</f>
        <v>115.9487043421716</v>
      </c>
      <c r="J23" s="289">
        <v>3.8999999999999998E-3</v>
      </c>
      <c r="K23" s="646">
        <f t="shared" si="9"/>
        <v>465.93889609932955</v>
      </c>
      <c r="L23" s="291">
        <f>(M22+K23)/2*J23</f>
        <v>1.5910617213201506</v>
      </c>
      <c r="M23" s="291">
        <f t="shared" si="2"/>
        <v>467.52995782064971</v>
      </c>
      <c r="N23" s="36">
        <f t="shared" si="1"/>
        <v>13</v>
      </c>
      <c r="O23" s="132"/>
      <c r="Q23" s="292"/>
    </row>
    <row r="24" spans="1:17" x14ac:dyDescent="0.35">
      <c r="A24" s="36">
        <f t="shared" si="0"/>
        <v>14</v>
      </c>
      <c r="B24" s="96" t="s">
        <v>181</v>
      </c>
      <c r="C24" s="288" t="str">
        <f>C20</f>
        <v>2020</v>
      </c>
      <c r="D24" s="623">
        <f t="shared" si="5"/>
        <v>320.41709954188553</v>
      </c>
      <c r="E24" s="116">
        <f>$E$20</f>
        <v>288.95415264480692</v>
      </c>
      <c r="F24" s="116">
        <f t="shared" si="6"/>
        <v>-84.485757445093</v>
      </c>
      <c r="G24" s="116">
        <f t="shared" si="7"/>
        <v>0</v>
      </c>
      <c r="H24" s="184">
        <f t="shared" si="8"/>
        <v>204.46839519971394</v>
      </c>
      <c r="I24" s="116">
        <f t="shared" si="3"/>
        <v>115.9487043421716</v>
      </c>
      <c r="J24" s="289">
        <v>4.0000000000000001E-3</v>
      </c>
      <c r="K24" s="646">
        <f t="shared" si="9"/>
        <v>583.47866216282137</v>
      </c>
      <c r="L24" s="291">
        <f t="shared" si="4"/>
        <v>2.1020172399669423</v>
      </c>
      <c r="M24" s="291">
        <f t="shared" si="2"/>
        <v>585.58067940278829</v>
      </c>
      <c r="N24" s="36">
        <f t="shared" si="1"/>
        <v>14</v>
      </c>
      <c r="O24" s="132"/>
    </row>
    <row r="25" spans="1:17" x14ac:dyDescent="0.35">
      <c r="A25" s="36">
        <f t="shared" si="0"/>
        <v>15</v>
      </c>
      <c r="B25" s="96" t="s">
        <v>182</v>
      </c>
      <c r="C25" s="288" t="str">
        <f>C20</f>
        <v>2020</v>
      </c>
      <c r="D25" s="623">
        <f t="shared" si="5"/>
        <v>320.41709954188553</v>
      </c>
      <c r="E25" s="116">
        <f t="shared" ref="E25:E31" si="10">$E$20</f>
        <v>288.95415264480692</v>
      </c>
      <c r="F25" s="116">
        <f t="shared" si="6"/>
        <v>-84.485757445093</v>
      </c>
      <c r="G25" s="116">
        <v>0</v>
      </c>
      <c r="H25" s="184">
        <f>SUM(E25:G25)</f>
        <v>204.46839519971394</v>
      </c>
      <c r="I25" s="116">
        <f t="shared" si="3"/>
        <v>115.9487043421716</v>
      </c>
      <c r="J25" s="289">
        <v>3.8999999999999998E-3</v>
      </c>
      <c r="K25" s="646">
        <f t="shared" si="9"/>
        <v>701.52938374495989</v>
      </c>
      <c r="L25" s="291">
        <f>(M24+K25)/2*J25</f>
        <v>2.509864623138109</v>
      </c>
      <c r="M25" s="291">
        <f t="shared" si="2"/>
        <v>704.03924836809801</v>
      </c>
      <c r="N25" s="36">
        <f t="shared" si="1"/>
        <v>15</v>
      </c>
      <c r="O25" s="132"/>
    </row>
    <row r="26" spans="1:17" x14ac:dyDescent="0.35">
      <c r="A26" s="36">
        <f t="shared" si="0"/>
        <v>16</v>
      </c>
      <c r="B26" s="96" t="s">
        <v>183</v>
      </c>
      <c r="C26" s="288" t="str">
        <f>C20</f>
        <v>2020</v>
      </c>
      <c r="D26" s="623">
        <f t="shared" si="5"/>
        <v>320.41709954188553</v>
      </c>
      <c r="E26" s="116">
        <f t="shared" si="10"/>
        <v>288.95415264480692</v>
      </c>
      <c r="F26" s="116">
        <f t="shared" si="6"/>
        <v>-84.485757445093</v>
      </c>
      <c r="G26" s="116">
        <f t="shared" ref="G26:G31" si="11">$G$25</f>
        <v>0</v>
      </c>
      <c r="H26" s="184">
        <f t="shared" si="8"/>
        <v>204.46839519971394</v>
      </c>
      <c r="I26" s="116">
        <f t="shared" si="3"/>
        <v>115.9487043421716</v>
      </c>
      <c r="J26" s="289">
        <v>2.8999999999999998E-3</v>
      </c>
      <c r="K26" s="646">
        <f t="shared" si="9"/>
        <v>819.98795271026961</v>
      </c>
      <c r="L26" s="291">
        <f t="shared" si="4"/>
        <v>2.2098394415636329</v>
      </c>
      <c r="M26" s="291">
        <f t="shared" si="2"/>
        <v>822.19779215183326</v>
      </c>
      <c r="N26" s="36">
        <f t="shared" si="1"/>
        <v>16</v>
      </c>
      <c r="O26" s="132"/>
    </row>
    <row r="27" spans="1:17" x14ac:dyDescent="0.35">
      <c r="A27" s="36">
        <f t="shared" si="0"/>
        <v>17</v>
      </c>
      <c r="B27" s="96" t="s">
        <v>184</v>
      </c>
      <c r="C27" s="288" t="str">
        <f>C20</f>
        <v>2020</v>
      </c>
      <c r="D27" s="623">
        <f t="shared" si="5"/>
        <v>320.41709954188553</v>
      </c>
      <c r="E27" s="116">
        <f t="shared" si="10"/>
        <v>288.95415264480692</v>
      </c>
      <c r="F27" s="116">
        <f t="shared" si="6"/>
        <v>-84.485757445093</v>
      </c>
      <c r="G27" s="116">
        <f t="shared" si="11"/>
        <v>0</v>
      </c>
      <c r="H27" s="184">
        <f t="shared" si="8"/>
        <v>204.46839519971394</v>
      </c>
      <c r="I27" s="116">
        <f t="shared" si="3"/>
        <v>115.9487043421716</v>
      </c>
      <c r="J27" s="289">
        <v>2.8999999999999998E-3</v>
      </c>
      <c r="K27" s="646">
        <f t="shared" si="9"/>
        <v>938.14649649400485</v>
      </c>
      <c r="L27" s="291">
        <f t="shared" si="4"/>
        <v>2.552499218536465</v>
      </c>
      <c r="M27" s="291">
        <f t="shared" si="2"/>
        <v>940.69899571254132</v>
      </c>
      <c r="N27" s="36">
        <f t="shared" si="1"/>
        <v>17</v>
      </c>
      <c r="O27" s="132"/>
    </row>
    <row r="28" spans="1:17" x14ac:dyDescent="0.35">
      <c r="A28" s="36">
        <f t="shared" si="0"/>
        <v>18</v>
      </c>
      <c r="B28" s="96" t="s">
        <v>185</v>
      </c>
      <c r="C28" s="288" t="str">
        <f>C20</f>
        <v>2020</v>
      </c>
      <c r="D28" s="623">
        <f t="shared" si="5"/>
        <v>320.41709954188553</v>
      </c>
      <c r="E28" s="116">
        <f t="shared" si="10"/>
        <v>288.95415264480692</v>
      </c>
      <c r="F28" s="116">
        <f t="shared" si="6"/>
        <v>-84.485757445093</v>
      </c>
      <c r="G28" s="116">
        <f t="shared" si="11"/>
        <v>0</v>
      </c>
      <c r="H28" s="184">
        <f t="shared" si="8"/>
        <v>204.46839519971394</v>
      </c>
      <c r="I28" s="116">
        <f t="shared" si="3"/>
        <v>115.9487043421716</v>
      </c>
      <c r="J28" s="289">
        <v>2.8E-3</v>
      </c>
      <c r="K28" s="646">
        <f t="shared" si="9"/>
        <v>1056.6477000547129</v>
      </c>
      <c r="L28" s="291">
        <f t="shared" si="4"/>
        <v>2.7962853740741558</v>
      </c>
      <c r="M28" s="291">
        <f t="shared" si="2"/>
        <v>1059.4439854287871</v>
      </c>
      <c r="N28" s="36">
        <f t="shared" si="1"/>
        <v>18</v>
      </c>
      <c r="O28" s="132"/>
    </row>
    <row r="29" spans="1:17" x14ac:dyDescent="0.35">
      <c r="A29" s="36">
        <f t="shared" si="0"/>
        <v>19</v>
      </c>
      <c r="B29" s="96" t="s">
        <v>186</v>
      </c>
      <c r="C29" s="288" t="str">
        <f>C20</f>
        <v>2020</v>
      </c>
      <c r="D29" s="623">
        <f t="shared" si="5"/>
        <v>320.41709954188553</v>
      </c>
      <c r="E29" s="116">
        <f t="shared" si="10"/>
        <v>288.95415264480692</v>
      </c>
      <c r="F29" s="116">
        <f t="shared" si="6"/>
        <v>-84.485757445093</v>
      </c>
      <c r="G29" s="116">
        <f t="shared" si="11"/>
        <v>0</v>
      </c>
      <c r="H29" s="184">
        <f t="shared" si="8"/>
        <v>204.46839519971394</v>
      </c>
      <c r="I29" s="116">
        <f t="shared" si="3"/>
        <v>115.9487043421716</v>
      </c>
      <c r="J29" s="289">
        <v>2.8E-3</v>
      </c>
      <c r="K29" s="646">
        <f t="shared" si="9"/>
        <v>1175.3926897709587</v>
      </c>
      <c r="L29" s="291">
        <f t="shared" si="4"/>
        <v>3.1287713452796435</v>
      </c>
      <c r="M29" s="291">
        <f t="shared" si="2"/>
        <v>1178.5214611162382</v>
      </c>
      <c r="N29" s="36">
        <f t="shared" si="1"/>
        <v>19</v>
      </c>
      <c r="O29" s="132"/>
    </row>
    <row r="30" spans="1:17" x14ac:dyDescent="0.35">
      <c r="A30" s="36">
        <f t="shared" si="0"/>
        <v>20</v>
      </c>
      <c r="B30" s="96" t="s">
        <v>187</v>
      </c>
      <c r="C30" s="288" t="str">
        <f>C20</f>
        <v>2020</v>
      </c>
      <c r="D30" s="623">
        <f t="shared" si="5"/>
        <v>320.41709954188553</v>
      </c>
      <c r="E30" s="116">
        <f t="shared" si="10"/>
        <v>288.95415264480692</v>
      </c>
      <c r="F30" s="116">
        <f t="shared" si="6"/>
        <v>-84.485757445093</v>
      </c>
      <c r="G30" s="116">
        <f t="shared" si="11"/>
        <v>0</v>
      </c>
      <c r="H30" s="184">
        <f t="shared" si="8"/>
        <v>204.46839519971394</v>
      </c>
      <c r="I30" s="116">
        <f t="shared" si="3"/>
        <v>115.9487043421716</v>
      </c>
      <c r="J30" s="289">
        <v>2.7000000000000001E-3</v>
      </c>
      <c r="K30" s="646">
        <f t="shared" si="9"/>
        <v>1294.4701654584098</v>
      </c>
      <c r="L30" s="291">
        <f t="shared" si="4"/>
        <v>3.3385386958757746</v>
      </c>
      <c r="M30" s="291">
        <f t="shared" si="2"/>
        <v>1297.8087041542856</v>
      </c>
      <c r="N30" s="36">
        <f t="shared" si="1"/>
        <v>20</v>
      </c>
      <c r="O30" s="132"/>
    </row>
    <row r="31" spans="1:17" x14ac:dyDescent="0.35">
      <c r="A31" s="36">
        <f t="shared" si="0"/>
        <v>21</v>
      </c>
      <c r="B31" s="295" t="s">
        <v>188</v>
      </c>
      <c r="C31" s="296" t="str">
        <f>C20</f>
        <v>2020</v>
      </c>
      <c r="D31" s="298">
        <f t="shared" si="5"/>
        <v>320.41709954188553</v>
      </c>
      <c r="E31" s="116">
        <f t="shared" si="10"/>
        <v>288.95415264480692</v>
      </c>
      <c r="F31" s="116">
        <f t="shared" si="6"/>
        <v>-84.485757445093</v>
      </c>
      <c r="G31" s="116">
        <f t="shared" si="11"/>
        <v>0</v>
      </c>
      <c r="H31" s="298">
        <f>SUM(E31:G31)</f>
        <v>204.46839519971394</v>
      </c>
      <c r="I31" s="297">
        <f t="shared" si="3"/>
        <v>115.9487043421716</v>
      </c>
      <c r="J31" s="299">
        <v>2.8E-3</v>
      </c>
      <c r="K31" s="647">
        <f>M30+I31</f>
        <v>1413.7574084964572</v>
      </c>
      <c r="L31" s="300">
        <f>(M30+K31)/2*J31</f>
        <v>3.79619255771104</v>
      </c>
      <c r="M31" s="298">
        <f>K31+L31</f>
        <v>1417.5536010541682</v>
      </c>
      <c r="N31" s="36">
        <f t="shared" si="1"/>
        <v>21</v>
      </c>
      <c r="O31" s="132"/>
    </row>
    <row r="32" spans="1:17" ht="16" thickBot="1" x14ac:dyDescent="0.4">
      <c r="A32" s="36">
        <f t="shared" si="0"/>
        <v>22</v>
      </c>
      <c r="D32" s="302">
        <f t="shared" ref="D32:I32" si="12">SUM(D20:D31)</f>
        <v>3845.0051945026257</v>
      </c>
      <c r="E32" s="302">
        <f>SUM(E20:E31)</f>
        <v>3467.4498317376833</v>
      </c>
      <c r="F32" s="302">
        <f t="shared" si="12"/>
        <v>-1013.8290893411159</v>
      </c>
      <c r="G32" s="302">
        <f t="shared" si="12"/>
        <v>0</v>
      </c>
      <c r="H32" s="302">
        <f t="shared" si="12"/>
        <v>2453.6207423965675</v>
      </c>
      <c r="I32" s="302">
        <f t="shared" si="12"/>
        <v>1391.3844521060591</v>
      </c>
      <c r="J32" s="666"/>
      <c r="K32" s="303"/>
      <c r="L32" s="302">
        <f>SUM(L20:L31)</f>
        <v>26.169148948109058</v>
      </c>
      <c r="M32" s="303"/>
      <c r="N32" s="36">
        <f t="shared" si="1"/>
        <v>22</v>
      </c>
    </row>
    <row r="33" spans="1:13" ht="16" thickTop="1" x14ac:dyDescent="0.35">
      <c r="D33" s="304"/>
      <c r="E33" s="304"/>
      <c r="F33" s="304"/>
      <c r="G33" s="304"/>
      <c r="H33" s="304"/>
      <c r="I33" s="304"/>
      <c r="J33" s="304"/>
      <c r="K33" s="304"/>
      <c r="L33" s="304"/>
      <c r="M33" s="304"/>
    </row>
    <row r="34" spans="1:13" x14ac:dyDescent="0.35">
      <c r="B34" s="648"/>
      <c r="F34" s="305"/>
      <c r="G34" s="305"/>
    </row>
    <row r="35" spans="1:13" ht="18" x14ac:dyDescent="0.35">
      <c r="A35" s="306">
        <v>1</v>
      </c>
      <c r="B35" s="37" t="s">
        <v>189</v>
      </c>
      <c r="F35" s="305"/>
      <c r="G35" s="305"/>
    </row>
    <row r="36" spans="1:13" ht="18" x14ac:dyDescent="0.35">
      <c r="A36" s="306">
        <v>2</v>
      </c>
      <c r="B36" s="37" t="s">
        <v>190</v>
      </c>
    </row>
    <row r="37" spans="1:13" ht="18" x14ac:dyDescent="0.35">
      <c r="A37" s="306">
        <v>3</v>
      </c>
      <c r="B37" s="37" t="s">
        <v>191</v>
      </c>
    </row>
    <row r="38" spans="1:13" ht="18" x14ac:dyDescent="0.35">
      <c r="A38" s="306">
        <v>4</v>
      </c>
      <c r="B38" s="37" t="s">
        <v>192</v>
      </c>
    </row>
    <row r="39" spans="1:13" ht="18" x14ac:dyDescent="0.35">
      <c r="A39" s="306"/>
      <c r="B39" s="37" t="s">
        <v>193</v>
      </c>
    </row>
    <row r="40" spans="1:13" ht="18" x14ac:dyDescent="0.35">
      <c r="A40" s="306">
        <v>5</v>
      </c>
      <c r="B40" s="37" t="s">
        <v>194</v>
      </c>
      <c r="C40" s="601"/>
    </row>
    <row r="41" spans="1:13" ht="18" x14ac:dyDescent="0.35">
      <c r="A41" s="306">
        <v>6</v>
      </c>
      <c r="B41" s="37" t="s">
        <v>195</v>
      </c>
    </row>
    <row r="42" spans="1:13" ht="18" x14ac:dyDescent="0.35">
      <c r="A42" s="306">
        <v>7</v>
      </c>
      <c r="B42" s="37" t="s">
        <v>196</v>
      </c>
    </row>
  </sheetData>
  <mergeCells count="5">
    <mergeCell ref="B3:N3"/>
    <mergeCell ref="B4:N4"/>
    <mergeCell ref="B5:N5"/>
    <mergeCell ref="B6:N6"/>
    <mergeCell ref="B7:M7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Roman,Bold"&amp;8AS FILED</oddHeader>
    <oddFooter>&amp;CPage 8.1&amp;R&amp;F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F637-1FB5-4D8F-B6A7-10AB256F3396}">
  <sheetPr>
    <pageSetUpPr fitToPage="1"/>
  </sheetPr>
  <dimension ref="A1:N32"/>
  <sheetViews>
    <sheetView zoomScale="80" zoomScaleNormal="80" workbookViewId="0"/>
  </sheetViews>
  <sheetFormatPr defaultColWidth="9.1796875" defaultRowHeight="15.5" x14ac:dyDescent="0.35"/>
  <cols>
    <col min="1" max="1" width="5.1796875" style="36" customWidth="1"/>
    <col min="2" max="2" width="56" style="37" customWidth="1"/>
    <col min="3" max="3" width="21.81640625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16.81640625" style="37" customWidth="1"/>
    <col min="8" max="8" width="1.54296875" style="37" customWidth="1"/>
    <col min="9" max="9" width="17.81640625" style="37" bestFit="1" customWidth="1"/>
    <col min="10" max="10" width="1.54296875" style="37" customWidth="1"/>
    <col min="11" max="11" width="39.453125" style="37" bestFit="1" customWidth="1"/>
    <col min="12" max="12" width="5.1796875" style="37" customWidth="1"/>
    <col min="13" max="13" width="9.1796875" style="37"/>
    <col min="14" max="14" width="20.453125" style="37" bestFit="1" customWidth="1"/>
    <col min="15" max="16384" width="9.1796875" style="37"/>
  </cols>
  <sheetData>
    <row r="1" spans="1:14" x14ac:dyDescent="0.35">
      <c r="H1" s="36"/>
      <c r="I1" s="36"/>
      <c r="J1" s="36"/>
      <c r="K1" s="36"/>
      <c r="L1" s="36"/>
    </row>
    <row r="2" spans="1:14" x14ac:dyDescent="0.35">
      <c r="B2" s="863" t="s">
        <v>20</v>
      </c>
      <c r="C2" s="863"/>
      <c r="D2" s="863"/>
      <c r="E2" s="863"/>
      <c r="F2" s="863"/>
      <c r="G2" s="863"/>
      <c r="H2" s="863"/>
      <c r="I2" s="863"/>
      <c r="J2" s="863"/>
      <c r="K2" s="863"/>
      <c r="L2" s="36"/>
    </row>
    <row r="3" spans="1:14" ht="18" x14ac:dyDescent="0.35">
      <c r="B3" s="863" t="s">
        <v>592</v>
      </c>
      <c r="C3" s="863"/>
      <c r="D3" s="863"/>
      <c r="E3" s="863"/>
      <c r="F3" s="863"/>
      <c r="G3" s="863"/>
      <c r="H3" s="863"/>
      <c r="I3" s="863"/>
      <c r="J3" s="863"/>
      <c r="K3" s="863"/>
      <c r="L3" s="36"/>
    </row>
    <row r="4" spans="1:14" x14ac:dyDescent="0.35">
      <c r="B4" s="863" t="s">
        <v>593</v>
      </c>
      <c r="C4" s="863"/>
      <c r="D4" s="863"/>
      <c r="E4" s="863"/>
      <c r="F4" s="863"/>
      <c r="G4" s="863"/>
      <c r="H4" s="863"/>
      <c r="I4" s="863"/>
      <c r="J4" s="863"/>
      <c r="K4" s="863"/>
      <c r="L4" s="36"/>
    </row>
    <row r="5" spans="1:14" x14ac:dyDescent="0.35">
      <c r="B5" s="866" t="s">
        <v>73</v>
      </c>
      <c r="C5" s="866"/>
      <c r="D5" s="866"/>
      <c r="E5" s="866"/>
      <c r="F5" s="866"/>
      <c r="G5" s="866"/>
      <c r="H5" s="866"/>
      <c r="I5" s="866"/>
      <c r="J5" s="866"/>
      <c r="K5" s="866"/>
      <c r="L5" s="36"/>
    </row>
    <row r="6" spans="1:14" x14ac:dyDescent="0.35">
      <c r="B6" s="865" t="s">
        <v>4</v>
      </c>
      <c r="C6" s="867"/>
      <c r="D6" s="867"/>
      <c r="E6" s="867"/>
      <c r="F6" s="867"/>
      <c r="G6" s="867"/>
      <c r="H6" s="867"/>
      <c r="I6" s="867"/>
      <c r="J6" s="867"/>
      <c r="K6" s="867"/>
      <c r="L6" s="36"/>
    </row>
    <row r="7" spans="1:14" x14ac:dyDescent="0.3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x14ac:dyDescent="0.35">
      <c r="A8" s="36" t="s">
        <v>5</v>
      </c>
      <c r="B8" s="745"/>
      <c r="C8" s="36" t="s">
        <v>199</v>
      </c>
      <c r="D8" s="745"/>
      <c r="E8" s="68" t="s">
        <v>293</v>
      </c>
      <c r="F8" s="36"/>
      <c r="G8" s="68" t="s">
        <v>294</v>
      </c>
      <c r="H8" s="36"/>
      <c r="I8" s="68" t="s">
        <v>594</v>
      </c>
      <c r="J8" s="36"/>
      <c r="K8" s="36"/>
      <c r="L8" s="36" t="s">
        <v>5</v>
      </c>
    </row>
    <row r="9" spans="1:14" x14ac:dyDescent="0.35">
      <c r="A9" s="36" t="s">
        <v>6</v>
      </c>
      <c r="C9" s="701" t="s">
        <v>200</v>
      </c>
      <c r="E9" s="702" t="s">
        <v>651</v>
      </c>
      <c r="F9" s="748"/>
      <c r="G9" s="702" t="s">
        <v>652</v>
      </c>
      <c r="H9" s="745"/>
      <c r="I9" s="703" t="s">
        <v>379</v>
      </c>
      <c r="J9" s="745"/>
      <c r="K9" s="701" t="s">
        <v>9</v>
      </c>
      <c r="L9" s="36" t="s">
        <v>6</v>
      </c>
    </row>
    <row r="10" spans="1:14" x14ac:dyDescent="0.35">
      <c r="H10" s="36"/>
      <c r="I10" s="36"/>
      <c r="J10" s="36"/>
      <c r="K10" s="36"/>
      <c r="L10" s="36"/>
    </row>
    <row r="11" spans="1:14" x14ac:dyDescent="0.35">
      <c r="A11" s="36">
        <v>1</v>
      </c>
      <c r="B11" s="37" t="s">
        <v>595</v>
      </c>
      <c r="E11" s="704">
        <f>'Pg9.2A As Filed AF-1'!I17+'Pg9.2A As Filed AF-1'!I33</f>
        <v>240981.98834637715</v>
      </c>
      <c r="F11" s="705"/>
      <c r="G11" s="704">
        <f>'Pg9.3A As Filed AF-2'!I17+'Pg9.3A As Filed AF-2'!I33</f>
        <v>174721.12022644861</v>
      </c>
      <c r="H11" s="36"/>
      <c r="I11" s="705">
        <f>(E11+G11)/2</f>
        <v>207851.55428641289</v>
      </c>
      <c r="J11" s="36"/>
      <c r="K11" s="36" t="s">
        <v>653</v>
      </c>
      <c r="L11" s="36">
        <f>A11</f>
        <v>1</v>
      </c>
    </row>
    <row r="12" spans="1:14" x14ac:dyDescent="0.35">
      <c r="A12" s="36">
        <f>A11+1</f>
        <v>2</v>
      </c>
      <c r="H12" s="36"/>
      <c r="I12" s="36"/>
      <c r="J12" s="36"/>
      <c r="K12" s="36"/>
      <c r="L12" s="36">
        <f>L11+1</f>
        <v>2</v>
      </c>
    </row>
    <row r="13" spans="1:14" s="708" customFormat="1" x14ac:dyDescent="0.35">
      <c r="A13" s="36">
        <f t="shared" ref="A13:A23" si="0">A12+1</f>
        <v>3</v>
      </c>
      <c r="B13" s="37" t="s">
        <v>596</v>
      </c>
      <c r="C13" s="37"/>
      <c r="D13" s="37"/>
      <c r="E13" s="752">
        <f>'Pg9.2 Rev AF-1'!I21+'Pg9.2 Rev AF-1'!I37</f>
        <v>-1141193.6742716182</v>
      </c>
      <c r="F13" s="25" t="s">
        <v>34</v>
      </c>
      <c r="G13" s="752">
        <f>'Pg9.3 Rev AF-2'!I21+'Pg9.3 Rev AF-2'!I37</f>
        <v>-1150381.5894415299</v>
      </c>
      <c r="H13" s="25" t="s">
        <v>34</v>
      </c>
      <c r="I13" s="753">
        <f>(E13+G13)/2</f>
        <v>-1145787.6318565742</v>
      </c>
      <c r="J13" s="25" t="s">
        <v>34</v>
      </c>
      <c r="K13" s="36" t="s">
        <v>654</v>
      </c>
      <c r="L13" s="36">
        <f t="shared" ref="L13:L23" si="1">L12+1</f>
        <v>3</v>
      </c>
      <c r="M13" s="37"/>
    </row>
    <row r="14" spans="1:14" s="708" customFormat="1" x14ac:dyDescent="0.35">
      <c r="A14" s="36">
        <f t="shared" si="0"/>
        <v>4</v>
      </c>
      <c r="B14" s="37"/>
      <c r="C14" s="37"/>
      <c r="D14" s="37"/>
      <c r="E14" s="37"/>
      <c r="F14" s="37"/>
      <c r="G14" s="37"/>
      <c r="H14" s="36"/>
      <c r="I14" s="36"/>
      <c r="J14" s="36"/>
      <c r="K14" s="8"/>
      <c r="L14" s="36">
        <f t="shared" si="1"/>
        <v>4</v>
      </c>
    </row>
    <row r="15" spans="1:14" s="708" customFormat="1" x14ac:dyDescent="0.35">
      <c r="A15" s="36">
        <f t="shared" si="0"/>
        <v>5</v>
      </c>
      <c r="B15" s="37" t="s">
        <v>597</v>
      </c>
      <c r="C15" s="37"/>
      <c r="D15" s="37"/>
      <c r="E15" s="709">
        <f>'Pg9.2A As Filed AF-1'!I27+'Pg9.2A As Filed AF-1'!I43</f>
        <v>-5987.5143200000075</v>
      </c>
      <c r="F15" s="37"/>
      <c r="G15" s="709">
        <f>'Pg9.3A As Filed AF-2'!I27+'Pg9.3A As Filed AF-2'!I43</f>
        <v>-7906.4293200000075</v>
      </c>
      <c r="H15" s="36"/>
      <c r="I15" s="710">
        <f>(E15+G15)/2</f>
        <v>-6946.9718200000079</v>
      </c>
      <c r="J15" s="36"/>
      <c r="K15" s="36" t="s">
        <v>655</v>
      </c>
      <c r="L15" s="36">
        <f t="shared" si="1"/>
        <v>5</v>
      </c>
      <c r="M15" s="37"/>
      <c r="N15" s="37"/>
    </row>
    <row r="16" spans="1:14" x14ac:dyDescent="0.35">
      <c r="A16" s="36">
        <f t="shared" si="0"/>
        <v>6</v>
      </c>
      <c r="B16" s="18"/>
      <c r="E16" s="705"/>
      <c r="F16" s="705"/>
      <c r="G16" s="705"/>
      <c r="I16" s="705"/>
      <c r="J16" s="36"/>
      <c r="K16" s="8"/>
      <c r="L16" s="36">
        <f t="shared" si="1"/>
        <v>6</v>
      </c>
    </row>
    <row r="17" spans="1:12" ht="19" thickBot="1" x14ac:dyDescent="0.4">
      <c r="A17" s="36">
        <f t="shared" si="0"/>
        <v>7</v>
      </c>
      <c r="B17" s="18" t="s">
        <v>598</v>
      </c>
      <c r="C17" s="36"/>
      <c r="E17" s="568">
        <f>SUM(E11:E15)</f>
        <v>-906199.20024524105</v>
      </c>
      <c r="F17" s="25" t="s">
        <v>34</v>
      </c>
      <c r="G17" s="568">
        <f>SUM(G11:G15)</f>
        <v>-983566.8985350813</v>
      </c>
      <c r="H17" s="25" t="s">
        <v>34</v>
      </c>
      <c r="I17" s="568">
        <f>SUM(I11:I15)</f>
        <v>-944883.04939016129</v>
      </c>
      <c r="J17" s="25" t="s">
        <v>34</v>
      </c>
      <c r="K17" s="713" t="str">
        <f>"Sum Lines "&amp;A11&amp;" thru "&amp;A15</f>
        <v>Sum Lines 1 thru 5</v>
      </c>
      <c r="L17" s="36">
        <f t="shared" si="1"/>
        <v>7</v>
      </c>
    </row>
    <row r="18" spans="1:12" ht="16" thickTop="1" x14ac:dyDescent="0.35">
      <c r="A18" s="36">
        <f t="shared" si="0"/>
        <v>8</v>
      </c>
      <c r="J18" s="36"/>
      <c r="K18" s="8"/>
      <c r="L18" s="36">
        <f t="shared" si="1"/>
        <v>8</v>
      </c>
    </row>
    <row r="19" spans="1:12" ht="16" thickBot="1" x14ac:dyDescent="0.4">
      <c r="A19" s="36">
        <f t="shared" si="0"/>
        <v>9</v>
      </c>
      <c r="B19" s="18" t="s">
        <v>599</v>
      </c>
      <c r="E19" s="714">
        <v>0</v>
      </c>
      <c r="G19" s="714">
        <v>0</v>
      </c>
      <c r="I19" s="715">
        <f>(E19+G19)/2</f>
        <v>0</v>
      </c>
      <c r="J19" s="36"/>
      <c r="K19" s="36" t="s">
        <v>270</v>
      </c>
      <c r="L19" s="36">
        <f t="shared" si="1"/>
        <v>9</v>
      </c>
    </row>
    <row r="20" spans="1:12" ht="16" thickTop="1" x14ac:dyDescent="0.35">
      <c r="A20" s="36">
        <f t="shared" si="0"/>
        <v>10</v>
      </c>
      <c r="B20" s="18"/>
      <c r="I20" s="747"/>
      <c r="J20" s="36"/>
      <c r="K20" s="8"/>
      <c r="L20" s="36">
        <f t="shared" si="1"/>
        <v>10</v>
      </c>
    </row>
    <row r="21" spans="1:12" ht="16" thickBot="1" x14ac:dyDescent="0.4">
      <c r="A21" s="36">
        <f t="shared" si="0"/>
        <v>11</v>
      </c>
      <c r="B21" s="18" t="s">
        <v>600</v>
      </c>
      <c r="E21" s="716">
        <v>0</v>
      </c>
      <c r="F21" s="717"/>
      <c r="G21" s="716">
        <v>0</v>
      </c>
      <c r="H21" s="718"/>
      <c r="I21" s="715">
        <f>(E21+G21)/2</f>
        <v>0</v>
      </c>
      <c r="K21" s="36" t="s">
        <v>656</v>
      </c>
      <c r="L21" s="36">
        <f t="shared" si="1"/>
        <v>11</v>
      </c>
    </row>
    <row r="22" spans="1:12" ht="16" thickTop="1" x14ac:dyDescent="0.35">
      <c r="A22" s="36">
        <f t="shared" si="0"/>
        <v>12</v>
      </c>
      <c r="B22" s="18"/>
      <c r="E22" s="34"/>
      <c r="F22" s="719"/>
      <c r="G22" s="34"/>
      <c r="H22" s="718"/>
      <c r="I22" s="747"/>
      <c r="K22" s="8"/>
      <c r="L22" s="36">
        <f t="shared" si="1"/>
        <v>12</v>
      </c>
    </row>
    <row r="23" spans="1:12" ht="16" thickBot="1" x14ac:dyDescent="0.4">
      <c r="A23" s="36">
        <f t="shared" si="0"/>
        <v>13</v>
      </c>
      <c r="B23" s="18" t="s">
        <v>601</v>
      </c>
      <c r="E23" s="714">
        <v>0</v>
      </c>
      <c r="F23" s="717"/>
      <c r="G23" s="714">
        <v>0</v>
      </c>
      <c r="H23" s="718"/>
      <c r="I23" s="715">
        <f>(E23+G23)/2</f>
        <v>0</v>
      </c>
      <c r="K23" s="36" t="s">
        <v>270</v>
      </c>
      <c r="L23" s="36">
        <f t="shared" si="1"/>
        <v>13</v>
      </c>
    </row>
    <row r="24" spans="1:12" ht="16" thickTop="1" x14ac:dyDescent="0.35">
      <c r="L24" s="36"/>
    </row>
    <row r="25" spans="1:12" x14ac:dyDescent="0.35">
      <c r="L25" s="36"/>
    </row>
    <row r="26" spans="1:12" x14ac:dyDescent="0.35">
      <c r="L26" s="36"/>
    </row>
    <row r="27" spans="1:12" x14ac:dyDescent="0.35">
      <c r="A27" s="25" t="s">
        <v>34</v>
      </c>
      <c r="B27" s="23" t="s">
        <v>710</v>
      </c>
    </row>
    <row r="28" spans="1:12" x14ac:dyDescent="0.35">
      <c r="A28" s="25"/>
      <c r="B28" s="747" t="s">
        <v>711</v>
      </c>
    </row>
    <row r="29" spans="1:12" ht="18" x14ac:dyDescent="0.35">
      <c r="A29" s="97">
        <v>1</v>
      </c>
      <c r="B29" s="18" t="s">
        <v>602</v>
      </c>
    </row>
    <row r="30" spans="1:12" ht="18" x14ac:dyDescent="0.35">
      <c r="A30" s="97">
        <v>2</v>
      </c>
      <c r="B30" s="37" t="s">
        <v>603</v>
      </c>
    </row>
    <row r="31" spans="1:12" x14ac:dyDescent="0.35">
      <c r="A31" s="37"/>
      <c r="B31" s="43" t="s">
        <v>604</v>
      </c>
    </row>
    <row r="32" spans="1:12" x14ac:dyDescent="0.35">
      <c r="B32" s="708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Roman,Bold"&amp;9REVISED</oddHeader>
    <oddFooter>&amp;CPage 9&amp;R&amp;F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15B7-62DE-4561-84CE-9432FF554FC8}">
  <sheetPr>
    <pageSetUpPr fitToPage="1"/>
  </sheetPr>
  <dimension ref="A1:N30"/>
  <sheetViews>
    <sheetView zoomScale="80" zoomScaleNormal="80" workbookViewId="0"/>
  </sheetViews>
  <sheetFormatPr defaultColWidth="9.1796875" defaultRowHeight="15.5" x14ac:dyDescent="0.35"/>
  <cols>
    <col min="1" max="1" width="5.1796875" style="36" customWidth="1"/>
    <col min="2" max="2" width="56" style="37" customWidth="1"/>
    <col min="3" max="3" width="24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16.81640625" style="37" customWidth="1"/>
    <col min="8" max="8" width="1.54296875" style="37" customWidth="1"/>
    <col min="9" max="9" width="17.81640625" style="37" bestFit="1" customWidth="1"/>
    <col min="10" max="10" width="1.54296875" style="37" customWidth="1"/>
    <col min="11" max="11" width="39.453125" style="37" bestFit="1" customWidth="1"/>
    <col min="12" max="12" width="5.1796875" style="37" customWidth="1"/>
    <col min="13" max="13" width="9.1796875" style="37"/>
    <col min="14" max="14" width="20.453125" style="37" bestFit="1" customWidth="1"/>
    <col min="15" max="16384" width="9.1796875" style="37"/>
  </cols>
  <sheetData>
    <row r="1" spans="1:14" x14ac:dyDescent="0.35">
      <c r="A1" s="720" t="s">
        <v>650</v>
      </c>
    </row>
    <row r="2" spans="1:14" x14ac:dyDescent="0.35">
      <c r="H2" s="36"/>
      <c r="I2" s="36"/>
      <c r="J2" s="36"/>
      <c r="K2" s="36"/>
      <c r="L2" s="36"/>
    </row>
    <row r="3" spans="1:14" x14ac:dyDescent="0.35">
      <c r="B3" s="863" t="s">
        <v>20</v>
      </c>
      <c r="C3" s="863"/>
      <c r="D3" s="863"/>
      <c r="E3" s="863"/>
      <c r="F3" s="863"/>
      <c r="G3" s="863"/>
      <c r="H3" s="863"/>
      <c r="I3" s="863"/>
      <c r="J3" s="863"/>
      <c r="K3" s="863"/>
      <c r="L3" s="36"/>
    </row>
    <row r="4" spans="1:14" ht="18" x14ac:dyDescent="0.35">
      <c r="B4" s="863" t="s">
        <v>592</v>
      </c>
      <c r="C4" s="863"/>
      <c r="D4" s="863"/>
      <c r="E4" s="863"/>
      <c r="F4" s="863"/>
      <c r="G4" s="863"/>
      <c r="H4" s="863"/>
      <c r="I4" s="863"/>
      <c r="J4" s="863"/>
      <c r="K4" s="863"/>
      <c r="L4" s="36"/>
    </row>
    <row r="5" spans="1:14" x14ac:dyDescent="0.35">
      <c r="B5" s="863" t="s">
        <v>593</v>
      </c>
      <c r="C5" s="863"/>
      <c r="D5" s="863"/>
      <c r="E5" s="863"/>
      <c r="F5" s="863"/>
      <c r="G5" s="863"/>
      <c r="H5" s="863"/>
      <c r="I5" s="863"/>
      <c r="J5" s="863"/>
      <c r="K5" s="863"/>
      <c r="L5" s="36"/>
    </row>
    <row r="6" spans="1:14" x14ac:dyDescent="0.35">
      <c r="B6" s="866" t="s">
        <v>73</v>
      </c>
      <c r="C6" s="866"/>
      <c r="D6" s="866"/>
      <c r="E6" s="866"/>
      <c r="F6" s="866"/>
      <c r="G6" s="866"/>
      <c r="H6" s="866"/>
      <c r="I6" s="866"/>
      <c r="J6" s="866"/>
      <c r="K6" s="866"/>
      <c r="L6" s="36"/>
    </row>
    <row r="7" spans="1:14" x14ac:dyDescent="0.35">
      <c r="B7" s="865" t="s">
        <v>4</v>
      </c>
      <c r="C7" s="867"/>
      <c r="D7" s="867"/>
      <c r="E7" s="867"/>
      <c r="F7" s="867"/>
      <c r="G7" s="867"/>
      <c r="H7" s="867"/>
      <c r="I7" s="867"/>
      <c r="J7" s="867"/>
      <c r="K7" s="867"/>
      <c r="L7" s="36"/>
    </row>
    <row r="8" spans="1:14" x14ac:dyDescent="0.3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4" x14ac:dyDescent="0.35">
      <c r="A9" s="36" t="s">
        <v>5</v>
      </c>
      <c r="B9" s="696"/>
      <c r="C9" s="36" t="s">
        <v>199</v>
      </c>
      <c r="D9" s="696"/>
      <c r="E9" s="68" t="s">
        <v>293</v>
      </c>
      <c r="F9" s="36"/>
      <c r="G9" s="68" t="s">
        <v>294</v>
      </c>
      <c r="H9" s="36"/>
      <c r="I9" s="68" t="s">
        <v>594</v>
      </c>
      <c r="J9" s="36"/>
      <c r="K9" s="36"/>
      <c r="L9" s="36" t="s">
        <v>5</v>
      </c>
    </row>
    <row r="10" spans="1:14" x14ac:dyDescent="0.35">
      <c r="A10" s="36" t="s">
        <v>6</v>
      </c>
      <c r="C10" s="701" t="s">
        <v>200</v>
      </c>
      <c r="E10" s="702" t="s">
        <v>651</v>
      </c>
      <c r="F10" s="699"/>
      <c r="G10" s="702" t="s">
        <v>652</v>
      </c>
      <c r="H10" s="696"/>
      <c r="I10" s="703" t="s">
        <v>379</v>
      </c>
      <c r="J10" s="696"/>
      <c r="K10" s="701" t="s">
        <v>9</v>
      </c>
      <c r="L10" s="36" t="s">
        <v>6</v>
      </c>
    </row>
    <row r="11" spans="1:14" x14ac:dyDescent="0.35">
      <c r="H11" s="36"/>
      <c r="I11" s="36"/>
      <c r="J11" s="36"/>
      <c r="K11" s="36"/>
      <c r="L11" s="36"/>
    </row>
    <row r="12" spans="1:14" x14ac:dyDescent="0.35">
      <c r="A12" s="36">
        <v>1</v>
      </c>
      <c r="B12" s="37" t="s">
        <v>595</v>
      </c>
      <c r="E12" s="704">
        <f>'Pg9.2A As Filed AF-1'!I17+'Pg9.2A As Filed AF-1'!I33</f>
        <v>240981.98834637715</v>
      </c>
      <c r="F12" s="705"/>
      <c r="G12" s="704">
        <f>'Pg9.3A As Filed AF-2'!I17+'Pg9.3A As Filed AF-2'!I33</f>
        <v>174721.12022644861</v>
      </c>
      <c r="H12" s="36"/>
      <c r="I12" s="705">
        <f>(E12+G12)/2</f>
        <v>207851.55428641289</v>
      </c>
      <c r="J12" s="36"/>
      <c r="K12" s="36" t="s">
        <v>653</v>
      </c>
      <c r="L12" s="36">
        <f>A12</f>
        <v>1</v>
      </c>
    </row>
    <row r="13" spans="1:14" x14ac:dyDescent="0.35">
      <c r="A13" s="36">
        <f>A12+1</f>
        <v>2</v>
      </c>
      <c r="H13" s="36"/>
      <c r="I13" s="36"/>
      <c r="J13" s="36"/>
      <c r="K13" s="36"/>
      <c r="L13" s="36">
        <f>L12+1</f>
        <v>2</v>
      </c>
    </row>
    <row r="14" spans="1:14" s="708" customFormat="1" x14ac:dyDescent="0.35">
      <c r="A14" s="36">
        <f t="shared" ref="A14:A24" si="0">A13+1</f>
        <v>3</v>
      </c>
      <c r="B14" s="37" t="s">
        <v>596</v>
      </c>
      <c r="C14" s="37"/>
      <c r="D14" s="37"/>
      <c r="E14" s="706">
        <f>'Pg9.2A As Filed AF-1'!I22+'Pg9.2A As Filed AF-1'!I38</f>
        <v>-1122159.9806063974</v>
      </c>
      <c r="F14" s="37"/>
      <c r="G14" s="706">
        <f>'Pg9.3A As Filed AF-2'!I22+'Pg9.3A As Filed AF-2'!I38</f>
        <v>-1129212.0019127731</v>
      </c>
      <c r="H14" s="36"/>
      <c r="I14" s="707">
        <f>(E14+G14)/2</f>
        <v>-1125685.9912595851</v>
      </c>
      <c r="J14" s="36"/>
      <c r="K14" s="36" t="s">
        <v>654</v>
      </c>
      <c r="L14" s="36">
        <f t="shared" ref="L14:L24" si="1">L13+1</f>
        <v>3</v>
      </c>
      <c r="M14" s="37"/>
    </row>
    <row r="15" spans="1:14" s="708" customFormat="1" x14ac:dyDescent="0.35">
      <c r="A15" s="36">
        <f t="shared" si="0"/>
        <v>4</v>
      </c>
      <c r="B15" s="37"/>
      <c r="C15" s="37"/>
      <c r="D15" s="37"/>
      <c r="E15" s="37"/>
      <c r="F15" s="37"/>
      <c r="G15" s="37"/>
      <c r="H15" s="36"/>
      <c r="I15" s="36"/>
      <c r="J15" s="36"/>
      <c r="K15" s="8"/>
      <c r="L15" s="36">
        <f t="shared" si="1"/>
        <v>4</v>
      </c>
    </row>
    <row r="16" spans="1:14" s="708" customFormat="1" x14ac:dyDescent="0.35">
      <c r="A16" s="36">
        <f t="shared" si="0"/>
        <v>5</v>
      </c>
      <c r="B16" s="37" t="s">
        <v>597</v>
      </c>
      <c r="C16" s="37"/>
      <c r="D16" s="37"/>
      <c r="E16" s="709">
        <f>'Pg9.2A As Filed AF-1'!I27+'Pg9.2A As Filed AF-1'!I43</f>
        <v>-5987.5143200000075</v>
      </c>
      <c r="F16" s="37"/>
      <c r="G16" s="709">
        <f>'Pg9.3A As Filed AF-2'!I27+'Pg9.3A As Filed AF-2'!I43</f>
        <v>-7906.4293200000075</v>
      </c>
      <c r="H16" s="36"/>
      <c r="I16" s="710">
        <f>(E16+G16)/2</f>
        <v>-6946.9718200000079</v>
      </c>
      <c r="J16" s="36"/>
      <c r="K16" s="36" t="s">
        <v>655</v>
      </c>
      <c r="L16" s="36">
        <f t="shared" si="1"/>
        <v>5</v>
      </c>
      <c r="M16" s="37"/>
      <c r="N16" s="37"/>
    </row>
    <row r="17" spans="1:12" x14ac:dyDescent="0.35">
      <c r="A17" s="36">
        <f t="shared" si="0"/>
        <v>6</v>
      </c>
      <c r="B17" s="18"/>
      <c r="E17" s="705"/>
      <c r="F17" s="705"/>
      <c r="G17" s="705"/>
      <c r="I17" s="705"/>
      <c r="J17" s="36"/>
      <c r="K17" s="8"/>
      <c r="L17" s="36">
        <f t="shared" si="1"/>
        <v>6</v>
      </c>
    </row>
    <row r="18" spans="1:12" ht="19" thickBot="1" x14ac:dyDescent="0.4">
      <c r="A18" s="36">
        <f t="shared" si="0"/>
        <v>7</v>
      </c>
      <c r="B18" s="18" t="s">
        <v>598</v>
      </c>
      <c r="C18" s="36"/>
      <c r="E18" s="711">
        <f>SUM(E12:E16)</f>
        <v>-887165.50658002018</v>
      </c>
      <c r="F18" s="712"/>
      <c r="G18" s="711">
        <f>SUM(G12:G16)</f>
        <v>-962397.31100632448</v>
      </c>
      <c r="H18" s="712"/>
      <c r="I18" s="711">
        <f>SUM(I12:I16)</f>
        <v>-924781.40879317222</v>
      </c>
      <c r="J18" s="36"/>
      <c r="K18" s="713" t="str">
        <f>"Sum Lines "&amp;A12&amp;" thru "&amp;A16</f>
        <v>Sum Lines 1 thru 5</v>
      </c>
      <c r="L18" s="36">
        <f t="shared" si="1"/>
        <v>7</v>
      </c>
    </row>
    <row r="19" spans="1:12" ht="16" thickTop="1" x14ac:dyDescent="0.35">
      <c r="A19" s="36">
        <f t="shared" si="0"/>
        <v>8</v>
      </c>
      <c r="J19" s="36"/>
      <c r="K19" s="8"/>
      <c r="L19" s="36">
        <f t="shared" si="1"/>
        <v>8</v>
      </c>
    </row>
    <row r="20" spans="1:12" ht="16" thickBot="1" x14ac:dyDescent="0.4">
      <c r="A20" s="36">
        <f t="shared" si="0"/>
        <v>9</v>
      </c>
      <c r="B20" s="18" t="s">
        <v>599</v>
      </c>
      <c r="E20" s="714">
        <v>0</v>
      </c>
      <c r="G20" s="714">
        <v>0</v>
      </c>
      <c r="I20" s="715">
        <f>(E20+G20)/2</f>
        <v>0</v>
      </c>
      <c r="J20" s="36"/>
      <c r="K20" s="36" t="s">
        <v>270</v>
      </c>
      <c r="L20" s="36">
        <f t="shared" si="1"/>
        <v>9</v>
      </c>
    </row>
    <row r="21" spans="1:12" ht="16" thickTop="1" x14ac:dyDescent="0.35">
      <c r="A21" s="36">
        <f t="shared" si="0"/>
        <v>10</v>
      </c>
      <c r="B21" s="18"/>
      <c r="I21" s="698"/>
      <c r="J21" s="36"/>
      <c r="K21" s="8"/>
      <c r="L21" s="36">
        <f t="shared" si="1"/>
        <v>10</v>
      </c>
    </row>
    <row r="22" spans="1:12" ht="16" thickBot="1" x14ac:dyDescent="0.4">
      <c r="A22" s="36">
        <f t="shared" si="0"/>
        <v>11</v>
      </c>
      <c r="B22" s="18" t="s">
        <v>600</v>
      </c>
      <c r="E22" s="716">
        <v>0</v>
      </c>
      <c r="F22" s="717"/>
      <c r="G22" s="716">
        <v>0</v>
      </c>
      <c r="H22" s="718"/>
      <c r="I22" s="715">
        <f>(E22+G22)/2</f>
        <v>0</v>
      </c>
      <c r="K22" s="36" t="s">
        <v>656</v>
      </c>
      <c r="L22" s="36">
        <f t="shared" si="1"/>
        <v>11</v>
      </c>
    </row>
    <row r="23" spans="1:12" ht="16" thickTop="1" x14ac:dyDescent="0.35">
      <c r="A23" s="36">
        <f t="shared" si="0"/>
        <v>12</v>
      </c>
      <c r="B23" s="18"/>
      <c r="E23" s="34"/>
      <c r="F23" s="719"/>
      <c r="G23" s="34"/>
      <c r="H23" s="718"/>
      <c r="I23" s="698"/>
      <c r="K23" s="8"/>
      <c r="L23" s="36">
        <f t="shared" si="1"/>
        <v>12</v>
      </c>
    </row>
    <row r="24" spans="1:12" ht="16" thickBot="1" x14ac:dyDescent="0.4">
      <c r="A24" s="36">
        <f t="shared" si="0"/>
        <v>13</v>
      </c>
      <c r="B24" s="18" t="s">
        <v>601</v>
      </c>
      <c r="E24" s="714">
        <v>0</v>
      </c>
      <c r="F24" s="717"/>
      <c r="G24" s="714">
        <v>0</v>
      </c>
      <c r="H24" s="718"/>
      <c r="I24" s="715">
        <f>(E24+G24)/2</f>
        <v>0</v>
      </c>
      <c r="K24" s="36" t="s">
        <v>270</v>
      </c>
      <c r="L24" s="36">
        <f t="shared" si="1"/>
        <v>13</v>
      </c>
    </row>
    <row r="25" spans="1:12" ht="16" thickTop="1" x14ac:dyDescent="0.35">
      <c r="L25" s="36"/>
    </row>
    <row r="27" spans="1:12" ht="18" x14ac:dyDescent="0.35">
      <c r="A27" s="97">
        <v>1</v>
      </c>
      <c r="B27" s="18" t="s">
        <v>602</v>
      </c>
    </row>
    <row r="28" spans="1:12" ht="18" x14ac:dyDescent="0.35">
      <c r="A28" s="97">
        <v>2</v>
      </c>
      <c r="B28" s="37" t="s">
        <v>603</v>
      </c>
    </row>
    <row r="29" spans="1:12" x14ac:dyDescent="0.35">
      <c r="A29" s="37"/>
      <c r="B29" s="43" t="s">
        <v>604</v>
      </c>
    </row>
    <row r="30" spans="1:12" x14ac:dyDescent="0.35">
      <c r="B30" s="708"/>
    </row>
  </sheetData>
  <mergeCells count="5">
    <mergeCell ref="B3:K3"/>
    <mergeCell ref="B4:K4"/>
    <mergeCell ref="B5:K5"/>
    <mergeCell ref="B6:K6"/>
    <mergeCell ref="B7:K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Roman,Bold"&amp;8AS FILED</oddHeader>
    <oddFooter>&amp;CPage 9.1&amp;R&amp;F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11DC-31D3-4CBA-A4F2-8C0B9C192865}">
  <sheetPr>
    <pageSetUpPr fitToPage="1"/>
  </sheetPr>
  <dimension ref="A2:L50"/>
  <sheetViews>
    <sheetView zoomScale="80" zoomScaleNormal="80" workbookViewId="0"/>
  </sheetViews>
  <sheetFormatPr defaultColWidth="8.81640625" defaultRowHeight="15.5" x14ac:dyDescent="0.35"/>
  <cols>
    <col min="1" max="1" width="5.81640625" style="36" customWidth="1"/>
    <col min="2" max="2" width="62.81640625" style="37" bestFit="1" customWidth="1"/>
    <col min="3" max="3" width="16.81640625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16.81640625" style="37" customWidth="1"/>
    <col min="8" max="8" width="1.54296875" style="37" customWidth="1"/>
    <col min="9" max="9" width="23.453125" style="37" bestFit="1" customWidth="1"/>
    <col min="10" max="10" width="2.1796875" style="37" bestFit="1" customWidth="1"/>
    <col min="11" max="11" width="62.54296875" style="37" customWidth="1"/>
    <col min="12" max="12" width="5.1796875" style="36" customWidth="1"/>
    <col min="13" max="16384" width="8.81640625" style="37"/>
  </cols>
  <sheetData>
    <row r="2" spans="1:12" x14ac:dyDescent="0.35">
      <c r="B2" s="863" t="s">
        <v>20</v>
      </c>
      <c r="C2" s="863"/>
      <c r="D2" s="863"/>
      <c r="E2" s="863"/>
      <c r="F2" s="863"/>
      <c r="G2" s="863"/>
      <c r="H2" s="863"/>
      <c r="I2" s="863"/>
      <c r="J2" s="863"/>
      <c r="K2" s="863"/>
    </row>
    <row r="3" spans="1:12" x14ac:dyDescent="0.35">
      <c r="B3" s="863" t="s">
        <v>605</v>
      </c>
      <c r="C3" s="863"/>
      <c r="D3" s="863"/>
      <c r="E3" s="863"/>
      <c r="F3" s="863"/>
      <c r="G3" s="863"/>
      <c r="H3" s="863"/>
      <c r="I3" s="863"/>
      <c r="J3" s="863"/>
      <c r="K3" s="863"/>
    </row>
    <row r="4" spans="1:12" x14ac:dyDescent="0.35">
      <c r="B4" s="863" t="s">
        <v>606</v>
      </c>
      <c r="C4" s="863"/>
      <c r="D4" s="863"/>
      <c r="E4" s="863"/>
      <c r="F4" s="863"/>
      <c r="G4" s="863"/>
      <c r="H4" s="863"/>
      <c r="I4" s="863"/>
      <c r="J4" s="863"/>
      <c r="K4" s="863"/>
    </row>
    <row r="5" spans="1:12" x14ac:dyDescent="0.35">
      <c r="B5" s="863" t="s">
        <v>657</v>
      </c>
      <c r="C5" s="863"/>
      <c r="D5" s="863"/>
      <c r="E5" s="863"/>
      <c r="F5" s="863"/>
      <c r="G5" s="863"/>
      <c r="H5" s="863"/>
      <c r="I5" s="863"/>
      <c r="J5" s="863"/>
      <c r="K5" s="863"/>
    </row>
    <row r="6" spans="1:12" ht="15.75" customHeight="1" x14ac:dyDescent="0.35">
      <c r="B6" s="865" t="s">
        <v>4</v>
      </c>
      <c r="C6" s="865"/>
      <c r="D6" s="865"/>
      <c r="E6" s="865"/>
      <c r="F6" s="865"/>
      <c r="G6" s="865"/>
      <c r="H6" s="865"/>
      <c r="I6" s="865"/>
      <c r="J6" s="865"/>
      <c r="K6" s="865"/>
    </row>
    <row r="8" spans="1:12" x14ac:dyDescent="0.35">
      <c r="B8" s="747"/>
      <c r="C8" s="746" t="s">
        <v>293</v>
      </c>
      <c r="D8" s="746"/>
      <c r="E8" s="746" t="s">
        <v>294</v>
      </c>
      <c r="F8" s="746"/>
      <c r="G8" s="746" t="s">
        <v>451</v>
      </c>
      <c r="H8" s="746"/>
      <c r="I8" s="746" t="s">
        <v>607</v>
      </c>
      <c r="J8" s="746"/>
      <c r="K8" s="746"/>
    </row>
    <row r="9" spans="1:12" x14ac:dyDescent="0.35">
      <c r="A9" s="36" t="s">
        <v>5</v>
      </c>
      <c r="B9" s="747"/>
      <c r="C9" s="746" t="s">
        <v>608</v>
      </c>
      <c r="D9" s="746"/>
      <c r="E9" s="746" t="s">
        <v>609</v>
      </c>
      <c r="F9" s="746"/>
      <c r="G9" s="746" t="s">
        <v>609</v>
      </c>
      <c r="H9" s="746"/>
      <c r="I9" s="746"/>
      <c r="J9" s="746"/>
      <c r="K9" s="746"/>
      <c r="L9" s="36" t="s">
        <v>5</v>
      </c>
    </row>
    <row r="10" spans="1:12" x14ac:dyDescent="0.35">
      <c r="A10" s="36" t="s">
        <v>6</v>
      </c>
      <c r="B10" s="721" t="s">
        <v>7</v>
      </c>
      <c r="C10" s="722" t="s">
        <v>610</v>
      </c>
      <c r="D10" s="722"/>
      <c r="E10" s="722" t="s">
        <v>611</v>
      </c>
      <c r="F10" s="722"/>
      <c r="G10" s="722" t="s">
        <v>612</v>
      </c>
      <c r="H10" s="722"/>
      <c r="I10" s="721" t="s">
        <v>299</v>
      </c>
      <c r="J10" s="721"/>
      <c r="K10" s="721" t="s">
        <v>9</v>
      </c>
      <c r="L10" s="36" t="s">
        <v>6</v>
      </c>
    </row>
    <row r="11" spans="1:12" x14ac:dyDescent="0.35">
      <c r="B11" s="747"/>
      <c r="C11" s="723"/>
      <c r="D11" s="723"/>
      <c r="E11" s="723"/>
      <c r="F11" s="723"/>
      <c r="G11" s="723"/>
      <c r="H11" s="723"/>
      <c r="I11" s="48"/>
      <c r="J11" s="48"/>
      <c r="K11" s="48"/>
    </row>
    <row r="12" spans="1:12" x14ac:dyDescent="0.35">
      <c r="A12" s="36">
        <v>1</v>
      </c>
      <c r="B12" s="43" t="s">
        <v>613</v>
      </c>
      <c r="C12" s="724"/>
      <c r="D12" s="724"/>
      <c r="E12" s="724"/>
      <c r="F12" s="724"/>
      <c r="G12" s="724"/>
      <c r="H12" s="724"/>
      <c r="I12" s="48"/>
      <c r="J12" s="48"/>
      <c r="K12" s="48"/>
      <c r="L12" s="36">
        <f>A12</f>
        <v>1</v>
      </c>
    </row>
    <row r="13" spans="1:12" x14ac:dyDescent="0.35">
      <c r="A13" s="36">
        <f>A12+1</f>
        <v>2</v>
      </c>
      <c r="B13" s="43" t="s">
        <v>614</v>
      </c>
      <c r="C13" s="60">
        <v>772.52322837828797</v>
      </c>
      <c r="D13" s="60"/>
      <c r="E13" s="60">
        <v>0</v>
      </c>
      <c r="F13" s="60"/>
      <c r="G13" s="60">
        <v>214.49058265600002</v>
      </c>
      <c r="H13" s="725"/>
      <c r="I13" s="705">
        <f>SUM(C13:G13)</f>
        <v>987.01381103428798</v>
      </c>
      <c r="J13" s="705"/>
      <c r="K13" s="645" t="s">
        <v>658</v>
      </c>
      <c r="L13" s="36">
        <f>L12+1</f>
        <v>2</v>
      </c>
    </row>
    <row r="14" spans="1:12" x14ac:dyDescent="0.35">
      <c r="A14" s="36">
        <f t="shared" ref="A14:A45" si="0">A13+1</f>
        <v>3</v>
      </c>
      <c r="B14" s="43" t="s">
        <v>615</v>
      </c>
      <c r="C14" s="116">
        <v>245.18064680224461</v>
      </c>
      <c r="D14" s="116"/>
      <c r="E14" s="116">
        <v>0</v>
      </c>
      <c r="F14" s="116"/>
      <c r="G14" s="116">
        <v>555.45000000000005</v>
      </c>
      <c r="H14" s="116"/>
      <c r="I14" s="35">
        <f>SUM(C14:G14)</f>
        <v>800.63064680224466</v>
      </c>
      <c r="J14" s="35"/>
      <c r="K14" s="645" t="s">
        <v>658</v>
      </c>
      <c r="L14" s="36">
        <f t="shared" ref="L14:L45" si="1">L13+1</f>
        <v>3</v>
      </c>
    </row>
    <row r="15" spans="1:12" x14ac:dyDescent="0.35">
      <c r="A15" s="36">
        <f t="shared" si="0"/>
        <v>4</v>
      </c>
      <c r="B15" s="43" t="s">
        <v>616</v>
      </c>
      <c r="C15" s="116">
        <v>119232.95199162784</v>
      </c>
      <c r="D15" s="116"/>
      <c r="E15" s="116">
        <v>108238.52431003426</v>
      </c>
      <c r="F15" s="116"/>
      <c r="G15" s="116">
        <v>0</v>
      </c>
      <c r="H15" s="116"/>
      <c r="I15" s="35">
        <f>SUM(C15:G15)</f>
        <v>227471.4763016621</v>
      </c>
      <c r="J15" s="35"/>
      <c r="K15" s="645" t="s">
        <v>658</v>
      </c>
      <c r="L15" s="36">
        <f t="shared" si="1"/>
        <v>4</v>
      </c>
    </row>
    <row r="16" spans="1:12" ht="16" thickBot="1" x14ac:dyDescent="0.4">
      <c r="A16" s="36">
        <f t="shared" si="0"/>
        <v>5</v>
      </c>
      <c r="B16" s="53" t="s">
        <v>617</v>
      </c>
      <c r="C16" s="62">
        <f>SUM(C13:C15)</f>
        <v>120250.65586680837</v>
      </c>
      <c r="D16" s="35"/>
      <c r="E16" s="62">
        <f>SUM(E13:E15)</f>
        <v>108238.52431003426</v>
      </c>
      <c r="F16" s="95"/>
      <c r="G16" s="62">
        <f>SUM(G13:G15)</f>
        <v>769.94058265600006</v>
      </c>
      <c r="H16" s="35"/>
      <c r="I16" s="62">
        <f>SUM(I13:I15)</f>
        <v>229259.12075949862</v>
      </c>
      <c r="J16" s="592"/>
      <c r="K16" s="579" t="str">
        <f>"Sum Lines "&amp;A13&amp;" thru "&amp;A15</f>
        <v>Sum Lines 2 thru 4</v>
      </c>
      <c r="L16" s="36">
        <f t="shared" si="1"/>
        <v>5</v>
      </c>
    </row>
    <row r="17" spans="1:12" ht="16" thickTop="1" x14ac:dyDescent="0.35">
      <c r="A17" s="36">
        <f t="shared" si="0"/>
        <v>6</v>
      </c>
      <c r="C17" s="727"/>
      <c r="D17" s="727"/>
      <c r="E17" s="727"/>
      <c r="F17" s="727"/>
      <c r="G17" s="727"/>
      <c r="H17" s="727"/>
      <c r="I17" s="727"/>
      <c r="J17" s="727"/>
      <c r="K17" s="727"/>
      <c r="L17" s="36">
        <f t="shared" si="1"/>
        <v>6</v>
      </c>
    </row>
    <row r="18" spans="1:12" x14ac:dyDescent="0.35">
      <c r="A18" s="36">
        <f t="shared" si="0"/>
        <v>7</v>
      </c>
      <c r="B18" s="43" t="s">
        <v>618</v>
      </c>
      <c r="C18" s="724"/>
      <c r="D18" s="724"/>
      <c r="E18" s="724"/>
      <c r="F18" s="724"/>
      <c r="G18" s="724"/>
      <c r="H18" s="724"/>
      <c r="I18" s="48"/>
      <c r="J18" s="48"/>
      <c r="K18" s="48"/>
      <c r="L18" s="36">
        <f t="shared" si="1"/>
        <v>7</v>
      </c>
    </row>
    <row r="19" spans="1:12" x14ac:dyDescent="0.35">
      <c r="A19" s="36">
        <f t="shared" si="0"/>
        <v>8</v>
      </c>
      <c r="B19" s="728" t="s">
        <v>619</v>
      </c>
      <c r="C19" s="751">
        <v>-733916.84893159161</v>
      </c>
      <c r="D19" s="25" t="s">
        <v>34</v>
      </c>
      <c r="E19" s="751">
        <v>-378242.87900000002</v>
      </c>
      <c r="F19" s="25" t="s">
        <v>34</v>
      </c>
      <c r="G19" s="705">
        <v>-8049.9021669952472</v>
      </c>
      <c r="H19" s="705"/>
      <c r="I19" s="751">
        <f>SUM(C19:G19)</f>
        <v>-1120209.6300985869</v>
      </c>
      <c r="J19" s="25" t="s">
        <v>34</v>
      </c>
      <c r="K19" s="645" t="s">
        <v>659</v>
      </c>
      <c r="L19" s="36">
        <f t="shared" si="1"/>
        <v>8</v>
      </c>
    </row>
    <row r="20" spans="1:12" x14ac:dyDescent="0.35">
      <c r="A20" s="36">
        <f t="shared" si="0"/>
        <v>9</v>
      </c>
      <c r="C20" s="35">
        <v>0</v>
      </c>
      <c r="D20" s="35"/>
      <c r="E20" s="35">
        <v>0</v>
      </c>
      <c r="F20" s="35"/>
      <c r="G20" s="35">
        <v>0</v>
      </c>
      <c r="H20" s="35"/>
      <c r="I20" s="35">
        <f>SUM(C20:G20)</f>
        <v>0</v>
      </c>
      <c r="J20" s="35"/>
      <c r="K20" s="35"/>
      <c r="L20" s="36">
        <f t="shared" si="1"/>
        <v>9</v>
      </c>
    </row>
    <row r="21" spans="1:12" ht="16" thickBot="1" x14ac:dyDescent="0.4">
      <c r="A21" s="36">
        <f t="shared" si="0"/>
        <v>10</v>
      </c>
      <c r="B21" s="53" t="s">
        <v>620</v>
      </c>
      <c r="C21" s="726">
        <f>SUM(C19:C20)</f>
        <v>-733916.84893159161</v>
      </c>
      <c r="D21" s="25" t="s">
        <v>34</v>
      </c>
      <c r="E21" s="726">
        <f>SUM(E19:E20)</f>
        <v>-378242.87900000002</v>
      </c>
      <c r="F21" s="25" t="s">
        <v>34</v>
      </c>
      <c r="G21" s="62">
        <f>SUM(G19:G20)</f>
        <v>-8049.9021669952472</v>
      </c>
      <c r="H21" s="35"/>
      <c r="I21" s="726">
        <f>SUM(I19:I20)</f>
        <v>-1120209.6300985869</v>
      </c>
      <c r="J21" s="25" t="s">
        <v>34</v>
      </c>
      <c r="K21" s="579" t="str">
        <f>"Sum Lines "&amp;A19&amp;" thru "&amp;A20</f>
        <v>Sum Lines 8 thru 9</v>
      </c>
      <c r="L21" s="36">
        <f t="shared" si="1"/>
        <v>10</v>
      </c>
    </row>
    <row r="22" spans="1:12" ht="16" thickTop="1" x14ac:dyDescent="0.35">
      <c r="A22" s="36">
        <f t="shared" si="0"/>
        <v>11</v>
      </c>
      <c r="L22" s="36">
        <f t="shared" si="1"/>
        <v>11</v>
      </c>
    </row>
    <row r="23" spans="1:12" x14ac:dyDescent="0.35">
      <c r="A23" s="36">
        <f t="shared" si="0"/>
        <v>12</v>
      </c>
      <c r="B23" s="43" t="s">
        <v>621</v>
      </c>
      <c r="C23" s="724"/>
      <c r="D23" s="724"/>
      <c r="E23" s="724"/>
      <c r="F23" s="724"/>
      <c r="G23" s="724"/>
      <c r="H23" s="724"/>
      <c r="I23" s="48"/>
      <c r="J23" s="48"/>
      <c r="K23" s="36"/>
      <c r="L23" s="36">
        <f t="shared" si="1"/>
        <v>12</v>
      </c>
    </row>
    <row r="24" spans="1:12" x14ac:dyDescent="0.35">
      <c r="A24" s="36">
        <f t="shared" si="0"/>
        <v>13</v>
      </c>
      <c r="B24" s="43" t="s">
        <v>622</v>
      </c>
      <c r="C24" s="60">
        <v>-5987.5143200000075</v>
      </c>
      <c r="D24" s="60"/>
      <c r="E24" s="60">
        <v>0</v>
      </c>
      <c r="F24" s="60"/>
      <c r="G24" s="60">
        <v>0</v>
      </c>
      <c r="H24" s="725"/>
      <c r="I24" s="705">
        <f>SUM(C24:G24)</f>
        <v>-5987.5143200000075</v>
      </c>
      <c r="J24" s="705"/>
      <c r="K24" s="645" t="s">
        <v>660</v>
      </c>
      <c r="L24" s="36">
        <f t="shared" si="1"/>
        <v>13</v>
      </c>
    </row>
    <row r="25" spans="1:12" x14ac:dyDescent="0.35">
      <c r="A25" s="36">
        <f t="shared" si="0"/>
        <v>14</v>
      </c>
      <c r="B25" s="43"/>
      <c r="C25" s="35">
        <v>0</v>
      </c>
      <c r="D25" s="35"/>
      <c r="E25" s="35">
        <v>0</v>
      </c>
      <c r="F25" s="35"/>
      <c r="G25" s="35">
        <v>0</v>
      </c>
      <c r="H25" s="35"/>
      <c r="I25" s="35">
        <f>SUM(C25:G25)</f>
        <v>0</v>
      </c>
      <c r="J25" s="35"/>
      <c r="K25" s="35"/>
      <c r="L25" s="36">
        <f t="shared" si="1"/>
        <v>14</v>
      </c>
    </row>
    <row r="26" spans="1:12" ht="16" thickBot="1" x14ac:dyDescent="0.4">
      <c r="A26" s="36">
        <f t="shared" si="0"/>
        <v>15</v>
      </c>
      <c r="B26" s="53" t="s">
        <v>623</v>
      </c>
      <c r="C26" s="62">
        <f>SUM(C24:C25)</f>
        <v>-5987.5143200000075</v>
      </c>
      <c r="D26" s="35"/>
      <c r="E26" s="62">
        <f>SUM(E24:E25)</f>
        <v>0</v>
      </c>
      <c r="F26" s="95"/>
      <c r="G26" s="62">
        <f>SUM(G24:G25)</f>
        <v>0</v>
      </c>
      <c r="H26" s="35"/>
      <c r="I26" s="62">
        <f>SUM(I24:I25)</f>
        <v>-5987.5143200000075</v>
      </c>
      <c r="J26" s="592"/>
      <c r="K26" s="579" t="str">
        <f>"Sum Lines "&amp;A24&amp;" thru "&amp;A25</f>
        <v>Sum Lines 13 thru 14</v>
      </c>
      <c r="L26" s="36">
        <f t="shared" si="1"/>
        <v>15</v>
      </c>
    </row>
    <row r="27" spans="1:12" ht="16.5" thickTop="1" thickBot="1" x14ac:dyDescent="0.4">
      <c r="A27" s="36">
        <f t="shared" si="0"/>
        <v>16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36">
        <f t="shared" si="1"/>
        <v>16</v>
      </c>
    </row>
    <row r="28" spans="1:12" x14ac:dyDescent="0.35">
      <c r="A28" s="36">
        <f t="shared" si="0"/>
        <v>17</v>
      </c>
      <c r="L28" s="36">
        <f t="shared" si="1"/>
        <v>17</v>
      </c>
    </row>
    <row r="29" spans="1:12" x14ac:dyDescent="0.35">
      <c r="A29" s="36">
        <f t="shared" si="0"/>
        <v>18</v>
      </c>
      <c r="B29" s="43" t="s">
        <v>624</v>
      </c>
      <c r="C29" s="724"/>
      <c r="D29" s="724"/>
      <c r="E29" s="724"/>
      <c r="F29" s="724"/>
      <c r="G29" s="724"/>
      <c r="H29" s="724"/>
      <c r="I29" s="48"/>
      <c r="J29" s="48"/>
      <c r="K29" s="48"/>
      <c r="L29" s="36">
        <f t="shared" si="1"/>
        <v>18</v>
      </c>
    </row>
    <row r="30" spans="1:12" x14ac:dyDescent="0.35">
      <c r="A30" s="36">
        <f t="shared" si="0"/>
        <v>19</v>
      </c>
      <c r="B30" s="43" t="s">
        <v>616</v>
      </c>
      <c r="C30" s="60">
        <v>6144.7279481317501</v>
      </c>
      <c r="D30" s="60"/>
      <c r="E30" s="60">
        <v>5578.1396387467848</v>
      </c>
      <c r="F30" s="60"/>
      <c r="G30" s="60">
        <v>0</v>
      </c>
      <c r="H30" s="60"/>
      <c r="I30" s="705">
        <f>SUM(C30:G30)</f>
        <v>11722.867586878536</v>
      </c>
      <c r="J30" s="705"/>
      <c r="K30" s="645" t="s">
        <v>661</v>
      </c>
      <c r="L30" s="36">
        <f t="shared" si="1"/>
        <v>19</v>
      </c>
    </row>
    <row r="31" spans="1:12" x14ac:dyDescent="0.35">
      <c r="A31" s="36">
        <f t="shared" si="0"/>
        <v>20</v>
      </c>
      <c r="C31" s="35">
        <v>0</v>
      </c>
      <c r="D31" s="35"/>
      <c r="E31" s="35">
        <v>0</v>
      </c>
      <c r="F31" s="35"/>
      <c r="G31" s="35">
        <v>0</v>
      </c>
      <c r="H31" s="35"/>
      <c r="I31" s="35">
        <f>SUM(C31:G31)</f>
        <v>0</v>
      </c>
      <c r="J31" s="35"/>
      <c r="K31" s="35"/>
      <c r="L31" s="36">
        <f t="shared" si="1"/>
        <v>20</v>
      </c>
    </row>
    <row r="32" spans="1:12" ht="16" thickBot="1" x14ac:dyDescent="0.4">
      <c r="A32" s="36">
        <f t="shared" si="0"/>
        <v>21</v>
      </c>
      <c r="B32" s="53" t="s">
        <v>617</v>
      </c>
      <c r="C32" s="62">
        <f>SUM(C30:C31)</f>
        <v>6144.7279481317501</v>
      </c>
      <c r="D32" s="35"/>
      <c r="E32" s="62">
        <f>SUM(E30:E31)</f>
        <v>5578.1396387467848</v>
      </c>
      <c r="F32" s="95"/>
      <c r="G32" s="62">
        <f>SUM(G30:G31)</f>
        <v>0</v>
      </c>
      <c r="H32" s="35"/>
      <c r="I32" s="62">
        <f>SUM(I30:I31)</f>
        <v>11722.867586878536</v>
      </c>
      <c r="J32" s="592"/>
      <c r="K32" s="579" t="str">
        <f>"Sum Lines "&amp;A30&amp;" thru "&amp;A31</f>
        <v>Sum Lines 19 thru 20</v>
      </c>
      <c r="L32" s="36">
        <f t="shared" si="1"/>
        <v>21</v>
      </c>
    </row>
    <row r="33" spans="1:12" ht="16" thickTop="1" x14ac:dyDescent="0.35">
      <c r="A33" s="36">
        <f t="shared" si="0"/>
        <v>22</v>
      </c>
      <c r="C33" s="727"/>
      <c r="D33" s="727"/>
      <c r="E33" s="727"/>
      <c r="F33" s="727"/>
      <c r="G33" s="727"/>
      <c r="H33" s="727"/>
      <c r="I33" s="727"/>
      <c r="J33" s="727"/>
      <c r="K33" s="727"/>
      <c r="L33" s="36">
        <f t="shared" si="1"/>
        <v>22</v>
      </c>
    </row>
    <row r="34" spans="1:12" x14ac:dyDescent="0.35">
      <c r="A34" s="36">
        <f t="shared" si="0"/>
        <v>23</v>
      </c>
      <c r="B34" s="43" t="s">
        <v>625</v>
      </c>
      <c r="C34" s="724"/>
      <c r="D34" s="724"/>
      <c r="E34" s="724"/>
      <c r="F34" s="724"/>
      <c r="G34" s="724"/>
      <c r="H34" s="724"/>
      <c r="I34" s="48"/>
      <c r="J34" s="48"/>
      <c r="K34" s="48"/>
      <c r="L34" s="36">
        <f t="shared" si="1"/>
        <v>23</v>
      </c>
    </row>
    <row r="35" spans="1:12" x14ac:dyDescent="0.35">
      <c r="A35" s="36">
        <f t="shared" si="0"/>
        <v>24</v>
      </c>
      <c r="B35" s="728" t="s">
        <v>619</v>
      </c>
      <c r="C35" s="60">
        <v>-12485.205866908989</v>
      </c>
      <c r="D35" s="60"/>
      <c r="E35" s="60">
        <v>-8498.8383061224504</v>
      </c>
      <c r="F35" s="60"/>
      <c r="G35" s="60">
        <v>0</v>
      </c>
      <c r="H35" s="705"/>
      <c r="I35" s="705">
        <f>SUM(C35:G35)</f>
        <v>-20984.044173031441</v>
      </c>
      <c r="J35" s="705"/>
      <c r="K35" s="645" t="s">
        <v>662</v>
      </c>
      <c r="L35" s="36">
        <f t="shared" si="1"/>
        <v>24</v>
      </c>
    </row>
    <row r="36" spans="1:12" x14ac:dyDescent="0.35">
      <c r="A36" s="36">
        <f t="shared" si="0"/>
        <v>25</v>
      </c>
      <c r="C36" s="35">
        <v>0</v>
      </c>
      <c r="D36" s="35"/>
      <c r="E36" s="35">
        <v>0</v>
      </c>
      <c r="F36" s="35"/>
      <c r="G36" s="35">
        <v>0</v>
      </c>
      <c r="H36" s="35"/>
      <c r="I36" s="35">
        <f>SUM(C36:G36)</f>
        <v>0</v>
      </c>
      <c r="J36" s="35"/>
      <c r="K36" s="35"/>
      <c r="L36" s="36">
        <f t="shared" si="1"/>
        <v>25</v>
      </c>
    </row>
    <row r="37" spans="1:12" ht="16" thickBot="1" x14ac:dyDescent="0.4">
      <c r="A37" s="36">
        <f t="shared" si="0"/>
        <v>26</v>
      </c>
      <c r="B37" s="53" t="s">
        <v>620</v>
      </c>
      <c r="C37" s="62">
        <f>SUM(C35:C36)</f>
        <v>-12485.205866908989</v>
      </c>
      <c r="D37" s="35"/>
      <c r="E37" s="62">
        <f>SUM(E35:E36)</f>
        <v>-8498.8383061224504</v>
      </c>
      <c r="F37" s="95"/>
      <c r="G37" s="62">
        <f>SUM(G35:G36)</f>
        <v>0</v>
      </c>
      <c r="H37" s="35"/>
      <c r="I37" s="62">
        <f>SUM(I35:I36)</f>
        <v>-20984.044173031441</v>
      </c>
      <c r="J37" s="592"/>
      <c r="K37" s="579" t="str">
        <f>"Sum Lines "&amp;A35&amp;" thru "&amp;A36</f>
        <v>Sum Lines 24 thru 25</v>
      </c>
      <c r="L37" s="36">
        <f t="shared" si="1"/>
        <v>26</v>
      </c>
    </row>
    <row r="38" spans="1:12" ht="16" thickTop="1" x14ac:dyDescent="0.35">
      <c r="A38" s="36">
        <f t="shared" si="0"/>
        <v>27</v>
      </c>
      <c r="L38" s="36">
        <f t="shared" si="1"/>
        <v>27</v>
      </c>
    </row>
    <row r="39" spans="1:12" x14ac:dyDescent="0.35">
      <c r="A39" s="36">
        <f t="shared" si="0"/>
        <v>28</v>
      </c>
      <c r="B39" s="43" t="s">
        <v>626</v>
      </c>
      <c r="C39" s="724"/>
      <c r="D39" s="724"/>
      <c r="E39" s="724"/>
      <c r="F39" s="724"/>
      <c r="G39" s="724"/>
      <c r="H39" s="724"/>
      <c r="I39" s="48"/>
      <c r="J39" s="48"/>
      <c r="K39" s="36"/>
      <c r="L39" s="36">
        <f t="shared" si="1"/>
        <v>28</v>
      </c>
    </row>
    <row r="40" spans="1:12" x14ac:dyDescent="0.35">
      <c r="A40" s="36">
        <f t="shared" si="0"/>
        <v>29</v>
      </c>
      <c r="B40" s="43"/>
      <c r="C40" s="705">
        <v>0</v>
      </c>
      <c r="D40" s="705"/>
      <c r="E40" s="705">
        <v>0</v>
      </c>
      <c r="F40" s="705"/>
      <c r="G40" s="705">
        <v>0</v>
      </c>
      <c r="H40" s="705"/>
      <c r="I40" s="705">
        <f>SUM(C40:G40)</f>
        <v>0</v>
      </c>
      <c r="J40" s="705"/>
      <c r="K40" s="729" t="s">
        <v>663</v>
      </c>
      <c r="L40" s="36">
        <f t="shared" si="1"/>
        <v>29</v>
      </c>
    </row>
    <row r="41" spans="1:12" x14ac:dyDescent="0.35">
      <c r="A41" s="36">
        <f t="shared" si="0"/>
        <v>30</v>
      </c>
      <c r="B41" s="43"/>
      <c r="C41" s="35">
        <v>0</v>
      </c>
      <c r="D41" s="35"/>
      <c r="E41" s="35">
        <v>0</v>
      </c>
      <c r="F41" s="35"/>
      <c r="G41" s="35">
        <v>0</v>
      </c>
      <c r="H41" s="35"/>
      <c r="I41" s="35">
        <f>SUM(C41:G41)</f>
        <v>0</v>
      </c>
      <c r="J41" s="35"/>
      <c r="K41" s="35"/>
      <c r="L41" s="36">
        <f t="shared" si="1"/>
        <v>30</v>
      </c>
    </row>
    <row r="42" spans="1:12" ht="16" thickBot="1" x14ac:dyDescent="0.4">
      <c r="A42" s="36">
        <f t="shared" si="0"/>
        <v>31</v>
      </c>
      <c r="B42" s="53" t="s">
        <v>623</v>
      </c>
      <c r="C42" s="62">
        <f>SUM(C40:C41)</f>
        <v>0</v>
      </c>
      <c r="D42" s="35"/>
      <c r="E42" s="62">
        <f>SUM(E40:E41)</f>
        <v>0</v>
      </c>
      <c r="F42" s="95"/>
      <c r="G42" s="62">
        <f>SUM(G40:G41)</f>
        <v>0</v>
      </c>
      <c r="H42" s="35"/>
      <c r="I42" s="62">
        <f>SUM(I40:I41)</f>
        <v>0</v>
      </c>
      <c r="J42" s="592"/>
      <c r="K42" s="579" t="str">
        <f>"Sum Lines "&amp;A40&amp;" thru "&amp;A41</f>
        <v>Sum Lines 29 thru 30</v>
      </c>
      <c r="L42" s="36">
        <f t="shared" si="1"/>
        <v>31</v>
      </c>
    </row>
    <row r="43" spans="1:12" ht="16.5" thickTop="1" thickBot="1" x14ac:dyDescent="0.4">
      <c r="A43" s="36">
        <f t="shared" si="0"/>
        <v>32</v>
      </c>
      <c r="B43" s="730"/>
      <c r="C43" s="731"/>
      <c r="D43" s="732"/>
      <c r="E43" s="731"/>
      <c r="F43" s="731"/>
      <c r="G43" s="731"/>
      <c r="H43" s="732"/>
      <c r="I43" s="731"/>
      <c r="J43" s="731"/>
      <c r="K43" s="733"/>
      <c r="L43" s="36">
        <f t="shared" si="1"/>
        <v>32</v>
      </c>
    </row>
    <row r="44" spans="1:12" x14ac:dyDescent="0.35">
      <c r="A44" s="36">
        <f t="shared" si="0"/>
        <v>33</v>
      </c>
      <c r="B44" s="53"/>
      <c r="C44" s="592"/>
      <c r="D44" s="35"/>
      <c r="E44" s="592"/>
      <c r="F44" s="592"/>
      <c r="G44" s="592"/>
      <c r="H44" s="35"/>
      <c r="I44" s="592"/>
      <c r="J44" s="592"/>
      <c r="K44" s="579"/>
      <c r="L44" s="36">
        <f t="shared" si="1"/>
        <v>33</v>
      </c>
    </row>
    <row r="45" spans="1:12" x14ac:dyDescent="0.35">
      <c r="A45" s="36">
        <f t="shared" si="0"/>
        <v>34</v>
      </c>
      <c r="B45" s="734" t="s">
        <v>600</v>
      </c>
      <c r="C45" s="30">
        <v>0</v>
      </c>
      <c r="D45" s="35"/>
      <c r="E45" s="30">
        <v>0</v>
      </c>
      <c r="F45" s="592"/>
      <c r="G45" s="30">
        <v>0</v>
      </c>
      <c r="H45" s="35"/>
      <c r="I45" s="705">
        <f>SUM(C45:G45)</f>
        <v>0</v>
      </c>
      <c r="J45" s="705"/>
      <c r="K45" s="729" t="s">
        <v>663</v>
      </c>
      <c r="L45" s="36">
        <f t="shared" si="1"/>
        <v>34</v>
      </c>
    </row>
    <row r="46" spans="1:12" x14ac:dyDescent="0.35">
      <c r="B46" s="53"/>
      <c r="C46" s="592"/>
      <c r="D46" s="35"/>
      <c r="E46" s="592"/>
      <c r="F46" s="592"/>
      <c r="G46" s="592"/>
      <c r="H46" s="35"/>
      <c r="I46" s="592"/>
      <c r="J46" s="592"/>
      <c r="K46" s="579"/>
    </row>
    <row r="48" spans="1:12" x14ac:dyDescent="0.35">
      <c r="A48" s="25" t="s">
        <v>34</v>
      </c>
      <c r="B48" s="23" t="s">
        <v>710</v>
      </c>
    </row>
    <row r="49" spans="1:2" x14ac:dyDescent="0.35">
      <c r="A49" s="25"/>
      <c r="B49" s="747" t="s">
        <v>711</v>
      </c>
    </row>
    <row r="50" spans="1:2" x14ac:dyDescent="0.35">
      <c r="A50" s="25"/>
      <c r="B50" s="23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61" orientation="landscape" r:id="rId1"/>
  <headerFooter scaleWithDoc="0" alignWithMargins="0">
    <oddHeader>&amp;C&amp;"Times New Roman,Bold"&amp;8REVISED</oddHeader>
    <oddFooter>&amp;CPage 9.2&amp;R&amp;F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B9D0-CEAE-4EA2-B955-61472AC2A837}">
  <sheetPr>
    <pageSetUpPr fitToPage="1"/>
  </sheetPr>
  <dimension ref="A1:K49"/>
  <sheetViews>
    <sheetView zoomScale="80" zoomScaleNormal="80" workbookViewId="0"/>
  </sheetViews>
  <sheetFormatPr defaultColWidth="8.81640625" defaultRowHeight="15.5" x14ac:dyDescent="0.35"/>
  <cols>
    <col min="1" max="1" width="5.81640625" style="36" customWidth="1"/>
    <col min="2" max="2" width="62.81640625" style="37" bestFit="1" customWidth="1"/>
    <col min="3" max="3" width="16.81640625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16.81640625" style="37" customWidth="1"/>
    <col min="8" max="8" width="1.54296875" style="37" customWidth="1"/>
    <col min="9" max="9" width="23.453125" style="37" bestFit="1" customWidth="1"/>
    <col min="10" max="10" width="62.54296875" style="37" customWidth="1"/>
    <col min="11" max="11" width="5.1796875" style="36" customWidth="1"/>
    <col min="12" max="16384" width="8.81640625" style="37"/>
  </cols>
  <sheetData>
    <row r="1" spans="1:11" x14ac:dyDescent="0.35">
      <c r="A1" s="720" t="s">
        <v>650</v>
      </c>
    </row>
    <row r="3" spans="1:11" x14ac:dyDescent="0.35">
      <c r="B3" s="863" t="s">
        <v>20</v>
      </c>
      <c r="C3" s="863"/>
      <c r="D3" s="863"/>
      <c r="E3" s="863"/>
      <c r="F3" s="863"/>
      <c r="G3" s="863"/>
      <c r="H3" s="863"/>
      <c r="I3" s="863"/>
      <c r="J3" s="863"/>
    </row>
    <row r="4" spans="1:11" x14ac:dyDescent="0.35">
      <c r="B4" s="863" t="s">
        <v>605</v>
      </c>
      <c r="C4" s="863"/>
      <c r="D4" s="863"/>
      <c r="E4" s="863"/>
      <c r="F4" s="863"/>
      <c r="G4" s="863"/>
      <c r="H4" s="863"/>
      <c r="I4" s="863"/>
      <c r="J4" s="863"/>
    </row>
    <row r="5" spans="1:11" x14ac:dyDescent="0.35">
      <c r="B5" s="863" t="s">
        <v>606</v>
      </c>
      <c r="C5" s="863"/>
      <c r="D5" s="863"/>
      <c r="E5" s="863"/>
      <c r="F5" s="863"/>
      <c r="G5" s="863"/>
      <c r="H5" s="863"/>
      <c r="I5" s="863"/>
      <c r="J5" s="863"/>
    </row>
    <row r="6" spans="1:11" x14ac:dyDescent="0.35">
      <c r="B6" s="863" t="s">
        <v>657</v>
      </c>
      <c r="C6" s="863"/>
      <c r="D6" s="863"/>
      <c r="E6" s="863"/>
      <c r="F6" s="863"/>
      <c r="G6" s="863"/>
      <c r="H6" s="863"/>
      <c r="I6" s="863"/>
      <c r="J6" s="863"/>
    </row>
    <row r="7" spans="1:11" ht="15.75" customHeight="1" x14ac:dyDescent="0.35">
      <c r="B7" s="865" t="s">
        <v>4</v>
      </c>
      <c r="C7" s="865"/>
      <c r="D7" s="865"/>
      <c r="E7" s="865"/>
      <c r="F7" s="865"/>
      <c r="G7" s="865"/>
      <c r="H7" s="865"/>
      <c r="I7" s="865"/>
      <c r="J7" s="865"/>
    </row>
    <row r="9" spans="1:11" x14ac:dyDescent="0.35">
      <c r="B9" s="698"/>
      <c r="C9" s="697" t="s">
        <v>293</v>
      </c>
      <c r="D9" s="697"/>
      <c r="E9" s="697" t="s">
        <v>294</v>
      </c>
      <c r="F9" s="697"/>
      <c r="G9" s="697" t="s">
        <v>451</v>
      </c>
      <c r="H9" s="697"/>
      <c r="I9" s="697" t="s">
        <v>607</v>
      </c>
      <c r="J9" s="697"/>
    </row>
    <row r="10" spans="1:11" x14ac:dyDescent="0.35">
      <c r="A10" s="36" t="s">
        <v>5</v>
      </c>
      <c r="B10" s="698"/>
      <c r="C10" s="697" t="s">
        <v>608</v>
      </c>
      <c r="D10" s="697"/>
      <c r="E10" s="697" t="s">
        <v>609</v>
      </c>
      <c r="F10" s="697"/>
      <c r="G10" s="697" t="s">
        <v>609</v>
      </c>
      <c r="H10" s="697"/>
      <c r="I10" s="697"/>
      <c r="J10" s="697"/>
      <c r="K10" s="36" t="s">
        <v>5</v>
      </c>
    </row>
    <row r="11" spans="1:11" x14ac:dyDescent="0.35">
      <c r="A11" s="36" t="s">
        <v>6</v>
      </c>
      <c r="B11" s="721" t="s">
        <v>7</v>
      </c>
      <c r="C11" s="722" t="s">
        <v>610</v>
      </c>
      <c r="D11" s="722"/>
      <c r="E11" s="722" t="s">
        <v>611</v>
      </c>
      <c r="F11" s="722"/>
      <c r="G11" s="722" t="s">
        <v>612</v>
      </c>
      <c r="H11" s="722"/>
      <c r="I11" s="721" t="s">
        <v>299</v>
      </c>
      <c r="J11" s="721" t="s">
        <v>9</v>
      </c>
      <c r="K11" s="36" t="s">
        <v>6</v>
      </c>
    </row>
    <row r="12" spans="1:11" x14ac:dyDescent="0.35">
      <c r="B12" s="698"/>
      <c r="C12" s="723"/>
      <c r="D12" s="723"/>
      <c r="E12" s="723"/>
      <c r="F12" s="723"/>
      <c r="G12" s="723"/>
      <c r="H12" s="723"/>
      <c r="I12" s="48"/>
      <c r="J12" s="48"/>
    </row>
    <row r="13" spans="1:11" x14ac:dyDescent="0.35">
      <c r="A13" s="36">
        <v>1</v>
      </c>
      <c r="B13" s="43" t="s">
        <v>613</v>
      </c>
      <c r="C13" s="724"/>
      <c r="D13" s="724"/>
      <c r="E13" s="724"/>
      <c r="F13" s="724"/>
      <c r="G13" s="724"/>
      <c r="H13" s="724"/>
      <c r="I13" s="48"/>
      <c r="J13" s="48"/>
      <c r="K13" s="36">
        <f>A13</f>
        <v>1</v>
      </c>
    </row>
    <row r="14" spans="1:11" x14ac:dyDescent="0.35">
      <c r="A14" s="36">
        <f>A13+1</f>
        <v>2</v>
      </c>
      <c r="B14" s="43" t="s">
        <v>614</v>
      </c>
      <c r="C14" s="60">
        <v>772.52322837828797</v>
      </c>
      <c r="D14" s="60"/>
      <c r="E14" s="60">
        <v>0</v>
      </c>
      <c r="F14" s="60"/>
      <c r="G14" s="60">
        <v>214.49058265600002</v>
      </c>
      <c r="H14" s="725"/>
      <c r="I14" s="705">
        <f>SUM(C14:G14)</f>
        <v>987.01381103428798</v>
      </c>
      <c r="J14" s="645" t="s">
        <v>658</v>
      </c>
      <c r="K14" s="36">
        <f>K13+1</f>
        <v>2</v>
      </c>
    </row>
    <row r="15" spans="1:11" x14ac:dyDescent="0.35">
      <c r="A15" s="36">
        <f t="shared" ref="A15:A46" si="0">A14+1</f>
        <v>3</v>
      </c>
      <c r="B15" s="43" t="s">
        <v>615</v>
      </c>
      <c r="C15" s="116">
        <v>245.18064680224461</v>
      </c>
      <c r="D15" s="116"/>
      <c r="E15" s="116">
        <v>0</v>
      </c>
      <c r="F15" s="116"/>
      <c r="G15" s="116">
        <v>555.45000000000005</v>
      </c>
      <c r="H15" s="116"/>
      <c r="I15" s="35">
        <f>SUM(C15:G15)</f>
        <v>800.63064680224466</v>
      </c>
      <c r="J15" s="645" t="s">
        <v>658</v>
      </c>
      <c r="K15" s="36">
        <f t="shared" ref="K15:K46" si="1">K14+1</f>
        <v>3</v>
      </c>
    </row>
    <row r="16" spans="1:11" x14ac:dyDescent="0.35">
      <c r="A16" s="36">
        <f t="shared" si="0"/>
        <v>4</v>
      </c>
      <c r="B16" s="43" t="s">
        <v>616</v>
      </c>
      <c r="C16" s="116">
        <v>119232.95199162784</v>
      </c>
      <c r="D16" s="116"/>
      <c r="E16" s="116">
        <v>108238.52431003426</v>
      </c>
      <c r="F16" s="116"/>
      <c r="G16" s="116">
        <v>0</v>
      </c>
      <c r="H16" s="116"/>
      <c r="I16" s="35">
        <f>SUM(C16:G16)</f>
        <v>227471.4763016621</v>
      </c>
      <c r="J16" s="645" t="s">
        <v>658</v>
      </c>
      <c r="K16" s="36">
        <f t="shared" si="1"/>
        <v>4</v>
      </c>
    </row>
    <row r="17" spans="1:11" ht="16" thickBot="1" x14ac:dyDescent="0.4">
      <c r="A17" s="36">
        <f t="shared" si="0"/>
        <v>5</v>
      </c>
      <c r="B17" s="53" t="s">
        <v>617</v>
      </c>
      <c r="C17" s="726">
        <f>SUM(C14:C16)</f>
        <v>120250.65586680837</v>
      </c>
      <c r="D17" s="35"/>
      <c r="E17" s="726">
        <f>SUM(E14:E16)</f>
        <v>108238.52431003426</v>
      </c>
      <c r="F17" s="592"/>
      <c r="G17" s="726">
        <f>SUM(G14:G16)</f>
        <v>769.94058265600006</v>
      </c>
      <c r="H17" s="35"/>
      <c r="I17" s="726">
        <f>SUM(I14:I16)</f>
        <v>229259.12075949862</v>
      </c>
      <c r="J17" s="579" t="str">
        <f>"Sum Lines "&amp;A14&amp;" thru "&amp;A16</f>
        <v>Sum Lines 2 thru 4</v>
      </c>
      <c r="K17" s="36">
        <f t="shared" si="1"/>
        <v>5</v>
      </c>
    </row>
    <row r="18" spans="1:11" ht="16" thickTop="1" x14ac:dyDescent="0.35">
      <c r="A18" s="36">
        <f t="shared" si="0"/>
        <v>6</v>
      </c>
      <c r="C18" s="727"/>
      <c r="D18" s="727"/>
      <c r="E18" s="727"/>
      <c r="F18" s="727"/>
      <c r="G18" s="727"/>
      <c r="H18" s="727"/>
      <c r="I18" s="727"/>
      <c r="J18" s="727"/>
      <c r="K18" s="36">
        <f t="shared" si="1"/>
        <v>6</v>
      </c>
    </row>
    <row r="19" spans="1:11" x14ac:dyDescent="0.35">
      <c r="A19" s="36">
        <f t="shared" si="0"/>
        <v>7</v>
      </c>
      <c r="B19" s="43" t="s">
        <v>618</v>
      </c>
      <c r="C19" s="724"/>
      <c r="D19" s="724"/>
      <c r="E19" s="724"/>
      <c r="F19" s="724"/>
      <c r="G19" s="724"/>
      <c r="H19" s="724"/>
      <c r="I19" s="48"/>
      <c r="J19" s="48"/>
      <c r="K19" s="36">
        <f t="shared" si="1"/>
        <v>7</v>
      </c>
    </row>
    <row r="20" spans="1:11" x14ac:dyDescent="0.35">
      <c r="A20" s="36">
        <f t="shared" si="0"/>
        <v>8</v>
      </c>
      <c r="B20" s="728" t="s">
        <v>619</v>
      </c>
      <c r="C20" s="705">
        <v>-720245.32493159163</v>
      </c>
      <c r="D20" s="705"/>
      <c r="E20" s="705">
        <v>-372880.70933477907</v>
      </c>
      <c r="F20" s="705"/>
      <c r="G20" s="705">
        <v>-8049.9021669952472</v>
      </c>
      <c r="H20" s="705"/>
      <c r="I20" s="705">
        <f>SUM(C20:G20)</f>
        <v>-1101175.936433366</v>
      </c>
      <c r="J20" s="645" t="s">
        <v>659</v>
      </c>
      <c r="K20" s="36">
        <f t="shared" si="1"/>
        <v>8</v>
      </c>
    </row>
    <row r="21" spans="1:11" x14ac:dyDescent="0.35">
      <c r="A21" s="36">
        <f t="shared" si="0"/>
        <v>9</v>
      </c>
      <c r="C21" s="35">
        <v>0</v>
      </c>
      <c r="D21" s="35"/>
      <c r="E21" s="35">
        <v>0</v>
      </c>
      <c r="F21" s="35"/>
      <c r="G21" s="35">
        <v>0</v>
      </c>
      <c r="H21" s="35"/>
      <c r="I21" s="35">
        <f>SUM(C21:G21)</f>
        <v>0</v>
      </c>
      <c r="J21" s="35"/>
      <c r="K21" s="36">
        <f t="shared" si="1"/>
        <v>9</v>
      </c>
    </row>
    <row r="22" spans="1:11" ht="16" thickBot="1" x14ac:dyDescent="0.4">
      <c r="A22" s="36">
        <f t="shared" si="0"/>
        <v>10</v>
      </c>
      <c r="B22" s="53" t="s">
        <v>620</v>
      </c>
      <c r="C22" s="726">
        <f>SUM(C20:C21)</f>
        <v>-720245.32493159163</v>
      </c>
      <c r="D22" s="35"/>
      <c r="E22" s="726">
        <f>SUM(E20:E21)</f>
        <v>-372880.70933477907</v>
      </c>
      <c r="F22" s="592"/>
      <c r="G22" s="726">
        <f>SUM(G20:G21)</f>
        <v>-8049.9021669952472</v>
      </c>
      <c r="H22" s="35"/>
      <c r="I22" s="726">
        <f>SUM(I20:I21)</f>
        <v>-1101175.936433366</v>
      </c>
      <c r="J22" s="579" t="str">
        <f>"Sum Lines "&amp;A20&amp;" thru "&amp;A21</f>
        <v>Sum Lines 8 thru 9</v>
      </c>
      <c r="K22" s="36">
        <f t="shared" si="1"/>
        <v>10</v>
      </c>
    </row>
    <row r="23" spans="1:11" ht="16" thickTop="1" x14ac:dyDescent="0.35">
      <c r="A23" s="36">
        <f t="shared" si="0"/>
        <v>11</v>
      </c>
      <c r="K23" s="36">
        <f t="shared" si="1"/>
        <v>11</v>
      </c>
    </row>
    <row r="24" spans="1:11" x14ac:dyDescent="0.35">
      <c r="A24" s="36">
        <f t="shared" si="0"/>
        <v>12</v>
      </c>
      <c r="B24" s="43" t="s">
        <v>621</v>
      </c>
      <c r="C24" s="724"/>
      <c r="D24" s="724"/>
      <c r="E24" s="724"/>
      <c r="F24" s="724"/>
      <c r="G24" s="724"/>
      <c r="H24" s="724"/>
      <c r="I24" s="48"/>
      <c r="J24" s="36"/>
      <c r="K24" s="36">
        <f t="shared" si="1"/>
        <v>12</v>
      </c>
    </row>
    <row r="25" spans="1:11" x14ac:dyDescent="0.35">
      <c r="A25" s="36">
        <f t="shared" si="0"/>
        <v>13</v>
      </c>
      <c r="B25" s="43" t="s">
        <v>622</v>
      </c>
      <c r="C25" s="60">
        <v>-5987.5143200000075</v>
      </c>
      <c r="D25" s="60"/>
      <c r="E25" s="60">
        <v>0</v>
      </c>
      <c r="F25" s="60"/>
      <c r="G25" s="60">
        <v>0</v>
      </c>
      <c r="H25" s="725"/>
      <c r="I25" s="705">
        <f>SUM(C25:G25)</f>
        <v>-5987.5143200000075</v>
      </c>
      <c r="J25" s="645" t="s">
        <v>660</v>
      </c>
      <c r="K25" s="36">
        <f t="shared" si="1"/>
        <v>13</v>
      </c>
    </row>
    <row r="26" spans="1:11" x14ac:dyDescent="0.35">
      <c r="A26" s="36">
        <f t="shared" si="0"/>
        <v>14</v>
      </c>
      <c r="B26" s="43"/>
      <c r="C26" s="35">
        <v>0</v>
      </c>
      <c r="D26" s="35"/>
      <c r="E26" s="35">
        <v>0</v>
      </c>
      <c r="F26" s="35"/>
      <c r="G26" s="35">
        <v>0</v>
      </c>
      <c r="H26" s="35"/>
      <c r="I26" s="35">
        <f>SUM(C26:G26)</f>
        <v>0</v>
      </c>
      <c r="J26" s="35"/>
      <c r="K26" s="36">
        <f t="shared" si="1"/>
        <v>14</v>
      </c>
    </row>
    <row r="27" spans="1:11" ht="16" thickBot="1" x14ac:dyDescent="0.4">
      <c r="A27" s="36">
        <f t="shared" si="0"/>
        <v>15</v>
      </c>
      <c r="B27" s="53" t="s">
        <v>623</v>
      </c>
      <c r="C27" s="726">
        <f>SUM(C25:C26)</f>
        <v>-5987.5143200000075</v>
      </c>
      <c r="D27" s="35"/>
      <c r="E27" s="726">
        <f>SUM(E25:E26)</f>
        <v>0</v>
      </c>
      <c r="F27" s="592"/>
      <c r="G27" s="726">
        <f>SUM(G25:G26)</f>
        <v>0</v>
      </c>
      <c r="H27" s="35"/>
      <c r="I27" s="726">
        <f>SUM(I25:I26)</f>
        <v>-5987.5143200000075</v>
      </c>
      <c r="J27" s="579" t="str">
        <f>"Sum Lines "&amp;A25&amp;" thru "&amp;A26</f>
        <v>Sum Lines 13 thru 14</v>
      </c>
      <c r="K27" s="36">
        <f t="shared" si="1"/>
        <v>15</v>
      </c>
    </row>
    <row r="28" spans="1:11" ht="16.5" thickTop="1" thickBot="1" x14ac:dyDescent="0.4">
      <c r="A28" s="36">
        <f t="shared" si="0"/>
        <v>16</v>
      </c>
      <c r="B28" s="83"/>
      <c r="C28" s="83"/>
      <c r="D28" s="83"/>
      <c r="E28" s="83"/>
      <c r="F28" s="83"/>
      <c r="G28" s="83"/>
      <c r="H28" s="83"/>
      <c r="I28" s="83"/>
      <c r="J28" s="83"/>
      <c r="K28" s="36">
        <f t="shared" si="1"/>
        <v>16</v>
      </c>
    </row>
    <row r="29" spans="1:11" x14ac:dyDescent="0.35">
      <c r="A29" s="36">
        <f t="shared" si="0"/>
        <v>17</v>
      </c>
      <c r="K29" s="36">
        <f t="shared" si="1"/>
        <v>17</v>
      </c>
    </row>
    <row r="30" spans="1:11" x14ac:dyDescent="0.35">
      <c r="A30" s="36">
        <f t="shared" si="0"/>
        <v>18</v>
      </c>
      <c r="B30" s="43" t="s">
        <v>624</v>
      </c>
      <c r="C30" s="724"/>
      <c r="D30" s="724"/>
      <c r="E30" s="724"/>
      <c r="F30" s="724"/>
      <c r="G30" s="724"/>
      <c r="H30" s="724"/>
      <c r="I30" s="48"/>
      <c r="J30" s="48"/>
      <c r="K30" s="36">
        <f t="shared" si="1"/>
        <v>18</v>
      </c>
    </row>
    <row r="31" spans="1:11" x14ac:dyDescent="0.35">
      <c r="A31" s="36">
        <f t="shared" si="0"/>
        <v>19</v>
      </c>
      <c r="B31" s="43" t="s">
        <v>616</v>
      </c>
      <c r="C31" s="60">
        <v>6144.7279481317501</v>
      </c>
      <c r="D31" s="60"/>
      <c r="E31" s="60">
        <v>5578.1396387467848</v>
      </c>
      <c r="F31" s="60"/>
      <c r="G31" s="60">
        <v>0</v>
      </c>
      <c r="H31" s="60"/>
      <c r="I31" s="705">
        <f>SUM(C31:G31)</f>
        <v>11722.867586878536</v>
      </c>
      <c r="J31" s="645" t="s">
        <v>661</v>
      </c>
      <c r="K31" s="36">
        <f t="shared" si="1"/>
        <v>19</v>
      </c>
    </row>
    <row r="32" spans="1:11" x14ac:dyDescent="0.35">
      <c r="A32" s="36">
        <f t="shared" si="0"/>
        <v>20</v>
      </c>
      <c r="C32" s="35">
        <v>0</v>
      </c>
      <c r="D32" s="35"/>
      <c r="E32" s="35">
        <v>0</v>
      </c>
      <c r="F32" s="35"/>
      <c r="G32" s="35">
        <v>0</v>
      </c>
      <c r="H32" s="35"/>
      <c r="I32" s="35">
        <f>SUM(C32:G32)</f>
        <v>0</v>
      </c>
      <c r="J32" s="35"/>
      <c r="K32" s="36">
        <f t="shared" si="1"/>
        <v>20</v>
      </c>
    </row>
    <row r="33" spans="1:11" ht="16" thickBot="1" x14ac:dyDescent="0.4">
      <c r="A33" s="36">
        <f t="shared" si="0"/>
        <v>21</v>
      </c>
      <c r="B33" s="53" t="s">
        <v>617</v>
      </c>
      <c r="C33" s="726">
        <f>SUM(C31:C32)</f>
        <v>6144.7279481317501</v>
      </c>
      <c r="D33" s="35"/>
      <c r="E33" s="726">
        <f>SUM(E31:E32)</f>
        <v>5578.1396387467848</v>
      </c>
      <c r="F33" s="592"/>
      <c r="G33" s="726">
        <f>SUM(G31:G32)</f>
        <v>0</v>
      </c>
      <c r="H33" s="35"/>
      <c r="I33" s="726">
        <f>SUM(I31:I32)</f>
        <v>11722.867586878536</v>
      </c>
      <c r="J33" s="579" t="str">
        <f>"Sum Lines "&amp;A31&amp;" thru "&amp;A32</f>
        <v>Sum Lines 19 thru 20</v>
      </c>
      <c r="K33" s="36">
        <f t="shared" si="1"/>
        <v>21</v>
      </c>
    </row>
    <row r="34" spans="1:11" ht="16" thickTop="1" x14ac:dyDescent="0.35">
      <c r="A34" s="36">
        <f t="shared" si="0"/>
        <v>22</v>
      </c>
      <c r="C34" s="727"/>
      <c r="D34" s="727"/>
      <c r="E34" s="727"/>
      <c r="F34" s="727"/>
      <c r="G34" s="727"/>
      <c r="H34" s="727"/>
      <c r="I34" s="727"/>
      <c r="J34" s="727"/>
      <c r="K34" s="36">
        <f t="shared" si="1"/>
        <v>22</v>
      </c>
    </row>
    <row r="35" spans="1:11" x14ac:dyDescent="0.35">
      <c r="A35" s="36">
        <f t="shared" si="0"/>
        <v>23</v>
      </c>
      <c r="B35" s="43" t="s">
        <v>625</v>
      </c>
      <c r="C35" s="724"/>
      <c r="D35" s="724"/>
      <c r="E35" s="724"/>
      <c r="F35" s="724"/>
      <c r="G35" s="724"/>
      <c r="H35" s="724"/>
      <c r="I35" s="48"/>
      <c r="J35" s="48"/>
      <c r="K35" s="36">
        <f t="shared" si="1"/>
        <v>23</v>
      </c>
    </row>
    <row r="36" spans="1:11" x14ac:dyDescent="0.35">
      <c r="A36" s="36">
        <f t="shared" si="0"/>
        <v>24</v>
      </c>
      <c r="B36" s="728" t="s">
        <v>619</v>
      </c>
      <c r="C36" s="60">
        <v>-12485.205866908989</v>
      </c>
      <c r="D36" s="60"/>
      <c r="E36" s="60">
        <v>-8498.8383061224504</v>
      </c>
      <c r="F36" s="60"/>
      <c r="G36" s="60">
        <v>0</v>
      </c>
      <c r="H36" s="705"/>
      <c r="I36" s="705">
        <f>SUM(C36:G36)</f>
        <v>-20984.044173031441</v>
      </c>
      <c r="J36" s="645" t="s">
        <v>662</v>
      </c>
      <c r="K36" s="36">
        <f t="shared" si="1"/>
        <v>24</v>
      </c>
    </row>
    <row r="37" spans="1:11" x14ac:dyDescent="0.35">
      <c r="A37" s="36">
        <f t="shared" si="0"/>
        <v>25</v>
      </c>
      <c r="C37" s="35">
        <v>0</v>
      </c>
      <c r="D37" s="35"/>
      <c r="E37" s="35">
        <v>0</v>
      </c>
      <c r="F37" s="35"/>
      <c r="G37" s="35">
        <v>0</v>
      </c>
      <c r="H37" s="35"/>
      <c r="I37" s="35">
        <f>SUM(C37:G37)</f>
        <v>0</v>
      </c>
      <c r="J37" s="35"/>
      <c r="K37" s="36">
        <f t="shared" si="1"/>
        <v>25</v>
      </c>
    </row>
    <row r="38" spans="1:11" ht="16" thickBot="1" x14ac:dyDescent="0.4">
      <c r="A38" s="36">
        <f t="shared" si="0"/>
        <v>26</v>
      </c>
      <c r="B38" s="53" t="s">
        <v>620</v>
      </c>
      <c r="C38" s="726">
        <f>SUM(C36:C37)</f>
        <v>-12485.205866908989</v>
      </c>
      <c r="D38" s="35"/>
      <c r="E38" s="726">
        <f>SUM(E36:E37)</f>
        <v>-8498.8383061224504</v>
      </c>
      <c r="F38" s="592"/>
      <c r="G38" s="726">
        <f>SUM(G36:G37)</f>
        <v>0</v>
      </c>
      <c r="H38" s="35"/>
      <c r="I38" s="726">
        <f>SUM(I36:I37)</f>
        <v>-20984.044173031441</v>
      </c>
      <c r="J38" s="579" t="str">
        <f>"Sum Lines "&amp;A36&amp;" thru "&amp;A37</f>
        <v>Sum Lines 24 thru 25</v>
      </c>
      <c r="K38" s="36">
        <f t="shared" si="1"/>
        <v>26</v>
      </c>
    </row>
    <row r="39" spans="1:11" ht="16" thickTop="1" x14ac:dyDescent="0.35">
      <c r="A39" s="36">
        <f t="shared" si="0"/>
        <v>27</v>
      </c>
      <c r="K39" s="36">
        <f t="shared" si="1"/>
        <v>27</v>
      </c>
    </row>
    <row r="40" spans="1:11" x14ac:dyDescent="0.35">
      <c r="A40" s="36">
        <f t="shared" si="0"/>
        <v>28</v>
      </c>
      <c r="B40" s="43" t="s">
        <v>626</v>
      </c>
      <c r="C40" s="724"/>
      <c r="D40" s="724"/>
      <c r="E40" s="724"/>
      <c r="F40" s="724"/>
      <c r="G40" s="724"/>
      <c r="H40" s="724"/>
      <c r="I40" s="48"/>
      <c r="J40" s="36"/>
      <c r="K40" s="36">
        <f t="shared" si="1"/>
        <v>28</v>
      </c>
    </row>
    <row r="41" spans="1:11" x14ac:dyDescent="0.35">
      <c r="A41" s="36">
        <f t="shared" si="0"/>
        <v>29</v>
      </c>
      <c r="B41" s="43"/>
      <c r="C41" s="705">
        <v>0</v>
      </c>
      <c r="D41" s="705"/>
      <c r="E41" s="705">
        <v>0</v>
      </c>
      <c r="F41" s="705"/>
      <c r="G41" s="705">
        <v>0</v>
      </c>
      <c r="H41" s="705"/>
      <c r="I41" s="705">
        <f>SUM(C41:G41)</f>
        <v>0</v>
      </c>
      <c r="J41" s="729" t="s">
        <v>663</v>
      </c>
      <c r="K41" s="36">
        <f t="shared" si="1"/>
        <v>29</v>
      </c>
    </row>
    <row r="42" spans="1:11" x14ac:dyDescent="0.35">
      <c r="A42" s="36">
        <f t="shared" si="0"/>
        <v>30</v>
      </c>
      <c r="B42" s="43"/>
      <c r="C42" s="35">
        <v>0</v>
      </c>
      <c r="D42" s="35"/>
      <c r="E42" s="35">
        <v>0</v>
      </c>
      <c r="F42" s="35"/>
      <c r="G42" s="35">
        <v>0</v>
      </c>
      <c r="H42" s="35"/>
      <c r="I42" s="35">
        <f>SUM(C42:G42)</f>
        <v>0</v>
      </c>
      <c r="J42" s="35"/>
      <c r="K42" s="36">
        <f t="shared" si="1"/>
        <v>30</v>
      </c>
    </row>
    <row r="43" spans="1:11" ht="16" thickBot="1" x14ac:dyDescent="0.4">
      <c r="A43" s="36">
        <f t="shared" si="0"/>
        <v>31</v>
      </c>
      <c r="B43" s="53" t="s">
        <v>623</v>
      </c>
      <c r="C43" s="726">
        <f>SUM(C41:C42)</f>
        <v>0</v>
      </c>
      <c r="D43" s="35"/>
      <c r="E43" s="726">
        <f>SUM(E41:E42)</f>
        <v>0</v>
      </c>
      <c r="F43" s="592"/>
      <c r="G43" s="726">
        <f>SUM(G41:G42)</f>
        <v>0</v>
      </c>
      <c r="H43" s="35"/>
      <c r="I43" s="726">
        <f>SUM(I41:I42)</f>
        <v>0</v>
      </c>
      <c r="J43" s="579" t="str">
        <f>"Sum Lines "&amp;A41&amp;" thru "&amp;A42</f>
        <v>Sum Lines 29 thru 30</v>
      </c>
      <c r="K43" s="36">
        <f t="shared" si="1"/>
        <v>31</v>
      </c>
    </row>
    <row r="44" spans="1:11" ht="16.5" thickTop="1" thickBot="1" x14ac:dyDescent="0.4">
      <c r="A44" s="36">
        <f t="shared" si="0"/>
        <v>32</v>
      </c>
      <c r="B44" s="730"/>
      <c r="C44" s="731"/>
      <c r="D44" s="732"/>
      <c r="E44" s="731"/>
      <c r="F44" s="731"/>
      <c r="G44" s="731"/>
      <c r="H44" s="732"/>
      <c r="I44" s="731"/>
      <c r="J44" s="733"/>
      <c r="K44" s="36">
        <f t="shared" si="1"/>
        <v>32</v>
      </c>
    </row>
    <row r="45" spans="1:11" x14ac:dyDescent="0.35">
      <c r="A45" s="36">
        <f t="shared" si="0"/>
        <v>33</v>
      </c>
      <c r="B45" s="53"/>
      <c r="C45" s="592"/>
      <c r="D45" s="35"/>
      <c r="E45" s="592"/>
      <c r="F45" s="592"/>
      <c r="G45" s="592"/>
      <c r="H45" s="35"/>
      <c r="I45" s="592"/>
      <c r="J45" s="579"/>
      <c r="K45" s="36">
        <f t="shared" si="1"/>
        <v>33</v>
      </c>
    </row>
    <row r="46" spans="1:11" x14ac:dyDescent="0.35">
      <c r="A46" s="36">
        <f t="shared" si="0"/>
        <v>34</v>
      </c>
      <c r="B46" s="734" t="s">
        <v>600</v>
      </c>
      <c r="C46" s="30">
        <v>0</v>
      </c>
      <c r="D46" s="35"/>
      <c r="E46" s="30">
        <v>0</v>
      </c>
      <c r="F46" s="592"/>
      <c r="G46" s="30">
        <v>0</v>
      </c>
      <c r="H46" s="35"/>
      <c r="I46" s="705">
        <f>SUM(C46:G46)</f>
        <v>0</v>
      </c>
      <c r="J46" s="729" t="s">
        <v>663</v>
      </c>
      <c r="K46" s="36">
        <f t="shared" si="1"/>
        <v>34</v>
      </c>
    </row>
    <row r="47" spans="1:11" x14ac:dyDescent="0.35">
      <c r="B47" s="53"/>
      <c r="C47" s="592"/>
      <c r="D47" s="35"/>
      <c r="E47" s="592"/>
      <c r="F47" s="592"/>
      <c r="G47" s="592"/>
      <c r="H47" s="35"/>
      <c r="I47" s="592"/>
      <c r="J47" s="579"/>
    </row>
    <row r="49" spans="1:2" ht="18" x14ac:dyDescent="0.35">
      <c r="A49" s="735"/>
      <c r="B49" s="734"/>
    </row>
  </sheetData>
  <mergeCells count="5">
    <mergeCell ref="B3:J3"/>
    <mergeCell ref="B4:J4"/>
    <mergeCell ref="B5:J5"/>
    <mergeCell ref="B6:J6"/>
    <mergeCell ref="B7:J7"/>
  </mergeCells>
  <printOptions horizontalCentered="1"/>
  <pageMargins left="0.25" right="0.25" top="0.5" bottom="0.5" header="0.35" footer="0.25"/>
  <pageSetup scale="62" orientation="landscape" r:id="rId1"/>
  <headerFooter scaleWithDoc="0" alignWithMargins="0">
    <oddHeader>&amp;C&amp;"Times New Roman,Bold"&amp;8AS FILED</oddHeader>
    <oddFooter>&amp;CPage 9.2A&amp;R&amp;F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752D-B706-4365-B602-953116429826}">
  <sheetPr>
    <pageSetUpPr fitToPage="1"/>
  </sheetPr>
  <dimension ref="A1:N49"/>
  <sheetViews>
    <sheetView zoomScale="80" zoomScaleNormal="80" workbookViewId="0"/>
  </sheetViews>
  <sheetFormatPr defaultColWidth="8.81640625" defaultRowHeight="15.5" x14ac:dyDescent="0.35"/>
  <cols>
    <col min="1" max="1" width="5.81640625" style="36" customWidth="1"/>
    <col min="2" max="2" width="62.81640625" style="37" bestFit="1" customWidth="1"/>
    <col min="3" max="3" width="16.81640625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16.81640625" style="37" customWidth="1"/>
    <col min="8" max="8" width="1.54296875" style="37" customWidth="1"/>
    <col min="9" max="9" width="23.453125" style="37" bestFit="1" customWidth="1"/>
    <col min="10" max="10" width="2.1796875" style="37" bestFit="1" customWidth="1"/>
    <col min="11" max="11" width="62.54296875" style="37" customWidth="1"/>
    <col min="12" max="12" width="5.1796875" style="36" customWidth="1"/>
    <col min="13" max="13" width="8.81640625" style="37"/>
    <col min="14" max="14" width="11.1796875" style="37" bestFit="1" customWidth="1"/>
    <col min="15" max="16384" width="8.81640625" style="37"/>
  </cols>
  <sheetData>
    <row r="1" spans="1:12" x14ac:dyDescent="0.35">
      <c r="A1" s="720"/>
    </row>
    <row r="2" spans="1:12" x14ac:dyDescent="0.35">
      <c r="B2" s="863" t="s">
        <v>20</v>
      </c>
      <c r="C2" s="863"/>
      <c r="D2" s="863"/>
      <c r="E2" s="863"/>
      <c r="F2" s="863"/>
      <c r="G2" s="863"/>
      <c r="H2" s="863"/>
      <c r="I2" s="863"/>
      <c r="J2" s="863"/>
      <c r="K2" s="863"/>
    </row>
    <row r="3" spans="1:12" x14ac:dyDescent="0.35">
      <c r="B3" s="863" t="s">
        <v>605</v>
      </c>
      <c r="C3" s="863"/>
      <c r="D3" s="863"/>
      <c r="E3" s="863"/>
      <c r="F3" s="863"/>
      <c r="G3" s="863"/>
      <c r="H3" s="863"/>
      <c r="I3" s="863"/>
      <c r="J3" s="863"/>
      <c r="K3" s="863"/>
    </row>
    <row r="4" spans="1:12" x14ac:dyDescent="0.35">
      <c r="B4" s="863" t="s">
        <v>606</v>
      </c>
      <c r="C4" s="863"/>
      <c r="D4" s="863"/>
      <c r="E4" s="863"/>
      <c r="F4" s="863"/>
      <c r="G4" s="863"/>
      <c r="H4" s="863"/>
      <c r="I4" s="863"/>
      <c r="J4" s="863"/>
      <c r="K4" s="863"/>
    </row>
    <row r="5" spans="1:12" x14ac:dyDescent="0.35">
      <c r="B5" s="863" t="s">
        <v>664</v>
      </c>
      <c r="C5" s="863"/>
      <c r="D5" s="863"/>
      <c r="E5" s="863"/>
      <c r="F5" s="863"/>
      <c r="G5" s="863"/>
      <c r="H5" s="863"/>
      <c r="I5" s="863"/>
      <c r="J5" s="863"/>
      <c r="K5" s="863"/>
    </row>
    <row r="6" spans="1:12" ht="15.75" customHeight="1" x14ac:dyDescent="0.35">
      <c r="B6" s="865" t="s">
        <v>4</v>
      </c>
      <c r="C6" s="865"/>
      <c r="D6" s="865"/>
      <c r="E6" s="865"/>
      <c r="F6" s="865"/>
      <c r="G6" s="865"/>
      <c r="H6" s="865"/>
      <c r="I6" s="865"/>
      <c r="J6" s="865"/>
      <c r="K6" s="865"/>
    </row>
    <row r="8" spans="1:12" x14ac:dyDescent="0.35">
      <c r="B8" s="747"/>
      <c r="C8" s="746" t="s">
        <v>293</v>
      </c>
      <c r="D8" s="746"/>
      <c r="E8" s="746" t="s">
        <v>294</v>
      </c>
      <c r="F8" s="746"/>
      <c r="G8" s="746" t="s">
        <v>451</v>
      </c>
      <c r="H8" s="746"/>
      <c r="I8" s="746" t="s">
        <v>607</v>
      </c>
      <c r="J8" s="746"/>
      <c r="K8" s="746"/>
    </row>
    <row r="9" spans="1:12" x14ac:dyDescent="0.35">
      <c r="A9" s="36" t="s">
        <v>5</v>
      </c>
      <c r="B9" s="747"/>
      <c r="C9" s="746" t="s">
        <v>608</v>
      </c>
      <c r="D9" s="746"/>
      <c r="E9" s="746" t="s">
        <v>609</v>
      </c>
      <c r="F9" s="746"/>
      <c r="G9" s="746" t="s">
        <v>609</v>
      </c>
      <c r="H9" s="746"/>
      <c r="I9" s="746"/>
      <c r="J9" s="746"/>
      <c r="K9" s="746"/>
      <c r="L9" s="36" t="s">
        <v>5</v>
      </c>
    </row>
    <row r="10" spans="1:12" x14ac:dyDescent="0.35">
      <c r="A10" s="36" t="s">
        <v>6</v>
      </c>
      <c r="B10" s="721" t="s">
        <v>7</v>
      </c>
      <c r="C10" s="722" t="s">
        <v>610</v>
      </c>
      <c r="D10" s="722"/>
      <c r="E10" s="722" t="s">
        <v>611</v>
      </c>
      <c r="F10" s="722"/>
      <c r="G10" s="722" t="s">
        <v>612</v>
      </c>
      <c r="H10" s="722"/>
      <c r="I10" s="721" t="s">
        <v>299</v>
      </c>
      <c r="J10" s="721"/>
      <c r="K10" s="721" t="s">
        <v>9</v>
      </c>
      <c r="L10" s="36" t="s">
        <v>6</v>
      </c>
    </row>
    <row r="11" spans="1:12" x14ac:dyDescent="0.35">
      <c r="B11" s="747"/>
      <c r="C11" s="723"/>
      <c r="D11" s="723"/>
      <c r="E11" s="723"/>
      <c r="F11" s="723"/>
      <c r="G11" s="723"/>
      <c r="H11" s="723"/>
      <c r="I11" s="48"/>
      <c r="J11" s="48"/>
      <c r="K11" s="48"/>
    </row>
    <row r="12" spans="1:12" x14ac:dyDescent="0.35">
      <c r="A12" s="36">
        <v>1</v>
      </c>
      <c r="B12" s="43" t="s">
        <v>613</v>
      </c>
      <c r="C12" s="724"/>
      <c r="D12" s="724"/>
      <c r="E12" s="724"/>
      <c r="F12" s="724"/>
      <c r="G12" s="724"/>
      <c r="H12" s="724"/>
      <c r="I12" s="48"/>
      <c r="J12" s="48"/>
      <c r="K12" s="48"/>
      <c r="L12" s="36">
        <f>A12</f>
        <v>1</v>
      </c>
    </row>
    <row r="13" spans="1:12" x14ac:dyDescent="0.35">
      <c r="A13" s="36">
        <f>A12+1</f>
        <v>2</v>
      </c>
      <c r="B13" s="43" t="s">
        <v>614</v>
      </c>
      <c r="C13" s="60">
        <v>1631.0041476828096</v>
      </c>
      <c r="D13" s="60"/>
      <c r="E13" s="60">
        <v>0</v>
      </c>
      <c r="F13" s="60"/>
      <c r="G13" s="60">
        <v>214.49058265600002</v>
      </c>
      <c r="H13" s="725"/>
      <c r="I13" s="705">
        <f>SUM(C13:G13)</f>
        <v>1845.4947303388096</v>
      </c>
      <c r="J13" s="705"/>
      <c r="K13" s="645" t="s">
        <v>665</v>
      </c>
      <c r="L13" s="36">
        <f>L12+1</f>
        <v>2</v>
      </c>
    </row>
    <row r="14" spans="1:12" x14ac:dyDescent="0.35">
      <c r="A14" s="36">
        <f t="shared" ref="A14:A45" si="0">A13+1</f>
        <v>3</v>
      </c>
      <c r="B14" s="43" t="s">
        <v>615</v>
      </c>
      <c r="C14" s="116">
        <v>228.70718375781695</v>
      </c>
      <c r="D14" s="116"/>
      <c r="E14" s="116">
        <v>0</v>
      </c>
      <c r="F14" s="116"/>
      <c r="G14" s="116">
        <v>181.15539416209805</v>
      </c>
      <c r="H14" s="116"/>
      <c r="I14" s="35">
        <f>SUM(C14:G14)</f>
        <v>409.862577919915</v>
      </c>
      <c r="J14" s="35"/>
      <c r="K14" s="645" t="s">
        <v>665</v>
      </c>
      <c r="L14" s="36">
        <f t="shared" ref="L14:L45" si="1">L13+1</f>
        <v>3</v>
      </c>
    </row>
    <row r="15" spans="1:12" x14ac:dyDescent="0.35">
      <c r="A15" s="36">
        <f t="shared" si="0"/>
        <v>4</v>
      </c>
      <c r="B15" s="43" t="s">
        <v>616</v>
      </c>
      <c r="C15" s="116">
        <v>57302.915114485193</v>
      </c>
      <c r="D15" s="116"/>
      <c r="E15" s="116">
        <v>106710.32358551471</v>
      </c>
      <c r="F15" s="116"/>
      <c r="G15" s="116">
        <v>0</v>
      </c>
      <c r="H15" s="116"/>
      <c r="I15" s="35">
        <f>SUM(C15:G15)</f>
        <v>164013.2386999999</v>
      </c>
      <c r="J15" s="35"/>
      <c r="K15" s="645" t="s">
        <v>665</v>
      </c>
      <c r="L15" s="36">
        <f t="shared" si="1"/>
        <v>4</v>
      </c>
    </row>
    <row r="16" spans="1:12" ht="16" thickBot="1" x14ac:dyDescent="0.4">
      <c r="A16" s="36">
        <f t="shared" si="0"/>
        <v>5</v>
      </c>
      <c r="B16" s="53" t="s">
        <v>617</v>
      </c>
      <c r="C16" s="62">
        <f>SUM(C13:C15)</f>
        <v>59162.626445925816</v>
      </c>
      <c r="D16" s="35"/>
      <c r="E16" s="62">
        <f>SUM(E13:E15)</f>
        <v>106710.32358551471</v>
      </c>
      <c r="F16" s="95"/>
      <c r="G16" s="62">
        <f>SUM(G13:G15)</f>
        <v>395.64597681809806</v>
      </c>
      <c r="H16" s="35"/>
      <c r="I16" s="62">
        <f>SUM(I13:I15)</f>
        <v>166268.59600825864</v>
      </c>
      <c r="J16" s="592"/>
      <c r="K16" s="579" t="str">
        <f>"Sum Lines "&amp;A13&amp;" thru "&amp;A15</f>
        <v>Sum Lines 2 thru 4</v>
      </c>
      <c r="L16" s="36">
        <f t="shared" si="1"/>
        <v>5</v>
      </c>
    </row>
    <row r="17" spans="1:14" ht="16" thickTop="1" x14ac:dyDescent="0.35">
      <c r="A17" s="36">
        <f t="shared" si="0"/>
        <v>6</v>
      </c>
      <c r="C17" s="727"/>
      <c r="D17" s="727"/>
      <c r="E17" s="727"/>
      <c r="F17" s="727"/>
      <c r="G17" s="727"/>
      <c r="H17" s="727"/>
      <c r="I17" s="727"/>
      <c r="J17" s="727"/>
      <c r="K17" s="727"/>
      <c r="L17" s="36">
        <f t="shared" si="1"/>
        <v>6</v>
      </c>
    </row>
    <row r="18" spans="1:14" x14ac:dyDescent="0.35">
      <c r="A18" s="36">
        <f t="shared" si="0"/>
        <v>7</v>
      </c>
      <c r="B18" s="43" t="s">
        <v>618</v>
      </c>
      <c r="C18" s="724"/>
      <c r="D18" s="724"/>
      <c r="E18" s="724"/>
      <c r="F18" s="724"/>
      <c r="G18" s="724"/>
      <c r="H18" s="724"/>
      <c r="I18" s="48"/>
      <c r="J18" s="48"/>
      <c r="K18" s="48"/>
      <c r="L18" s="36">
        <f t="shared" si="1"/>
        <v>7</v>
      </c>
    </row>
    <row r="19" spans="1:14" x14ac:dyDescent="0.35">
      <c r="A19" s="36">
        <f t="shared" si="0"/>
        <v>8</v>
      </c>
      <c r="B19" s="728" t="s">
        <v>619</v>
      </c>
      <c r="C19" s="751">
        <v>-748685.48836096679</v>
      </c>
      <c r="D19" s="25" t="s">
        <v>34</v>
      </c>
      <c r="E19" s="751">
        <v>-374936.34452875692</v>
      </c>
      <c r="F19" s="25" t="s">
        <v>34</v>
      </c>
      <c r="G19" s="705">
        <v>-6419.03</v>
      </c>
      <c r="H19" s="705"/>
      <c r="I19" s="751">
        <f>SUM(C19:G19)</f>
        <v>-1130040.8628897236</v>
      </c>
      <c r="J19" s="25" t="s">
        <v>34</v>
      </c>
      <c r="K19" s="645" t="s">
        <v>645</v>
      </c>
      <c r="L19" s="36">
        <f t="shared" si="1"/>
        <v>8</v>
      </c>
      <c r="N19" s="50"/>
    </row>
    <row r="20" spans="1:14" x14ac:dyDescent="0.35">
      <c r="A20" s="36">
        <f t="shared" si="0"/>
        <v>9</v>
      </c>
      <c r="C20" s="35">
        <v>0</v>
      </c>
      <c r="D20" s="35"/>
      <c r="E20" s="35">
        <v>0</v>
      </c>
      <c r="F20" s="35"/>
      <c r="G20" s="35">
        <v>0</v>
      </c>
      <c r="H20" s="35"/>
      <c r="I20" s="35">
        <f>SUM(C20:G20)</f>
        <v>0</v>
      </c>
      <c r="J20" s="35"/>
      <c r="K20" s="35"/>
      <c r="L20" s="36">
        <f t="shared" si="1"/>
        <v>9</v>
      </c>
    </row>
    <row r="21" spans="1:14" ht="16" thickBot="1" x14ac:dyDescent="0.4">
      <c r="A21" s="36">
        <f t="shared" si="0"/>
        <v>10</v>
      </c>
      <c r="B21" s="53" t="s">
        <v>620</v>
      </c>
      <c r="C21" s="726">
        <f>SUM(C19:C20)</f>
        <v>-748685.48836096679</v>
      </c>
      <c r="D21" s="25" t="s">
        <v>34</v>
      </c>
      <c r="E21" s="726">
        <f>SUM(E19:E20)</f>
        <v>-374936.34452875692</v>
      </c>
      <c r="F21" s="25" t="s">
        <v>34</v>
      </c>
      <c r="G21" s="726">
        <f>SUM(G19:G20)</f>
        <v>-6419.03</v>
      </c>
      <c r="H21" s="35"/>
      <c r="I21" s="726">
        <f>SUM(I19:I20)</f>
        <v>-1130040.8628897236</v>
      </c>
      <c r="J21" s="25" t="s">
        <v>34</v>
      </c>
      <c r="K21" s="579" t="str">
        <f>"Sum Lines "&amp;A19&amp;" thru "&amp;A20</f>
        <v>Sum Lines 8 thru 9</v>
      </c>
      <c r="L21" s="36">
        <f t="shared" si="1"/>
        <v>10</v>
      </c>
      <c r="N21" s="50"/>
    </row>
    <row r="22" spans="1:14" ht="16" thickTop="1" x14ac:dyDescent="0.35">
      <c r="A22" s="36">
        <f t="shared" si="0"/>
        <v>11</v>
      </c>
      <c r="L22" s="36">
        <f t="shared" si="1"/>
        <v>11</v>
      </c>
    </row>
    <row r="23" spans="1:14" x14ac:dyDescent="0.35">
      <c r="A23" s="36">
        <f t="shared" si="0"/>
        <v>12</v>
      </c>
      <c r="B23" s="43" t="s">
        <v>621</v>
      </c>
      <c r="C23" s="724"/>
      <c r="D23" s="724"/>
      <c r="E23" s="724"/>
      <c r="F23" s="724"/>
      <c r="G23" s="724"/>
      <c r="H23" s="724"/>
      <c r="I23" s="48"/>
      <c r="J23" s="48"/>
      <c r="K23" s="36"/>
      <c r="L23" s="36">
        <f t="shared" si="1"/>
        <v>12</v>
      </c>
    </row>
    <row r="24" spans="1:14" x14ac:dyDescent="0.35">
      <c r="A24" s="36">
        <f t="shared" si="0"/>
        <v>13</v>
      </c>
      <c r="B24" s="43" t="s">
        <v>622</v>
      </c>
      <c r="C24" s="60">
        <v>-7906.4293200000075</v>
      </c>
      <c r="D24" s="60"/>
      <c r="E24" s="60">
        <v>0</v>
      </c>
      <c r="F24" s="60"/>
      <c r="G24" s="60">
        <v>0</v>
      </c>
      <c r="H24" s="725"/>
      <c r="I24" s="705">
        <f>SUM(C24:G24)</f>
        <v>-7906.4293200000075</v>
      </c>
      <c r="J24" s="705"/>
      <c r="K24" s="645" t="s">
        <v>666</v>
      </c>
      <c r="L24" s="36">
        <f t="shared" si="1"/>
        <v>13</v>
      </c>
    </row>
    <row r="25" spans="1:14" x14ac:dyDescent="0.35">
      <c r="A25" s="36">
        <f t="shared" si="0"/>
        <v>14</v>
      </c>
      <c r="B25" s="43"/>
      <c r="C25" s="35">
        <v>0</v>
      </c>
      <c r="D25" s="35"/>
      <c r="E25" s="35">
        <v>0</v>
      </c>
      <c r="F25" s="35"/>
      <c r="G25" s="35">
        <v>0</v>
      </c>
      <c r="H25" s="35"/>
      <c r="I25" s="35">
        <f>SUM(C25:G25)</f>
        <v>0</v>
      </c>
      <c r="J25" s="35"/>
      <c r="K25" s="35"/>
      <c r="L25" s="36">
        <f t="shared" si="1"/>
        <v>14</v>
      </c>
    </row>
    <row r="26" spans="1:14" ht="16" thickBot="1" x14ac:dyDescent="0.4">
      <c r="A26" s="36">
        <f t="shared" si="0"/>
        <v>15</v>
      </c>
      <c r="B26" s="53" t="s">
        <v>623</v>
      </c>
      <c r="C26" s="62">
        <f>SUM(C24:C25)</f>
        <v>-7906.4293200000075</v>
      </c>
      <c r="D26" s="35"/>
      <c r="E26" s="62">
        <f>SUM(E24:E25)</f>
        <v>0</v>
      </c>
      <c r="F26" s="95"/>
      <c r="G26" s="62">
        <f>SUM(G24:G25)</f>
        <v>0</v>
      </c>
      <c r="H26" s="35"/>
      <c r="I26" s="62">
        <f>SUM(I24:I25)</f>
        <v>-7906.4293200000075</v>
      </c>
      <c r="J26" s="592"/>
      <c r="K26" s="579" t="str">
        <f>"Sum Lines "&amp;A24&amp;" thru "&amp;A25</f>
        <v>Sum Lines 13 thru 14</v>
      </c>
      <c r="L26" s="36">
        <f t="shared" si="1"/>
        <v>15</v>
      </c>
    </row>
    <row r="27" spans="1:14" ht="16.5" thickTop="1" thickBot="1" x14ac:dyDescent="0.4">
      <c r="A27" s="36">
        <f t="shared" si="0"/>
        <v>16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36">
        <f t="shared" si="1"/>
        <v>16</v>
      </c>
    </row>
    <row r="28" spans="1:14" x14ac:dyDescent="0.35">
      <c r="A28" s="36">
        <f t="shared" si="0"/>
        <v>17</v>
      </c>
      <c r="L28" s="36">
        <f t="shared" si="1"/>
        <v>17</v>
      </c>
    </row>
    <row r="29" spans="1:14" x14ac:dyDescent="0.35">
      <c r="A29" s="36">
        <f t="shared" si="0"/>
        <v>18</v>
      </c>
      <c r="B29" s="43" t="s">
        <v>624</v>
      </c>
      <c r="C29" s="724"/>
      <c r="D29" s="724"/>
      <c r="E29" s="724"/>
      <c r="F29" s="724"/>
      <c r="G29" s="724"/>
      <c r="H29" s="724"/>
      <c r="I29" s="48"/>
      <c r="J29" s="48"/>
      <c r="K29" s="48"/>
      <c r="L29" s="36">
        <f t="shared" si="1"/>
        <v>18</v>
      </c>
    </row>
    <row r="30" spans="1:14" x14ac:dyDescent="0.35">
      <c r="A30" s="36">
        <f t="shared" si="0"/>
        <v>19</v>
      </c>
      <c r="B30" s="43" t="s">
        <v>616</v>
      </c>
      <c r="C30" s="705">
        <v>2953.1413538148122</v>
      </c>
      <c r="D30" s="705"/>
      <c r="E30" s="705">
        <v>5499.3828643751503</v>
      </c>
      <c r="F30" s="705"/>
      <c r="G30" s="705">
        <v>0</v>
      </c>
      <c r="H30" s="60"/>
      <c r="I30" s="705">
        <f>SUM(C30:G30)</f>
        <v>8452.524218189963</v>
      </c>
      <c r="J30" s="705"/>
      <c r="K30" s="645" t="s">
        <v>665</v>
      </c>
      <c r="L30" s="36">
        <f t="shared" si="1"/>
        <v>19</v>
      </c>
    </row>
    <row r="31" spans="1:14" x14ac:dyDescent="0.35">
      <c r="A31" s="36">
        <f t="shared" si="0"/>
        <v>20</v>
      </c>
      <c r="C31" s="35">
        <v>0</v>
      </c>
      <c r="D31" s="35"/>
      <c r="E31" s="35">
        <v>0</v>
      </c>
      <c r="F31" s="35"/>
      <c r="G31" s="35">
        <v>0</v>
      </c>
      <c r="H31" s="35"/>
      <c r="I31" s="35">
        <f>SUM(C31:G31)</f>
        <v>0</v>
      </c>
      <c r="J31" s="35"/>
      <c r="K31" s="35"/>
      <c r="L31" s="36">
        <f t="shared" si="1"/>
        <v>20</v>
      </c>
    </row>
    <row r="32" spans="1:14" ht="16" thickBot="1" x14ac:dyDescent="0.4">
      <c r="A32" s="36">
        <f t="shared" si="0"/>
        <v>21</v>
      </c>
      <c r="B32" s="53" t="s">
        <v>617</v>
      </c>
      <c r="C32" s="62">
        <f>SUM(C30:C31)</f>
        <v>2953.1413538148122</v>
      </c>
      <c r="D32" s="35"/>
      <c r="E32" s="62">
        <f>SUM(E30:E31)</f>
        <v>5499.3828643751503</v>
      </c>
      <c r="F32" s="95"/>
      <c r="G32" s="62">
        <f>SUM(G30:G31)</f>
        <v>0</v>
      </c>
      <c r="H32" s="35"/>
      <c r="I32" s="62">
        <f>SUM(I30:I31)</f>
        <v>8452.524218189963</v>
      </c>
      <c r="J32" s="592"/>
      <c r="K32" s="579" t="str">
        <f>"Sum Lines "&amp;A30&amp;" thru "&amp;A31</f>
        <v>Sum Lines 19 thru 20</v>
      </c>
      <c r="L32" s="36">
        <f t="shared" si="1"/>
        <v>21</v>
      </c>
    </row>
    <row r="33" spans="1:12" ht="16" thickTop="1" x14ac:dyDescent="0.35">
      <c r="A33" s="36">
        <f t="shared" si="0"/>
        <v>22</v>
      </c>
      <c r="C33" s="727"/>
      <c r="D33" s="727"/>
      <c r="E33" s="727"/>
      <c r="F33" s="727"/>
      <c r="G33" s="727"/>
      <c r="H33" s="727"/>
      <c r="I33" s="727"/>
      <c r="J33" s="727"/>
      <c r="K33" s="727"/>
      <c r="L33" s="36">
        <f t="shared" si="1"/>
        <v>22</v>
      </c>
    </row>
    <row r="34" spans="1:12" x14ac:dyDescent="0.35">
      <c r="A34" s="36">
        <f t="shared" si="0"/>
        <v>23</v>
      </c>
      <c r="B34" s="43" t="s">
        <v>625</v>
      </c>
      <c r="C34" s="724"/>
      <c r="D34" s="724"/>
      <c r="E34" s="724"/>
      <c r="F34" s="724"/>
      <c r="G34" s="724"/>
      <c r="H34" s="724"/>
      <c r="I34" s="48"/>
      <c r="J34" s="48"/>
      <c r="K34" s="48"/>
      <c r="L34" s="36">
        <f t="shared" si="1"/>
        <v>23</v>
      </c>
    </row>
    <row r="35" spans="1:12" x14ac:dyDescent="0.35">
      <c r="A35" s="36">
        <f t="shared" si="0"/>
        <v>24</v>
      </c>
      <c r="B35" s="728" t="s">
        <v>619</v>
      </c>
      <c r="C35" s="705">
        <v>-12022.714592622564</v>
      </c>
      <c r="D35" s="705"/>
      <c r="E35" s="705">
        <v>-8318.0119591836756</v>
      </c>
      <c r="F35" s="705"/>
      <c r="G35" s="705">
        <v>0</v>
      </c>
      <c r="H35" s="705"/>
      <c r="I35" s="705">
        <f>SUM(C35:G35)</f>
        <v>-20340.726551806241</v>
      </c>
      <c r="J35" s="705"/>
      <c r="K35" s="645" t="s">
        <v>645</v>
      </c>
      <c r="L35" s="36">
        <f t="shared" si="1"/>
        <v>24</v>
      </c>
    </row>
    <row r="36" spans="1:12" x14ac:dyDescent="0.35">
      <c r="A36" s="36">
        <f t="shared" si="0"/>
        <v>25</v>
      </c>
      <c r="C36" s="35">
        <v>0</v>
      </c>
      <c r="D36" s="35"/>
      <c r="E36" s="35">
        <v>0</v>
      </c>
      <c r="F36" s="35"/>
      <c r="G36" s="35">
        <v>0</v>
      </c>
      <c r="H36" s="35"/>
      <c r="I36" s="35">
        <f>SUM(C36:G36)</f>
        <v>0</v>
      </c>
      <c r="J36" s="35"/>
      <c r="K36" s="35"/>
      <c r="L36" s="36">
        <f t="shared" si="1"/>
        <v>25</v>
      </c>
    </row>
    <row r="37" spans="1:12" ht="16" thickBot="1" x14ac:dyDescent="0.4">
      <c r="A37" s="36">
        <f t="shared" si="0"/>
        <v>26</v>
      </c>
      <c r="B37" s="53" t="s">
        <v>620</v>
      </c>
      <c r="C37" s="62">
        <f>SUM(C35:C36)</f>
        <v>-12022.714592622564</v>
      </c>
      <c r="D37" s="35"/>
      <c r="E37" s="62">
        <f>SUM(E35:E36)</f>
        <v>-8318.0119591836756</v>
      </c>
      <c r="F37" s="95"/>
      <c r="G37" s="62">
        <f>SUM(G35:G36)</f>
        <v>0</v>
      </c>
      <c r="H37" s="35"/>
      <c r="I37" s="62">
        <f>SUM(I35:I36)</f>
        <v>-20340.726551806241</v>
      </c>
      <c r="J37" s="592"/>
      <c r="K37" s="579" t="str">
        <f>"Sum Lines "&amp;A35&amp;" thru "&amp;A36</f>
        <v>Sum Lines 24 thru 25</v>
      </c>
      <c r="L37" s="36">
        <f t="shared" si="1"/>
        <v>26</v>
      </c>
    </row>
    <row r="38" spans="1:12" ht="16" thickTop="1" x14ac:dyDescent="0.35">
      <c r="A38" s="36">
        <f t="shared" si="0"/>
        <v>27</v>
      </c>
      <c r="L38" s="36">
        <f t="shared" si="1"/>
        <v>27</v>
      </c>
    </row>
    <row r="39" spans="1:12" x14ac:dyDescent="0.35">
      <c r="A39" s="36">
        <f t="shared" si="0"/>
        <v>28</v>
      </c>
      <c r="B39" s="43" t="s">
        <v>626</v>
      </c>
      <c r="C39" s="724"/>
      <c r="D39" s="724"/>
      <c r="E39" s="724"/>
      <c r="F39" s="724"/>
      <c r="G39" s="724"/>
      <c r="H39" s="724"/>
      <c r="I39" s="48"/>
      <c r="J39" s="48"/>
      <c r="K39" s="36"/>
      <c r="L39" s="36">
        <f t="shared" si="1"/>
        <v>28</v>
      </c>
    </row>
    <row r="40" spans="1:12" x14ac:dyDescent="0.35">
      <c r="A40" s="36">
        <f t="shared" si="0"/>
        <v>29</v>
      </c>
      <c r="B40" s="43"/>
      <c r="C40" s="705">
        <v>0</v>
      </c>
      <c r="D40" s="705"/>
      <c r="E40" s="705">
        <v>0</v>
      </c>
      <c r="F40" s="705"/>
      <c r="G40" s="705">
        <v>0</v>
      </c>
      <c r="H40" s="705"/>
      <c r="I40" s="705">
        <f>SUM(C40:G40)</f>
        <v>0</v>
      </c>
      <c r="J40" s="705"/>
      <c r="K40" s="729" t="s">
        <v>245</v>
      </c>
      <c r="L40" s="36">
        <f t="shared" si="1"/>
        <v>29</v>
      </c>
    </row>
    <row r="41" spans="1:12" x14ac:dyDescent="0.35">
      <c r="A41" s="36">
        <f t="shared" si="0"/>
        <v>30</v>
      </c>
      <c r="B41" s="43"/>
      <c r="C41" s="35">
        <v>0</v>
      </c>
      <c r="D41" s="35"/>
      <c r="E41" s="35">
        <v>0</v>
      </c>
      <c r="F41" s="35"/>
      <c r="G41" s="35">
        <v>0</v>
      </c>
      <c r="H41" s="35"/>
      <c r="I41" s="35">
        <f>SUM(C41:G41)</f>
        <v>0</v>
      </c>
      <c r="J41" s="35"/>
      <c r="K41" s="35"/>
      <c r="L41" s="36">
        <f t="shared" si="1"/>
        <v>30</v>
      </c>
    </row>
    <row r="42" spans="1:12" ht="16" thickBot="1" x14ac:dyDescent="0.4">
      <c r="A42" s="36">
        <f t="shared" si="0"/>
        <v>31</v>
      </c>
      <c r="B42" s="53" t="s">
        <v>623</v>
      </c>
      <c r="C42" s="726">
        <f>SUM(C40:C41)</f>
        <v>0</v>
      </c>
      <c r="D42" s="35"/>
      <c r="E42" s="726">
        <f>SUM(E40:E41)</f>
        <v>0</v>
      </c>
      <c r="F42" s="592"/>
      <c r="G42" s="726">
        <f>SUM(G40:G41)</f>
        <v>0</v>
      </c>
      <c r="H42" s="35"/>
      <c r="I42" s="726">
        <f>SUM(I40:I41)</f>
        <v>0</v>
      </c>
      <c r="J42" s="592"/>
      <c r="K42" s="579" t="str">
        <f>"Sum Lines "&amp;A40&amp;" thru "&amp;A41</f>
        <v>Sum Lines 29 thru 30</v>
      </c>
      <c r="L42" s="36">
        <f t="shared" si="1"/>
        <v>31</v>
      </c>
    </row>
    <row r="43" spans="1:12" ht="16.5" thickTop="1" thickBot="1" x14ac:dyDescent="0.4">
      <c r="A43" s="36">
        <f t="shared" si="0"/>
        <v>32</v>
      </c>
      <c r="B43" s="730"/>
      <c r="C43" s="731"/>
      <c r="D43" s="732"/>
      <c r="E43" s="731"/>
      <c r="F43" s="731"/>
      <c r="G43" s="731"/>
      <c r="H43" s="732"/>
      <c r="I43" s="731"/>
      <c r="J43" s="731"/>
      <c r="K43" s="733"/>
      <c r="L43" s="36">
        <f t="shared" si="1"/>
        <v>32</v>
      </c>
    </row>
    <row r="44" spans="1:12" x14ac:dyDescent="0.35">
      <c r="A44" s="36">
        <f t="shared" si="0"/>
        <v>33</v>
      </c>
      <c r="B44" s="53"/>
      <c r="C44" s="592"/>
      <c r="D44" s="35"/>
      <c r="E44" s="592"/>
      <c r="F44" s="592"/>
      <c r="G44" s="592"/>
      <c r="H44" s="35"/>
      <c r="I44" s="592"/>
      <c r="J44" s="592"/>
      <c r="K44" s="579"/>
      <c r="L44" s="36">
        <f t="shared" si="1"/>
        <v>33</v>
      </c>
    </row>
    <row r="45" spans="1:12" x14ac:dyDescent="0.35">
      <c r="A45" s="36">
        <f t="shared" si="0"/>
        <v>34</v>
      </c>
      <c r="B45" s="734" t="s">
        <v>600</v>
      </c>
      <c r="C45" s="30">
        <v>0</v>
      </c>
      <c r="D45" s="35"/>
      <c r="E45" s="30">
        <v>0</v>
      </c>
      <c r="F45" s="592"/>
      <c r="G45" s="30">
        <v>0</v>
      </c>
      <c r="H45" s="35"/>
      <c r="I45" s="705">
        <f>SUM(C45:G45)</f>
        <v>0</v>
      </c>
      <c r="J45" s="705"/>
      <c r="K45" s="729" t="s">
        <v>245</v>
      </c>
      <c r="L45" s="36">
        <f t="shared" si="1"/>
        <v>34</v>
      </c>
    </row>
    <row r="46" spans="1:12" x14ac:dyDescent="0.35">
      <c r="B46" s="53"/>
      <c r="C46" s="592"/>
      <c r="D46" s="35"/>
      <c r="E46" s="592"/>
      <c r="F46" s="592"/>
      <c r="G46" s="592"/>
      <c r="H46" s="35"/>
      <c r="I46" s="592"/>
      <c r="J46" s="592"/>
      <c r="K46" s="579"/>
    </row>
    <row r="48" spans="1:12" x14ac:dyDescent="0.35">
      <c r="A48" s="25" t="s">
        <v>34</v>
      </c>
      <c r="B48" s="23" t="s">
        <v>710</v>
      </c>
    </row>
    <row r="49" spans="1:2" x14ac:dyDescent="0.35">
      <c r="A49" s="25"/>
      <c r="B49" s="747" t="s">
        <v>711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61" orientation="landscape" r:id="rId1"/>
  <headerFooter scaleWithDoc="0" alignWithMargins="0">
    <oddHeader>&amp;C&amp;"Times New Roman,Bold"&amp;9REVISED</oddHeader>
    <oddFooter>&amp;CPage 9.3&amp;R&amp;F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C9A5-D9D0-4458-ADBC-BB8EDE5FA7D5}">
  <sheetPr>
    <pageSetUpPr fitToPage="1"/>
  </sheetPr>
  <dimension ref="A1:K49"/>
  <sheetViews>
    <sheetView zoomScale="80" zoomScaleNormal="80" workbookViewId="0"/>
  </sheetViews>
  <sheetFormatPr defaultColWidth="8.81640625" defaultRowHeight="15.5" x14ac:dyDescent="0.35"/>
  <cols>
    <col min="1" max="1" width="5.81640625" style="36" customWidth="1"/>
    <col min="2" max="2" width="62.81640625" style="37" bestFit="1" customWidth="1"/>
    <col min="3" max="3" width="16.81640625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16.81640625" style="37" customWidth="1"/>
    <col min="8" max="8" width="1.54296875" style="37" customWidth="1"/>
    <col min="9" max="9" width="23.453125" style="37" bestFit="1" customWidth="1"/>
    <col min="10" max="10" width="62.54296875" style="37" customWidth="1"/>
    <col min="11" max="11" width="5.1796875" style="36" customWidth="1"/>
    <col min="12" max="16384" width="8.81640625" style="37"/>
  </cols>
  <sheetData>
    <row r="1" spans="1:11" x14ac:dyDescent="0.35">
      <c r="A1" s="720" t="s">
        <v>650</v>
      </c>
    </row>
    <row r="2" spans="1:11" x14ac:dyDescent="0.35">
      <c r="A2" s="720"/>
    </row>
    <row r="3" spans="1:11" x14ac:dyDescent="0.35">
      <c r="B3" s="863" t="s">
        <v>20</v>
      </c>
      <c r="C3" s="863"/>
      <c r="D3" s="863"/>
      <c r="E3" s="863"/>
      <c r="F3" s="863"/>
      <c r="G3" s="863"/>
      <c r="H3" s="863"/>
      <c r="I3" s="863"/>
      <c r="J3" s="863"/>
    </row>
    <row r="4" spans="1:11" x14ac:dyDescent="0.35">
      <c r="B4" s="863" t="s">
        <v>605</v>
      </c>
      <c r="C4" s="863"/>
      <c r="D4" s="863"/>
      <c r="E4" s="863"/>
      <c r="F4" s="863"/>
      <c r="G4" s="863"/>
      <c r="H4" s="863"/>
      <c r="I4" s="863"/>
      <c r="J4" s="863"/>
    </row>
    <row r="5" spans="1:11" x14ac:dyDescent="0.35">
      <c r="B5" s="863" t="s">
        <v>606</v>
      </c>
      <c r="C5" s="863"/>
      <c r="D5" s="863"/>
      <c r="E5" s="863"/>
      <c r="F5" s="863"/>
      <c r="G5" s="863"/>
      <c r="H5" s="863"/>
      <c r="I5" s="863"/>
      <c r="J5" s="863"/>
    </row>
    <row r="6" spans="1:11" x14ac:dyDescent="0.35">
      <c r="B6" s="863" t="s">
        <v>664</v>
      </c>
      <c r="C6" s="863"/>
      <c r="D6" s="863"/>
      <c r="E6" s="863"/>
      <c r="F6" s="863"/>
      <c r="G6" s="863"/>
      <c r="H6" s="863"/>
      <c r="I6" s="863"/>
      <c r="J6" s="863"/>
    </row>
    <row r="7" spans="1:11" ht="15.75" customHeight="1" x14ac:dyDescent="0.35">
      <c r="B7" s="865" t="s">
        <v>4</v>
      </c>
      <c r="C7" s="865"/>
      <c r="D7" s="865"/>
      <c r="E7" s="865"/>
      <c r="F7" s="865"/>
      <c r="G7" s="865"/>
      <c r="H7" s="865"/>
      <c r="I7" s="865"/>
      <c r="J7" s="865"/>
    </row>
    <row r="9" spans="1:11" x14ac:dyDescent="0.35">
      <c r="B9" s="698"/>
      <c r="C9" s="697" t="s">
        <v>293</v>
      </c>
      <c r="D9" s="697"/>
      <c r="E9" s="697" t="s">
        <v>294</v>
      </c>
      <c r="F9" s="697"/>
      <c r="G9" s="697" t="s">
        <v>451</v>
      </c>
      <c r="H9" s="697"/>
      <c r="I9" s="697" t="s">
        <v>607</v>
      </c>
      <c r="J9" s="697"/>
    </row>
    <row r="10" spans="1:11" x14ac:dyDescent="0.35">
      <c r="A10" s="36" t="s">
        <v>5</v>
      </c>
      <c r="B10" s="698"/>
      <c r="C10" s="697" t="s">
        <v>608</v>
      </c>
      <c r="D10" s="697"/>
      <c r="E10" s="697" t="s">
        <v>609</v>
      </c>
      <c r="F10" s="697"/>
      <c r="G10" s="697" t="s">
        <v>609</v>
      </c>
      <c r="H10" s="697"/>
      <c r="I10" s="697"/>
      <c r="J10" s="697"/>
      <c r="K10" s="36" t="s">
        <v>5</v>
      </c>
    </row>
    <row r="11" spans="1:11" x14ac:dyDescent="0.35">
      <c r="A11" s="36" t="s">
        <v>6</v>
      </c>
      <c r="B11" s="721" t="s">
        <v>7</v>
      </c>
      <c r="C11" s="722" t="s">
        <v>610</v>
      </c>
      <c r="D11" s="722"/>
      <c r="E11" s="722" t="s">
        <v>611</v>
      </c>
      <c r="F11" s="722"/>
      <c r="G11" s="722" t="s">
        <v>612</v>
      </c>
      <c r="H11" s="722"/>
      <c r="I11" s="721" t="s">
        <v>299</v>
      </c>
      <c r="J11" s="721" t="s">
        <v>9</v>
      </c>
      <c r="K11" s="36" t="s">
        <v>6</v>
      </c>
    </row>
    <row r="12" spans="1:11" x14ac:dyDescent="0.35">
      <c r="B12" s="698"/>
      <c r="C12" s="723"/>
      <c r="D12" s="723"/>
      <c r="E12" s="723"/>
      <c r="F12" s="723"/>
      <c r="G12" s="723"/>
      <c r="H12" s="723"/>
      <c r="I12" s="48"/>
      <c r="J12" s="48"/>
    </row>
    <row r="13" spans="1:11" x14ac:dyDescent="0.35">
      <c r="A13" s="36">
        <v>1</v>
      </c>
      <c r="B13" s="43" t="s">
        <v>613</v>
      </c>
      <c r="C13" s="724"/>
      <c r="D13" s="724"/>
      <c r="E13" s="724"/>
      <c r="F13" s="724"/>
      <c r="G13" s="724"/>
      <c r="H13" s="724"/>
      <c r="I13" s="48"/>
      <c r="J13" s="48"/>
      <c r="K13" s="36">
        <f>A13</f>
        <v>1</v>
      </c>
    </row>
    <row r="14" spans="1:11" x14ac:dyDescent="0.35">
      <c r="A14" s="36">
        <f>A13+1</f>
        <v>2</v>
      </c>
      <c r="B14" s="43" t="s">
        <v>614</v>
      </c>
      <c r="C14" s="60">
        <v>1631.0041476828096</v>
      </c>
      <c r="D14" s="60"/>
      <c r="E14" s="60">
        <v>0</v>
      </c>
      <c r="F14" s="60"/>
      <c r="G14" s="60">
        <v>214.49058265600002</v>
      </c>
      <c r="H14" s="725"/>
      <c r="I14" s="705">
        <f>SUM(C14:G14)</f>
        <v>1845.4947303388096</v>
      </c>
      <c r="J14" s="645" t="s">
        <v>665</v>
      </c>
      <c r="K14" s="36">
        <f>K13+1</f>
        <v>2</v>
      </c>
    </row>
    <row r="15" spans="1:11" x14ac:dyDescent="0.35">
      <c r="A15" s="36">
        <f t="shared" ref="A15:A46" si="0">A14+1</f>
        <v>3</v>
      </c>
      <c r="B15" s="43" t="s">
        <v>615</v>
      </c>
      <c r="C15" s="116">
        <v>228.70718375781695</v>
      </c>
      <c r="D15" s="116"/>
      <c r="E15" s="116">
        <v>0</v>
      </c>
      <c r="F15" s="116"/>
      <c r="G15" s="116">
        <v>181.15539416209805</v>
      </c>
      <c r="H15" s="116"/>
      <c r="I15" s="35">
        <f>SUM(C15:G15)</f>
        <v>409.862577919915</v>
      </c>
      <c r="J15" s="645" t="s">
        <v>665</v>
      </c>
      <c r="K15" s="36">
        <f t="shared" ref="K15:K46" si="1">K14+1</f>
        <v>3</v>
      </c>
    </row>
    <row r="16" spans="1:11" x14ac:dyDescent="0.35">
      <c r="A16" s="36">
        <f t="shared" si="0"/>
        <v>4</v>
      </c>
      <c r="B16" s="43" t="s">
        <v>616</v>
      </c>
      <c r="C16" s="116">
        <v>57302.915114485193</v>
      </c>
      <c r="D16" s="116"/>
      <c r="E16" s="116">
        <v>106710.32358551471</v>
      </c>
      <c r="F16" s="116"/>
      <c r="G16" s="116">
        <v>0</v>
      </c>
      <c r="H16" s="116"/>
      <c r="I16" s="35">
        <f>SUM(C16:G16)</f>
        <v>164013.2386999999</v>
      </c>
      <c r="J16" s="645" t="s">
        <v>665</v>
      </c>
      <c r="K16" s="36">
        <f t="shared" si="1"/>
        <v>4</v>
      </c>
    </row>
    <row r="17" spans="1:11" ht="16" thickBot="1" x14ac:dyDescent="0.4">
      <c r="A17" s="36">
        <f t="shared" si="0"/>
        <v>5</v>
      </c>
      <c r="B17" s="53" t="s">
        <v>617</v>
      </c>
      <c r="C17" s="726">
        <f>SUM(C14:C16)</f>
        <v>59162.626445925816</v>
      </c>
      <c r="D17" s="35"/>
      <c r="E17" s="726">
        <f>SUM(E14:E16)</f>
        <v>106710.32358551471</v>
      </c>
      <c r="F17" s="592"/>
      <c r="G17" s="726">
        <f>SUM(G14:G16)</f>
        <v>395.64597681809806</v>
      </c>
      <c r="H17" s="35"/>
      <c r="I17" s="726">
        <f>SUM(I14:I16)</f>
        <v>166268.59600825864</v>
      </c>
      <c r="J17" s="579" t="str">
        <f>"Sum Lines "&amp;A14&amp;" thru "&amp;A16</f>
        <v>Sum Lines 2 thru 4</v>
      </c>
      <c r="K17" s="36">
        <f t="shared" si="1"/>
        <v>5</v>
      </c>
    </row>
    <row r="18" spans="1:11" ht="16" thickTop="1" x14ac:dyDescent="0.35">
      <c r="A18" s="36">
        <f t="shared" si="0"/>
        <v>6</v>
      </c>
      <c r="C18" s="727"/>
      <c r="D18" s="727"/>
      <c r="E18" s="727"/>
      <c r="F18" s="727"/>
      <c r="G18" s="727"/>
      <c r="H18" s="727"/>
      <c r="I18" s="727"/>
      <c r="J18" s="727"/>
      <c r="K18" s="36">
        <f t="shared" si="1"/>
        <v>6</v>
      </c>
    </row>
    <row r="19" spans="1:11" x14ac:dyDescent="0.35">
      <c r="A19" s="36">
        <f t="shared" si="0"/>
        <v>7</v>
      </c>
      <c r="B19" s="43" t="s">
        <v>618</v>
      </c>
      <c r="C19" s="724"/>
      <c r="D19" s="724"/>
      <c r="E19" s="724"/>
      <c r="F19" s="724"/>
      <c r="G19" s="724"/>
      <c r="H19" s="724"/>
      <c r="I19" s="48"/>
      <c r="J19" s="48"/>
      <c r="K19" s="36">
        <f t="shared" si="1"/>
        <v>7</v>
      </c>
    </row>
    <row r="20" spans="1:11" x14ac:dyDescent="0.35">
      <c r="A20" s="36">
        <f t="shared" si="0"/>
        <v>8</v>
      </c>
      <c r="B20" s="728" t="s">
        <v>619</v>
      </c>
      <c r="C20" s="705">
        <v>-732250.0203609668</v>
      </c>
      <c r="D20" s="705"/>
      <c r="E20" s="705">
        <v>-370202.22499999998</v>
      </c>
      <c r="F20" s="705"/>
      <c r="G20" s="705">
        <v>-6419.03</v>
      </c>
      <c r="H20" s="705"/>
      <c r="I20" s="705">
        <f>SUM(C20:G20)</f>
        <v>-1108871.2753609668</v>
      </c>
      <c r="J20" s="645" t="s">
        <v>645</v>
      </c>
      <c r="K20" s="36">
        <f t="shared" si="1"/>
        <v>8</v>
      </c>
    </row>
    <row r="21" spans="1:11" x14ac:dyDescent="0.35">
      <c r="A21" s="36">
        <f t="shared" si="0"/>
        <v>9</v>
      </c>
      <c r="C21" s="35">
        <v>0</v>
      </c>
      <c r="D21" s="35"/>
      <c r="E21" s="35">
        <v>0</v>
      </c>
      <c r="F21" s="35"/>
      <c r="G21" s="35">
        <v>0</v>
      </c>
      <c r="H21" s="35"/>
      <c r="I21" s="35">
        <f>SUM(C21:G21)</f>
        <v>0</v>
      </c>
      <c r="J21" s="35"/>
      <c r="K21" s="36">
        <f t="shared" si="1"/>
        <v>9</v>
      </c>
    </row>
    <row r="22" spans="1:11" ht="16" thickBot="1" x14ac:dyDescent="0.4">
      <c r="A22" s="36">
        <f t="shared" si="0"/>
        <v>10</v>
      </c>
      <c r="B22" s="53" t="s">
        <v>620</v>
      </c>
      <c r="C22" s="726">
        <f>SUM(C20:C21)</f>
        <v>-732250.0203609668</v>
      </c>
      <c r="D22" s="35"/>
      <c r="E22" s="726">
        <f>SUM(E20:E21)</f>
        <v>-370202.22499999998</v>
      </c>
      <c r="F22" s="592"/>
      <c r="G22" s="726">
        <f>SUM(G20:G21)</f>
        <v>-6419.03</v>
      </c>
      <c r="H22" s="35"/>
      <c r="I22" s="726">
        <f>SUM(I20:I21)</f>
        <v>-1108871.2753609668</v>
      </c>
      <c r="J22" s="579" t="str">
        <f>"Sum Lines "&amp;A20&amp;" thru "&amp;A21</f>
        <v>Sum Lines 8 thru 9</v>
      </c>
      <c r="K22" s="36">
        <f t="shared" si="1"/>
        <v>10</v>
      </c>
    </row>
    <row r="23" spans="1:11" ht="16" thickTop="1" x14ac:dyDescent="0.35">
      <c r="A23" s="36">
        <f t="shared" si="0"/>
        <v>11</v>
      </c>
      <c r="K23" s="36">
        <f t="shared" si="1"/>
        <v>11</v>
      </c>
    </row>
    <row r="24" spans="1:11" x14ac:dyDescent="0.35">
      <c r="A24" s="36">
        <f t="shared" si="0"/>
        <v>12</v>
      </c>
      <c r="B24" s="43" t="s">
        <v>621</v>
      </c>
      <c r="C24" s="724"/>
      <c r="D24" s="724"/>
      <c r="E24" s="724"/>
      <c r="F24" s="724"/>
      <c r="G24" s="724"/>
      <c r="H24" s="724"/>
      <c r="I24" s="48"/>
      <c r="J24" s="36"/>
      <c r="K24" s="36">
        <f t="shared" si="1"/>
        <v>12</v>
      </c>
    </row>
    <row r="25" spans="1:11" x14ac:dyDescent="0.35">
      <c r="A25" s="36">
        <f t="shared" si="0"/>
        <v>13</v>
      </c>
      <c r="B25" s="43" t="s">
        <v>622</v>
      </c>
      <c r="C25" s="60">
        <v>-7906.4293200000075</v>
      </c>
      <c r="D25" s="60"/>
      <c r="E25" s="60">
        <v>0</v>
      </c>
      <c r="F25" s="60"/>
      <c r="G25" s="60">
        <v>0</v>
      </c>
      <c r="H25" s="725"/>
      <c r="I25" s="705">
        <f>SUM(C25:G25)</f>
        <v>-7906.4293200000075</v>
      </c>
      <c r="J25" s="645" t="s">
        <v>666</v>
      </c>
      <c r="K25" s="36">
        <f t="shared" si="1"/>
        <v>13</v>
      </c>
    </row>
    <row r="26" spans="1:11" x14ac:dyDescent="0.35">
      <c r="A26" s="36">
        <f t="shared" si="0"/>
        <v>14</v>
      </c>
      <c r="B26" s="43"/>
      <c r="C26" s="35">
        <v>0</v>
      </c>
      <c r="D26" s="35"/>
      <c r="E26" s="35">
        <v>0</v>
      </c>
      <c r="F26" s="35"/>
      <c r="G26" s="35">
        <v>0</v>
      </c>
      <c r="H26" s="35"/>
      <c r="I26" s="35">
        <f>SUM(C26:G26)</f>
        <v>0</v>
      </c>
      <c r="J26" s="35"/>
      <c r="K26" s="36">
        <f t="shared" si="1"/>
        <v>14</v>
      </c>
    </row>
    <row r="27" spans="1:11" ht="16" thickBot="1" x14ac:dyDescent="0.4">
      <c r="A27" s="36">
        <f t="shared" si="0"/>
        <v>15</v>
      </c>
      <c r="B27" s="53" t="s">
        <v>623</v>
      </c>
      <c r="C27" s="726">
        <f>SUM(C25:C26)</f>
        <v>-7906.4293200000075</v>
      </c>
      <c r="D27" s="35"/>
      <c r="E27" s="726">
        <f>SUM(E25:E26)</f>
        <v>0</v>
      </c>
      <c r="F27" s="592"/>
      <c r="G27" s="726">
        <f>SUM(G25:G26)</f>
        <v>0</v>
      </c>
      <c r="H27" s="35"/>
      <c r="I27" s="726">
        <f>SUM(I25:I26)</f>
        <v>-7906.4293200000075</v>
      </c>
      <c r="J27" s="579" t="str">
        <f>"Sum Lines "&amp;A25&amp;" thru "&amp;A26</f>
        <v>Sum Lines 13 thru 14</v>
      </c>
      <c r="K27" s="36">
        <f t="shared" si="1"/>
        <v>15</v>
      </c>
    </row>
    <row r="28" spans="1:11" ht="16.5" thickTop="1" thickBot="1" x14ac:dyDescent="0.4">
      <c r="A28" s="36">
        <f t="shared" si="0"/>
        <v>16</v>
      </c>
      <c r="B28" s="83"/>
      <c r="C28" s="83"/>
      <c r="D28" s="83"/>
      <c r="E28" s="83"/>
      <c r="F28" s="83"/>
      <c r="G28" s="83"/>
      <c r="H28" s="83"/>
      <c r="I28" s="83"/>
      <c r="J28" s="83"/>
      <c r="K28" s="36">
        <f t="shared" si="1"/>
        <v>16</v>
      </c>
    </row>
    <row r="29" spans="1:11" x14ac:dyDescent="0.35">
      <c r="A29" s="36">
        <f t="shared" si="0"/>
        <v>17</v>
      </c>
      <c r="K29" s="36">
        <f t="shared" si="1"/>
        <v>17</v>
      </c>
    </row>
    <row r="30" spans="1:11" x14ac:dyDescent="0.35">
      <c r="A30" s="36">
        <f t="shared" si="0"/>
        <v>18</v>
      </c>
      <c r="B30" s="43" t="s">
        <v>624</v>
      </c>
      <c r="C30" s="724"/>
      <c r="D30" s="724"/>
      <c r="E30" s="724"/>
      <c r="F30" s="724"/>
      <c r="G30" s="724"/>
      <c r="H30" s="724"/>
      <c r="I30" s="48"/>
      <c r="J30" s="48"/>
      <c r="K30" s="36">
        <f t="shared" si="1"/>
        <v>18</v>
      </c>
    </row>
    <row r="31" spans="1:11" x14ac:dyDescent="0.35">
      <c r="A31" s="36">
        <f t="shared" si="0"/>
        <v>19</v>
      </c>
      <c r="B31" s="43" t="s">
        <v>616</v>
      </c>
      <c r="C31" s="705">
        <v>2953.1413538148122</v>
      </c>
      <c r="D31" s="705"/>
      <c r="E31" s="705">
        <v>5499.3828643751503</v>
      </c>
      <c r="F31" s="705"/>
      <c r="G31" s="705">
        <v>0</v>
      </c>
      <c r="H31" s="60"/>
      <c r="I31" s="705">
        <f>SUM(C31:G31)</f>
        <v>8452.524218189963</v>
      </c>
      <c r="J31" s="645" t="s">
        <v>665</v>
      </c>
      <c r="K31" s="36">
        <f t="shared" si="1"/>
        <v>19</v>
      </c>
    </row>
    <row r="32" spans="1:11" x14ac:dyDescent="0.35">
      <c r="A32" s="36">
        <f t="shared" si="0"/>
        <v>20</v>
      </c>
      <c r="C32" s="35">
        <v>0</v>
      </c>
      <c r="D32" s="35"/>
      <c r="E32" s="35">
        <v>0</v>
      </c>
      <c r="F32" s="35"/>
      <c r="G32" s="35">
        <v>0</v>
      </c>
      <c r="H32" s="35"/>
      <c r="I32" s="35">
        <f>SUM(C32:G32)</f>
        <v>0</v>
      </c>
      <c r="J32" s="35"/>
      <c r="K32" s="36">
        <f t="shared" si="1"/>
        <v>20</v>
      </c>
    </row>
    <row r="33" spans="1:11" ht="16" thickBot="1" x14ac:dyDescent="0.4">
      <c r="A33" s="36">
        <f t="shared" si="0"/>
        <v>21</v>
      </c>
      <c r="B33" s="53" t="s">
        <v>617</v>
      </c>
      <c r="C33" s="726">
        <f>SUM(C31:C32)</f>
        <v>2953.1413538148122</v>
      </c>
      <c r="D33" s="35"/>
      <c r="E33" s="726">
        <f>SUM(E31:E32)</f>
        <v>5499.3828643751503</v>
      </c>
      <c r="F33" s="592"/>
      <c r="G33" s="726">
        <f>SUM(G31:G32)</f>
        <v>0</v>
      </c>
      <c r="H33" s="35"/>
      <c r="I33" s="726">
        <f>SUM(I31:I32)</f>
        <v>8452.524218189963</v>
      </c>
      <c r="J33" s="579" t="str">
        <f>"Sum Lines "&amp;A31&amp;" thru "&amp;A32</f>
        <v>Sum Lines 19 thru 20</v>
      </c>
      <c r="K33" s="36">
        <f t="shared" si="1"/>
        <v>21</v>
      </c>
    </row>
    <row r="34" spans="1:11" ht="16" thickTop="1" x14ac:dyDescent="0.35">
      <c r="A34" s="36">
        <f t="shared" si="0"/>
        <v>22</v>
      </c>
      <c r="C34" s="727"/>
      <c r="D34" s="727"/>
      <c r="E34" s="727"/>
      <c r="F34" s="727"/>
      <c r="G34" s="727"/>
      <c r="H34" s="727"/>
      <c r="I34" s="727"/>
      <c r="J34" s="727"/>
      <c r="K34" s="36">
        <f t="shared" si="1"/>
        <v>22</v>
      </c>
    </row>
    <row r="35" spans="1:11" x14ac:dyDescent="0.35">
      <c r="A35" s="36">
        <f t="shared" si="0"/>
        <v>23</v>
      </c>
      <c r="B35" s="43" t="s">
        <v>625</v>
      </c>
      <c r="C35" s="724"/>
      <c r="D35" s="724"/>
      <c r="E35" s="724"/>
      <c r="F35" s="724"/>
      <c r="G35" s="724"/>
      <c r="H35" s="724"/>
      <c r="I35" s="48"/>
      <c r="J35" s="48"/>
      <c r="K35" s="36">
        <f t="shared" si="1"/>
        <v>23</v>
      </c>
    </row>
    <row r="36" spans="1:11" x14ac:dyDescent="0.35">
      <c r="A36" s="36">
        <f t="shared" si="0"/>
        <v>24</v>
      </c>
      <c r="B36" s="728" t="s">
        <v>619</v>
      </c>
      <c r="C36" s="705">
        <v>-12022.714592622564</v>
      </c>
      <c r="D36" s="705"/>
      <c r="E36" s="705">
        <v>-8318.0119591836756</v>
      </c>
      <c r="F36" s="705"/>
      <c r="G36" s="705">
        <v>0</v>
      </c>
      <c r="H36" s="705"/>
      <c r="I36" s="705">
        <f>SUM(C36:G36)</f>
        <v>-20340.726551806241</v>
      </c>
      <c r="J36" s="645" t="s">
        <v>645</v>
      </c>
      <c r="K36" s="36">
        <f t="shared" si="1"/>
        <v>24</v>
      </c>
    </row>
    <row r="37" spans="1:11" x14ac:dyDescent="0.35">
      <c r="A37" s="36">
        <f t="shared" si="0"/>
        <v>25</v>
      </c>
      <c r="C37" s="35">
        <v>0</v>
      </c>
      <c r="D37" s="35"/>
      <c r="E37" s="35">
        <v>0</v>
      </c>
      <c r="F37" s="35"/>
      <c r="G37" s="35">
        <v>0</v>
      </c>
      <c r="H37" s="35"/>
      <c r="I37" s="35">
        <f>SUM(C37:G37)</f>
        <v>0</v>
      </c>
      <c r="J37" s="35"/>
      <c r="K37" s="36">
        <f t="shared" si="1"/>
        <v>25</v>
      </c>
    </row>
    <row r="38" spans="1:11" ht="16" thickBot="1" x14ac:dyDescent="0.4">
      <c r="A38" s="36">
        <f t="shared" si="0"/>
        <v>26</v>
      </c>
      <c r="B38" s="53" t="s">
        <v>620</v>
      </c>
      <c r="C38" s="726">
        <f>SUM(C36:C37)</f>
        <v>-12022.714592622564</v>
      </c>
      <c r="D38" s="35"/>
      <c r="E38" s="726">
        <f>SUM(E36:E37)</f>
        <v>-8318.0119591836756</v>
      </c>
      <c r="F38" s="592"/>
      <c r="G38" s="726">
        <f>SUM(G36:G37)</f>
        <v>0</v>
      </c>
      <c r="H38" s="35"/>
      <c r="I38" s="726">
        <f>SUM(I36:I37)</f>
        <v>-20340.726551806241</v>
      </c>
      <c r="J38" s="579" t="str">
        <f>"Sum Lines "&amp;A36&amp;" thru "&amp;A37</f>
        <v>Sum Lines 24 thru 25</v>
      </c>
      <c r="K38" s="36">
        <f t="shared" si="1"/>
        <v>26</v>
      </c>
    </row>
    <row r="39" spans="1:11" ht="16" thickTop="1" x14ac:dyDescent="0.35">
      <c r="A39" s="36">
        <f t="shared" si="0"/>
        <v>27</v>
      </c>
      <c r="K39" s="36">
        <f t="shared" si="1"/>
        <v>27</v>
      </c>
    </row>
    <row r="40" spans="1:11" x14ac:dyDescent="0.35">
      <c r="A40" s="36">
        <f t="shared" si="0"/>
        <v>28</v>
      </c>
      <c r="B40" s="43" t="s">
        <v>626</v>
      </c>
      <c r="C40" s="724"/>
      <c r="D40" s="724"/>
      <c r="E40" s="724"/>
      <c r="F40" s="724"/>
      <c r="G40" s="724"/>
      <c r="H40" s="724"/>
      <c r="I40" s="48"/>
      <c r="J40" s="36"/>
      <c r="K40" s="36">
        <f t="shared" si="1"/>
        <v>28</v>
      </c>
    </row>
    <row r="41" spans="1:11" x14ac:dyDescent="0.35">
      <c r="A41" s="36">
        <f t="shared" si="0"/>
        <v>29</v>
      </c>
      <c r="B41" s="43"/>
      <c r="C41" s="705">
        <v>0</v>
      </c>
      <c r="D41" s="705"/>
      <c r="E41" s="705">
        <v>0</v>
      </c>
      <c r="F41" s="705"/>
      <c r="G41" s="705">
        <v>0</v>
      </c>
      <c r="H41" s="705"/>
      <c r="I41" s="705">
        <f>SUM(C41:G41)</f>
        <v>0</v>
      </c>
      <c r="J41" s="729" t="s">
        <v>245</v>
      </c>
      <c r="K41" s="36">
        <f t="shared" si="1"/>
        <v>29</v>
      </c>
    </row>
    <row r="42" spans="1:11" x14ac:dyDescent="0.35">
      <c r="A42" s="36">
        <f t="shared" si="0"/>
        <v>30</v>
      </c>
      <c r="B42" s="43"/>
      <c r="C42" s="35">
        <v>0</v>
      </c>
      <c r="D42" s="35"/>
      <c r="E42" s="35">
        <v>0</v>
      </c>
      <c r="F42" s="35"/>
      <c r="G42" s="35">
        <v>0</v>
      </c>
      <c r="H42" s="35"/>
      <c r="I42" s="35">
        <f>SUM(C42:G42)</f>
        <v>0</v>
      </c>
      <c r="J42" s="35"/>
      <c r="K42" s="36">
        <f t="shared" si="1"/>
        <v>30</v>
      </c>
    </row>
    <row r="43" spans="1:11" ht="16" thickBot="1" x14ac:dyDescent="0.4">
      <c r="A43" s="36">
        <f t="shared" si="0"/>
        <v>31</v>
      </c>
      <c r="B43" s="53" t="s">
        <v>623</v>
      </c>
      <c r="C43" s="726">
        <f>SUM(C41:C42)</f>
        <v>0</v>
      </c>
      <c r="D43" s="35"/>
      <c r="E43" s="726">
        <f>SUM(E41:E42)</f>
        <v>0</v>
      </c>
      <c r="F43" s="592"/>
      <c r="G43" s="726">
        <f>SUM(G41:G42)</f>
        <v>0</v>
      </c>
      <c r="H43" s="35"/>
      <c r="I43" s="726">
        <f>SUM(I41:I42)</f>
        <v>0</v>
      </c>
      <c r="J43" s="579" t="str">
        <f>"Sum Lines "&amp;A41&amp;" thru "&amp;A42</f>
        <v>Sum Lines 29 thru 30</v>
      </c>
      <c r="K43" s="36">
        <f t="shared" si="1"/>
        <v>31</v>
      </c>
    </row>
    <row r="44" spans="1:11" ht="16.5" thickTop="1" thickBot="1" x14ac:dyDescent="0.4">
      <c r="A44" s="36">
        <f t="shared" si="0"/>
        <v>32</v>
      </c>
      <c r="B44" s="730"/>
      <c r="C44" s="731"/>
      <c r="D44" s="732"/>
      <c r="E44" s="731"/>
      <c r="F44" s="731"/>
      <c r="G44" s="731"/>
      <c r="H44" s="732"/>
      <c r="I44" s="731"/>
      <c r="J44" s="733"/>
      <c r="K44" s="36">
        <f t="shared" si="1"/>
        <v>32</v>
      </c>
    </row>
    <row r="45" spans="1:11" x14ac:dyDescent="0.35">
      <c r="A45" s="36">
        <f t="shared" si="0"/>
        <v>33</v>
      </c>
      <c r="B45" s="53"/>
      <c r="C45" s="592"/>
      <c r="D45" s="35"/>
      <c r="E45" s="592"/>
      <c r="F45" s="592"/>
      <c r="G45" s="592"/>
      <c r="H45" s="35"/>
      <c r="I45" s="592"/>
      <c r="J45" s="579"/>
      <c r="K45" s="36">
        <f t="shared" si="1"/>
        <v>33</v>
      </c>
    </row>
    <row r="46" spans="1:11" x14ac:dyDescent="0.35">
      <c r="A46" s="36">
        <f t="shared" si="0"/>
        <v>34</v>
      </c>
      <c r="B46" s="734" t="s">
        <v>600</v>
      </c>
      <c r="C46" s="30">
        <v>0</v>
      </c>
      <c r="D46" s="35"/>
      <c r="E46" s="30">
        <v>0</v>
      </c>
      <c r="F46" s="592"/>
      <c r="G46" s="30">
        <v>0</v>
      </c>
      <c r="H46" s="35"/>
      <c r="I46" s="705">
        <f>SUM(C46:G46)</f>
        <v>0</v>
      </c>
      <c r="J46" s="729" t="s">
        <v>245</v>
      </c>
      <c r="K46" s="36">
        <f t="shared" si="1"/>
        <v>34</v>
      </c>
    </row>
    <row r="47" spans="1:11" x14ac:dyDescent="0.35">
      <c r="B47" s="53"/>
      <c r="C47" s="592"/>
      <c r="D47" s="35"/>
      <c r="E47" s="592"/>
      <c r="F47" s="592"/>
      <c r="G47" s="592"/>
      <c r="H47" s="35"/>
      <c r="I47" s="592"/>
      <c r="J47" s="579"/>
    </row>
    <row r="49" spans="1:2" ht="18" x14ac:dyDescent="0.35">
      <c r="A49" s="735"/>
      <c r="B49" s="734"/>
    </row>
  </sheetData>
  <mergeCells count="5">
    <mergeCell ref="B3:J3"/>
    <mergeCell ref="B4:J4"/>
    <mergeCell ref="B5:J5"/>
    <mergeCell ref="B6:J6"/>
    <mergeCell ref="B7:J7"/>
  </mergeCells>
  <printOptions horizontalCentered="1"/>
  <pageMargins left="0.25" right="0.25" top="0.5" bottom="0.5" header="0.35" footer="0.25"/>
  <pageSetup scale="62" orientation="landscape" r:id="rId1"/>
  <headerFooter scaleWithDoc="0" alignWithMargins="0">
    <oddHeader>&amp;C&amp;"Times New Roman,Bold"&amp;8AS FILED</oddHeader>
    <oddFooter>&amp;CPage 9.3A&amp;R&amp;F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3"/>
  <sheetViews>
    <sheetView zoomScale="80" zoomScaleNormal="80" workbookViewId="0"/>
  </sheetViews>
  <sheetFormatPr defaultColWidth="8.81640625" defaultRowHeight="15.5" x14ac:dyDescent="0.35"/>
  <cols>
    <col min="1" max="1" width="5.1796875" style="36" bestFit="1" customWidth="1"/>
    <col min="2" max="2" width="80.54296875" style="37" customWidth="1"/>
    <col min="3" max="3" width="21.1796875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53.81640625" style="37" customWidth="1"/>
    <col min="8" max="8" width="5.1796875" style="37" customWidth="1"/>
    <col min="9" max="9" width="8.81640625" style="37"/>
    <col min="10" max="10" width="20.453125" style="37" bestFit="1" customWidth="1"/>
    <col min="11" max="16384" width="8.81640625" style="37"/>
  </cols>
  <sheetData>
    <row r="1" spans="1:8" x14ac:dyDescent="0.35">
      <c r="G1" s="38"/>
      <c r="H1" s="36"/>
    </row>
    <row r="2" spans="1:8" x14ac:dyDescent="0.35">
      <c r="B2" s="863" t="s">
        <v>20</v>
      </c>
      <c r="C2" s="863"/>
      <c r="D2" s="863"/>
      <c r="E2" s="863"/>
      <c r="F2" s="863"/>
      <c r="G2" s="863"/>
      <c r="H2" s="36"/>
    </row>
    <row r="3" spans="1:8" x14ac:dyDescent="0.35">
      <c r="B3" s="863" t="s">
        <v>197</v>
      </c>
      <c r="C3" s="863"/>
      <c r="D3" s="863"/>
      <c r="E3" s="863"/>
      <c r="F3" s="863"/>
      <c r="G3" s="863"/>
      <c r="H3" s="36"/>
    </row>
    <row r="4" spans="1:8" x14ac:dyDescent="0.35">
      <c r="B4" s="863" t="s">
        <v>198</v>
      </c>
      <c r="C4" s="863"/>
      <c r="D4" s="863"/>
      <c r="E4" s="863"/>
      <c r="F4" s="863"/>
      <c r="G4" s="863"/>
      <c r="H4" s="36"/>
    </row>
    <row r="5" spans="1:8" x14ac:dyDescent="0.35">
      <c r="B5" s="866" t="s">
        <v>73</v>
      </c>
      <c r="C5" s="866"/>
      <c r="D5" s="866"/>
      <c r="E5" s="866"/>
      <c r="F5" s="866"/>
      <c r="G5" s="866"/>
      <c r="H5" s="36"/>
    </row>
    <row r="6" spans="1:8" x14ac:dyDescent="0.35">
      <c r="B6" s="865" t="s">
        <v>4</v>
      </c>
      <c r="C6" s="867"/>
      <c r="D6" s="867"/>
      <c r="E6" s="867"/>
      <c r="F6" s="867"/>
      <c r="G6" s="867"/>
      <c r="H6" s="36"/>
    </row>
    <row r="7" spans="1:8" x14ac:dyDescent="0.35">
      <c r="B7" s="36"/>
      <c r="C7" s="36"/>
      <c r="D7" s="36"/>
      <c r="E7" s="39"/>
      <c r="F7" s="39"/>
      <c r="G7" s="36"/>
      <c r="H7" s="36"/>
    </row>
    <row r="8" spans="1:8" x14ac:dyDescent="0.35">
      <c r="A8" s="36" t="s">
        <v>5</v>
      </c>
      <c r="B8" s="364"/>
      <c r="C8" s="36" t="s">
        <v>199</v>
      </c>
      <c r="D8" s="364"/>
      <c r="E8" s="40"/>
      <c r="F8" s="40"/>
      <c r="G8" s="36"/>
      <c r="H8" s="36" t="s">
        <v>5</v>
      </c>
    </row>
    <row r="9" spans="1:8" x14ac:dyDescent="0.35">
      <c r="A9" s="36" t="s">
        <v>6</v>
      </c>
      <c r="C9" s="307" t="s">
        <v>200</v>
      </c>
      <c r="D9" s="364"/>
      <c r="E9" s="308" t="s">
        <v>8</v>
      </c>
      <c r="F9" s="40"/>
      <c r="G9" s="307" t="s">
        <v>9</v>
      </c>
      <c r="H9" s="36" t="s">
        <v>6</v>
      </c>
    </row>
    <row r="10" spans="1:8" x14ac:dyDescent="0.35">
      <c r="C10" s="364"/>
      <c r="D10" s="364"/>
      <c r="E10" s="40"/>
      <c r="F10" s="40"/>
      <c r="G10" s="36"/>
      <c r="H10" s="36"/>
    </row>
    <row r="11" spans="1:8" x14ac:dyDescent="0.35">
      <c r="A11" s="36">
        <v>1</v>
      </c>
      <c r="B11" s="309" t="s">
        <v>201</v>
      </c>
      <c r="C11" s="364"/>
      <c r="D11" s="364"/>
      <c r="E11" s="40"/>
      <c r="F11" s="40"/>
      <c r="G11" s="36"/>
      <c r="H11" s="36">
        <f>A11</f>
        <v>1</v>
      </c>
    </row>
    <row r="12" spans="1:8" x14ac:dyDescent="0.35">
      <c r="A12" s="36">
        <f>+A11+1</f>
        <v>2</v>
      </c>
      <c r="B12" s="264" t="s">
        <v>202</v>
      </c>
      <c r="C12" s="364"/>
      <c r="D12" s="364"/>
      <c r="E12" s="42">
        <v>124.17823999999997</v>
      </c>
      <c r="F12" s="40"/>
      <c r="G12" s="36" t="s">
        <v>203</v>
      </c>
      <c r="H12" s="36">
        <f>H11+1</f>
        <v>2</v>
      </c>
    </row>
    <row r="13" spans="1:8" x14ac:dyDescent="0.35">
      <c r="A13" s="36">
        <f t="shared" ref="A13:A69" si="0">+A12+1</f>
        <v>3</v>
      </c>
      <c r="C13" s="364"/>
      <c r="D13" s="364"/>
      <c r="E13" s="40"/>
      <c r="F13" s="40"/>
      <c r="G13" s="36"/>
      <c r="H13" s="36">
        <f t="shared" ref="H13:H69" si="1">H12+1</f>
        <v>3</v>
      </c>
    </row>
    <row r="14" spans="1:8" x14ac:dyDescent="0.35">
      <c r="A14" s="36">
        <f t="shared" si="0"/>
        <v>4</v>
      </c>
      <c r="B14" s="309" t="s">
        <v>204</v>
      </c>
      <c r="G14" s="36"/>
      <c r="H14" s="36">
        <f t="shared" si="1"/>
        <v>4</v>
      </c>
    </row>
    <row r="15" spans="1:8" x14ac:dyDescent="0.35">
      <c r="A15" s="36">
        <f t="shared" si="0"/>
        <v>5</v>
      </c>
      <c r="B15" s="18" t="s">
        <v>205</v>
      </c>
      <c r="C15" s="36"/>
      <c r="E15" s="42">
        <v>100389.4182</v>
      </c>
      <c r="G15" s="36" t="s">
        <v>206</v>
      </c>
      <c r="H15" s="36">
        <f t="shared" si="1"/>
        <v>5</v>
      </c>
    </row>
    <row r="16" spans="1:8" x14ac:dyDescent="0.35">
      <c r="A16" s="36">
        <f t="shared" si="0"/>
        <v>6</v>
      </c>
      <c r="B16" s="24" t="s">
        <v>207</v>
      </c>
      <c r="E16" s="44"/>
      <c r="G16" s="36"/>
      <c r="H16" s="36">
        <f t="shared" si="1"/>
        <v>6</v>
      </c>
    </row>
    <row r="17" spans="1:10" x14ac:dyDescent="0.35">
      <c r="A17" s="36">
        <f t="shared" si="0"/>
        <v>7</v>
      </c>
      <c r="B17" s="18" t="s">
        <v>208</v>
      </c>
      <c r="C17" s="36"/>
      <c r="E17" s="45">
        <v>-5200.3239999999996</v>
      </c>
      <c r="G17" s="36" t="s">
        <v>209</v>
      </c>
      <c r="H17" s="36">
        <f t="shared" si="1"/>
        <v>7</v>
      </c>
    </row>
    <row r="18" spans="1:10" x14ac:dyDescent="0.35">
      <c r="A18" s="36">
        <f t="shared" si="0"/>
        <v>8</v>
      </c>
      <c r="B18" s="18" t="s">
        <v>210</v>
      </c>
      <c r="E18" s="45">
        <v>-2469.29151</v>
      </c>
      <c r="G18" s="36" t="s">
        <v>211</v>
      </c>
      <c r="H18" s="36">
        <f t="shared" si="1"/>
        <v>8</v>
      </c>
    </row>
    <row r="19" spans="1:10" x14ac:dyDescent="0.35">
      <c r="A19" s="36">
        <f t="shared" si="0"/>
        <v>9</v>
      </c>
      <c r="B19" s="264" t="s">
        <v>212</v>
      </c>
      <c r="E19" s="45">
        <v>-6458.357</v>
      </c>
      <c r="G19" s="36" t="s">
        <v>213</v>
      </c>
      <c r="H19" s="36">
        <f t="shared" si="1"/>
        <v>9</v>
      </c>
    </row>
    <row r="20" spans="1:10" x14ac:dyDescent="0.35">
      <c r="A20" s="36">
        <f t="shared" si="0"/>
        <v>10</v>
      </c>
      <c r="B20" s="264" t="s">
        <v>214</v>
      </c>
      <c r="E20" s="45">
        <v>-51.42</v>
      </c>
      <c r="G20" s="36" t="s">
        <v>215</v>
      </c>
      <c r="H20" s="36">
        <f t="shared" si="1"/>
        <v>10</v>
      </c>
    </row>
    <row r="21" spans="1:10" x14ac:dyDescent="0.35">
      <c r="A21" s="36">
        <f t="shared" si="0"/>
        <v>11</v>
      </c>
      <c r="B21" s="18" t="s">
        <v>216</v>
      </c>
      <c r="E21" s="45">
        <v>0</v>
      </c>
      <c r="G21" s="36" t="s">
        <v>217</v>
      </c>
      <c r="H21" s="36">
        <f t="shared" si="1"/>
        <v>11</v>
      </c>
    </row>
    <row r="22" spans="1:10" x14ac:dyDescent="0.35">
      <c r="A22" s="36">
        <f t="shared" si="0"/>
        <v>12</v>
      </c>
      <c r="B22" s="18" t="s">
        <v>218</v>
      </c>
      <c r="E22" s="45">
        <v>-325.87329000000057</v>
      </c>
      <c r="G22" s="36" t="s">
        <v>219</v>
      </c>
      <c r="H22" s="36">
        <f t="shared" si="1"/>
        <v>12</v>
      </c>
    </row>
    <row r="23" spans="1:10" x14ac:dyDescent="0.35">
      <c r="A23" s="36">
        <f t="shared" si="0"/>
        <v>13</v>
      </c>
      <c r="B23" s="264" t="s">
        <v>220</v>
      </c>
      <c r="E23" s="45">
        <v>-15716.966</v>
      </c>
      <c r="G23" s="36" t="s">
        <v>221</v>
      </c>
      <c r="H23" s="36">
        <f t="shared" si="1"/>
        <v>13</v>
      </c>
    </row>
    <row r="24" spans="1:10" x14ac:dyDescent="0.35">
      <c r="A24" s="36">
        <f t="shared" si="0"/>
        <v>14</v>
      </c>
      <c r="B24" s="264" t="s">
        <v>222</v>
      </c>
      <c r="E24" s="45">
        <v>-26863.351999999999</v>
      </c>
      <c r="G24" s="36" t="s">
        <v>223</v>
      </c>
      <c r="H24" s="36">
        <f t="shared" si="1"/>
        <v>14</v>
      </c>
    </row>
    <row r="25" spans="1:10" x14ac:dyDescent="0.35">
      <c r="A25" s="36">
        <f t="shared" si="0"/>
        <v>15</v>
      </c>
      <c r="B25" s="264" t="s">
        <v>224</v>
      </c>
      <c r="E25" s="45">
        <v>-1113.175</v>
      </c>
      <c r="G25" s="36" t="s">
        <v>225</v>
      </c>
      <c r="H25" s="36">
        <f t="shared" si="1"/>
        <v>15</v>
      </c>
    </row>
    <row r="26" spans="1:10" x14ac:dyDescent="0.35">
      <c r="A26" s="36">
        <f t="shared" si="0"/>
        <v>16</v>
      </c>
      <c r="B26" s="18" t="s">
        <v>226</v>
      </c>
      <c r="E26" s="46">
        <v>1614.6884600000001</v>
      </c>
      <c r="G26" s="36" t="s">
        <v>227</v>
      </c>
      <c r="H26" s="36">
        <f t="shared" si="1"/>
        <v>16</v>
      </c>
    </row>
    <row r="27" spans="1:10" x14ac:dyDescent="0.35">
      <c r="A27" s="36">
        <f t="shared" si="0"/>
        <v>17</v>
      </c>
      <c r="B27" s="18" t="s">
        <v>228</v>
      </c>
      <c r="E27" s="101">
        <f>SUM(E15:E26)</f>
        <v>43805.347860000002</v>
      </c>
      <c r="F27" s="25"/>
      <c r="G27" s="31" t="str">
        <f>"Sum Lines "&amp;A15&amp;" thru "&amp;A26</f>
        <v>Sum Lines 5 thru 16</v>
      </c>
      <c r="H27" s="36">
        <f t="shared" si="1"/>
        <v>17</v>
      </c>
    </row>
    <row r="28" spans="1:10" x14ac:dyDescent="0.35">
      <c r="A28" s="36">
        <f t="shared" si="0"/>
        <v>18</v>
      </c>
      <c r="E28" s="35"/>
      <c r="H28" s="36">
        <f t="shared" si="1"/>
        <v>18</v>
      </c>
    </row>
    <row r="29" spans="1:10" x14ac:dyDescent="0.35">
      <c r="A29" s="36">
        <f t="shared" si="0"/>
        <v>19</v>
      </c>
      <c r="B29" s="310" t="s">
        <v>229</v>
      </c>
      <c r="E29" s="47"/>
      <c r="G29" s="36"/>
      <c r="H29" s="36">
        <f t="shared" si="1"/>
        <v>19</v>
      </c>
    </row>
    <row r="30" spans="1:10" x14ac:dyDescent="0.35">
      <c r="A30" s="36">
        <f t="shared" si="0"/>
        <v>20</v>
      </c>
      <c r="B30" s="24" t="s">
        <v>230</v>
      </c>
      <c r="C30" s="36"/>
      <c r="E30" s="42">
        <f>'Pg10.2 Rev AH-3'!D30</f>
        <v>595483.66295999987</v>
      </c>
      <c r="G30" s="36" t="s">
        <v>231</v>
      </c>
      <c r="H30" s="36">
        <f t="shared" si="1"/>
        <v>20</v>
      </c>
    </row>
    <row r="31" spans="1:10" x14ac:dyDescent="0.35">
      <c r="A31" s="36">
        <f t="shared" si="0"/>
        <v>21</v>
      </c>
      <c r="B31" s="24" t="s">
        <v>232</v>
      </c>
      <c r="E31" s="47" t="s">
        <v>233</v>
      </c>
      <c r="G31" s="36"/>
      <c r="H31" s="36">
        <f t="shared" si="1"/>
        <v>21</v>
      </c>
    </row>
    <row r="32" spans="1:10" x14ac:dyDescent="0.35">
      <c r="A32" s="36">
        <f t="shared" si="0"/>
        <v>22</v>
      </c>
      <c r="B32" s="183" t="s">
        <v>234</v>
      </c>
      <c r="E32" s="45">
        <f>-'Pg10.2 Rev AH-3'!D61</f>
        <v>-2360.7200000000003</v>
      </c>
      <c r="G32" s="36" t="s">
        <v>235</v>
      </c>
      <c r="H32" s="36">
        <f t="shared" si="1"/>
        <v>22</v>
      </c>
      <c r="I32" s="311"/>
      <c r="J32" s="49"/>
    </row>
    <row r="33" spans="1:10" ht="31" x14ac:dyDescent="0.35">
      <c r="A33" s="36">
        <f t="shared" si="0"/>
        <v>23</v>
      </c>
      <c r="B33" s="96" t="s">
        <v>236</v>
      </c>
      <c r="E33" s="45">
        <f>-('Pg10.2 Rev AH-3'!D34+'Pg10.2 Rev AH-3'!D37+'Pg10.2 Rev AH-3'!D41+'Pg10.2 Rev AH-3'!D47+'Pg10.2 Rev AH-3'!D50+'Pg10.2 Rev AH-3'!D55+'Pg10.2 Rev AH-3'!D64)</f>
        <v>555.40800074000003</v>
      </c>
      <c r="G33" s="48" t="s">
        <v>237</v>
      </c>
      <c r="H33" s="36">
        <f t="shared" si="1"/>
        <v>23</v>
      </c>
      <c r="I33" s="311"/>
      <c r="J33" s="49"/>
    </row>
    <row r="34" spans="1:10" x14ac:dyDescent="0.35">
      <c r="A34" s="36">
        <f t="shared" si="0"/>
        <v>24</v>
      </c>
      <c r="B34" s="183" t="s">
        <v>238</v>
      </c>
      <c r="E34" s="45">
        <f>-'Pg10.2 Rev AH-3'!D57</f>
        <v>0</v>
      </c>
      <c r="G34" s="36" t="s">
        <v>239</v>
      </c>
      <c r="H34" s="36">
        <f t="shared" si="1"/>
        <v>24</v>
      </c>
      <c r="I34" s="311"/>
      <c r="J34" s="49"/>
    </row>
    <row r="35" spans="1:10" ht="15.75" customHeight="1" x14ac:dyDescent="0.35">
      <c r="A35" s="36">
        <f t="shared" si="0"/>
        <v>25</v>
      </c>
      <c r="B35" s="96" t="s">
        <v>240</v>
      </c>
      <c r="E35" s="45">
        <f>-'Pg10.2 Rev AH-3'!D58</f>
        <v>-2085.1866</v>
      </c>
      <c r="G35" s="36" t="s">
        <v>241</v>
      </c>
      <c r="H35" s="36">
        <f t="shared" si="1"/>
        <v>25</v>
      </c>
      <c r="I35" s="311"/>
      <c r="J35" s="49"/>
    </row>
    <row r="36" spans="1:10" x14ac:dyDescent="0.35">
      <c r="A36" s="36">
        <f t="shared" si="0"/>
        <v>26</v>
      </c>
      <c r="B36" s="183" t="s">
        <v>242</v>
      </c>
      <c r="E36" s="45">
        <f>-'Pg10.2 Rev AH-3'!D54</f>
        <v>-13015.817289999999</v>
      </c>
      <c r="G36" s="36" t="s">
        <v>243</v>
      </c>
      <c r="H36" s="36">
        <f t="shared" si="1"/>
        <v>26</v>
      </c>
    </row>
    <row r="37" spans="1:10" x14ac:dyDescent="0.35">
      <c r="A37" s="36">
        <f t="shared" si="0"/>
        <v>27</v>
      </c>
      <c r="B37" s="183" t="s">
        <v>244</v>
      </c>
      <c r="E37" s="45">
        <v>0</v>
      </c>
      <c r="G37" s="579" t="s">
        <v>245</v>
      </c>
      <c r="H37" s="36">
        <f t="shared" si="1"/>
        <v>27</v>
      </c>
      <c r="J37" s="49"/>
    </row>
    <row r="38" spans="1:10" x14ac:dyDescent="0.35">
      <c r="A38" s="36">
        <f t="shared" si="0"/>
        <v>28</v>
      </c>
      <c r="B38" s="183" t="s">
        <v>246</v>
      </c>
      <c r="E38" s="45">
        <f>-'Pg10.2 Rev AH-3'!E60</f>
        <v>204.155</v>
      </c>
      <c r="G38" s="48" t="s">
        <v>247</v>
      </c>
      <c r="H38" s="36">
        <f t="shared" si="1"/>
        <v>28</v>
      </c>
      <c r="I38" s="311"/>
    </row>
    <row r="39" spans="1:10" x14ac:dyDescent="0.35">
      <c r="A39" s="36">
        <f t="shared" si="0"/>
        <v>29</v>
      </c>
      <c r="B39" s="183" t="s">
        <v>248</v>
      </c>
      <c r="E39" s="45">
        <f>-'Pg10.2 Rev AH-3'!E53</f>
        <v>-130506.76528000001</v>
      </c>
      <c r="G39" s="36" t="s">
        <v>249</v>
      </c>
      <c r="H39" s="36">
        <f t="shared" si="1"/>
        <v>29</v>
      </c>
      <c r="I39" s="311"/>
      <c r="J39" s="49"/>
    </row>
    <row r="40" spans="1:10" x14ac:dyDescent="0.35">
      <c r="A40" s="36">
        <f t="shared" si="0"/>
        <v>30</v>
      </c>
      <c r="B40" s="183" t="s">
        <v>250</v>
      </c>
      <c r="E40" s="45">
        <f>-'Pg10.2 Rev AH-3'!D65</f>
        <v>-12.147468914000001</v>
      </c>
      <c r="G40" s="48" t="s">
        <v>251</v>
      </c>
      <c r="H40" s="36">
        <f t="shared" si="1"/>
        <v>30</v>
      </c>
    </row>
    <row r="41" spans="1:10" x14ac:dyDescent="0.35">
      <c r="A41" s="36">
        <f t="shared" si="0"/>
        <v>31</v>
      </c>
      <c r="B41" s="183" t="s">
        <v>252</v>
      </c>
      <c r="E41" s="45">
        <f>-'Pg10.2 Rev AH-3'!D56</f>
        <v>-40.544630000000005</v>
      </c>
      <c r="G41" s="48" t="s">
        <v>253</v>
      </c>
      <c r="H41" s="36">
        <f t="shared" si="1"/>
        <v>31</v>
      </c>
    </row>
    <row r="42" spans="1:10" ht="46.5" x14ac:dyDescent="0.35">
      <c r="A42" s="36">
        <f t="shared" si="0"/>
        <v>32</v>
      </c>
      <c r="B42" s="96" t="s">
        <v>254</v>
      </c>
      <c r="E42" s="45">
        <f>-('Pg10.2 Rev AH-3'!D35+'Pg10.2 Rev AH-3'!D36+'Pg10.2 Rev AH-3'!D38+'Pg10.2 Rev AH-3'!D39+'Pg10.2 Rev AH-3'!E40+'Pg10.2 Rev AH-3'!D42+'Pg10.2 Rev AH-3'!D43+'Pg10.2 Rev AH-3'!D44+'Pg10.2 Rev AH-3'!D45+'Pg10.2 Rev AH-3'!D46+'Pg10.2 Rev AH-3'!D48+'Pg10.2 Rev AH-3'!D49+'Pg10.2 Rev AH-3'!D51+'Pg10.2 Rev AH-3'!D52+'Pg10.2 Rev AH-3'!D59+'Pg10.2 Rev AH-3'!D62+'Pg10.2 Rev AH-3'!D63)</f>
        <v>-24673.96447250203</v>
      </c>
      <c r="G42" s="48" t="s">
        <v>255</v>
      </c>
      <c r="H42" s="36">
        <f t="shared" si="1"/>
        <v>32</v>
      </c>
    </row>
    <row r="43" spans="1:10" x14ac:dyDescent="0.35">
      <c r="A43" s="36">
        <f t="shared" si="0"/>
        <v>33</v>
      </c>
      <c r="B43" s="37" t="s">
        <v>256</v>
      </c>
      <c r="E43" s="312">
        <f>'Pg10.2 Rev AH-3'!H30</f>
        <v>-90.331999999999994</v>
      </c>
      <c r="F43" s="25" t="s">
        <v>34</v>
      </c>
      <c r="G43" s="36" t="s">
        <v>591</v>
      </c>
      <c r="H43" s="36">
        <f t="shared" si="1"/>
        <v>33</v>
      </c>
    </row>
    <row r="44" spans="1:10" x14ac:dyDescent="0.35">
      <c r="A44" s="36">
        <f t="shared" si="0"/>
        <v>34</v>
      </c>
      <c r="B44" s="24" t="s">
        <v>257</v>
      </c>
      <c r="E44" s="51">
        <f>SUM(E30:E43)</f>
        <v>423457.74821932387</v>
      </c>
      <c r="F44" s="25" t="s">
        <v>34</v>
      </c>
      <c r="G44" s="36" t="str">
        <f>"Sum Lines "&amp;A30&amp;" thru "&amp;A43</f>
        <v>Sum Lines 20 thru 33</v>
      </c>
      <c r="H44" s="36">
        <f t="shared" si="1"/>
        <v>34</v>
      </c>
      <c r="J44" s="50"/>
    </row>
    <row r="45" spans="1:10" x14ac:dyDescent="0.35">
      <c r="A45" s="36">
        <f t="shared" si="0"/>
        <v>35</v>
      </c>
      <c r="B45" s="24" t="s">
        <v>258</v>
      </c>
      <c r="E45" s="313">
        <f>-'Pg10.2 Rev AH-3'!F15</f>
        <v>-8310.402</v>
      </c>
      <c r="G45" s="36" t="s">
        <v>259</v>
      </c>
      <c r="H45" s="36">
        <f t="shared" si="1"/>
        <v>35</v>
      </c>
      <c r="J45" s="50"/>
    </row>
    <row r="46" spans="1:10" x14ac:dyDescent="0.35">
      <c r="A46" s="36">
        <f t="shared" si="0"/>
        <v>36</v>
      </c>
      <c r="B46" s="24" t="s">
        <v>260</v>
      </c>
      <c r="E46" s="51">
        <f>SUM(E44:E45)</f>
        <v>415147.34621932387</v>
      </c>
      <c r="F46" s="25" t="s">
        <v>34</v>
      </c>
      <c r="G46" s="36" t="str">
        <f>"Line "&amp;A44&amp;" + Line "&amp;A45</f>
        <v>Line 34 + Line 35</v>
      </c>
      <c r="H46" s="36">
        <f t="shared" si="1"/>
        <v>36</v>
      </c>
    </row>
    <row r="47" spans="1:10" x14ac:dyDescent="0.35">
      <c r="A47" s="36">
        <f t="shared" si="0"/>
        <v>37</v>
      </c>
      <c r="B47" s="18" t="s">
        <v>261</v>
      </c>
      <c r="E47" s="314">
        <v>0.10684340052956183</v>
      </c>
      <c r="G47" s="31" t="s">
        <v>262</v>
      </c>
      <c r="H47" s="36">
        <f t="shared" si="1"/>
        <v>37</v>
      </c>
    </row>
    <row r="48" spans="1:10" x14ac:dyDescent="0.35">
      <c r="A48" s="36">
        <f t="shared" si="0"/>
        <v>38</v>
      </c>
      <c r="B48" s="24" t="s">
        <v>263</v>
      </c>
      <c r="E48" s="52">
        <f>E46*E47</f>
        <v>44355.754190895896</v>
      </c>
      <c r="F48" s="25" t="s">
        <v>34</v>
      </c>
      <c r="G48" s="36" t="str">
        <f>"Line "&amp;A46&amp;" x Line "&amp;A47</f>
        <v>Line 36 x Line 37</v>
      </c>
      <c r="H48" s="36">
        <f t="shared" si="1"/>
        <v>38</v>
      </c>
    </row>
    <row r="49" spans="1:9" x14ac:dyDescent="0.35">
      <c r="A49" s="36">
        <f t="shared" si="0"/>
        <v>39</v>
      </c>
      <c r="B49" s="37" t="s">
        <v>264</v>
      </c>
      <c r="E49" s="377">
        <f>E69*(-E45)</f>
        <v>3335.0369387060014</v>
      </c>
      <c r="G49" s="36" t="str">
        <f>"Negative of Line "&amp;A45&amp;" x Line "&amp;A69</f>
        <v>Negative of Line 35 x Line 59</v>
      </c>
      <c r="H49" s="36">
        <f t="shared" si="1"/>
        <v>39</v>
      </c>
    </row>
    <row r="50" spans="1:9" ht="16" thickBot="1" x14ac:dyDescent="0.4">
      <c r="A50" s="36">
        <f t="shared" si="0"/>
        <v>40</v>
      </c>
      <c r="B50" s="43" t="s">
        <v>265</v>
      </c>
      <c r="E50" s="315">
        <f>E49+E48</f>
        <v>47690.791129601894</v>
      </c>
      <c r="F50" s="25" t="s">
        <v>34</v>
      </c>
      <c r="G50" s="36" t="str">
        <f>"Line "&amp;A48&amp;" + Line "&amp;A49</f>
        <v>Line 38 + Line 39</v>
      </c>
      <c r="H50" s="36">
        <f t="shared" si="1"/>
        <v>40</v>
      </c>
      <c r="I50" s="43"/>
    </row>
    <row r="51" spans="1:9" ht="16" thickTop="1" x14ac:dyDescent="0.35">
      <c r="A51" s="36">
        <f t="shared" si="0"/>
        <v>41</v>
      </c>
      <c r="B51" s="53"/>
      <c r="E51" s="54"/>
      <c r="G51" s="36"/>
      <c r="H51" s="36">
        <f t="shared" si="1"/>
        <v>41</v>
      </c>
    </row>
    <row r="52" spans="1:9" x14ac:dyDescent="0.35">
      <c r="A52" s="36">
        <f t="shared" si="0"/>
        <v>42</v>
      </c>
      <c r="B52" s="26" t="s">
        <v>266</v>
      </c>
      <c r="E52" s="55"/>
      <c r="G52" s="36"/>
      <c r="H52" s="36">
        <f t="shared" si="1"/>
        <v>42</v>
      </c>
    </row>
    <row r="53" spans="1:9" x14ac:dyDescent="0.35">
      <c r="A53" s="36">
        <f t="shared" si="0"/>
        <v>43</v>
      </c>
      <c r="B53" s="24" t="s">
        <v>267</v>
      </c>
      <c r="E53" s="32">
        <v>6717604.4084030753</v>
      </c>
      <c r="G53" s="36" t="s">
        <v>268</v>
      </c>
      <c r="H53" s="36">
        <f t="shared" si="1"/>
        <v>43</v>
      </c>
    </row>
    <row r="54" spans="1:9" x14ac:dyDescent="0.35">
      <c r="A54" s="36">
        <f t="shared" si="0"/>
        <v>44</v>
      </c>
      <c r="B54" s="24" t="s">
        <v>269</v>
      </c>
      <c r="E54" s="56">
        <v>0</v>
      </c>
      <c r="G54" s="36" t="s">
        <v>270</v>
      </c>
      <c r="H54" s="36">
        <f t="shared" si="1"/>
        <v>44</v>
      </c>
    </row>
    <row r="55" spans="1:9" x14ac:dyDescent="0.35">
      <c r="A55" s="36">
        <f t="shared" si="0"/>
        <v>45</v>
      </c>
      <c r="B55" s="24" t="s">
        <v>271</v>
      </c>
      <c r="E55" s="57">
        <v>49193.51899590245</v>
      </c>
      <c r="G55" s="58" t="s">
        <v>272</v>
      </c>
      <c r="H55" s="36">
        <f t="shared" si="1"/>
        <v>45</v>
      </c>
    </row>
    <row r="56" spans="1:9" x14ac:dyDescent="0.35">
      <c r="A56" s="36">
        <f t="shared" si="0"/>
        <v>46</v>
      </c>
      <c r="B56" s="24" t="s">
        <v>273</v>
      </c>
      <c r="E56" s="316">
        <v>121720.77530805826</v>
      </c>
      <c r="G56" s="58" t="s">
        <v>274</v>
      </c>
      <c r="H56" s="36">
        <f t="shared" si="1"/>
        <v>46</v>
      </c>
    </row>
    <row r="57" spans="1:9" ht="16" thickBot="1" x14ac:dyDescent="0.4">
      <c r="A57" s="36">
        <f t="shared" si="0"/>
        <v>47</v>
      </c>
      <c r="B57" s="24" t="s">
        <v>275</v>
      </c>
      <c r="E57" s="59">
        <f>SUM(E53:E56)</f>
        <v>6888518.7027070364</v>
      </c>
      <c r="G57" s="36" t="str">
        <f>"Sum Lines "&amp;A53&amp;" thru "&amp;A56</f>
        <v>Sum Lines 43 thru 46</v>
      </c>
      <c r="H57" s="36">
        <f t="shared" si="1"/>
        <v>47</v>
      </c>
      <c r="I57" s="43"/>
    </row>
    <row r="58" spans="1:9" ht="16" thickTop="1" x14ac:dyDescent="0.35">
      <c r="A58" s="36">
        <f t="shared" si="0"/>
        <v>48</v>
      </c>
      <c r="B58" s="53"/>
      <c r="E58" s="35"/>
      <c r="G58" s="36"/>
      <c r="H58" s="36">
        <f t="shared" si="1"/>
        <v>48</v>
      </c>
    </row>
    <row r="59" spans="1:9" x14ac:dyDescent="0.35">
      <c r="A59" s="36">
        <f t="shared" si="0"/>
        <v>49</v>
      </c>
      <c r="B59" s="24" t="s">
        <v>276</v>
      </c>
      <c r="E59" s="60">
        <f>E53</f>
        <v>6717604.4084030753</v>
      </c>
      <c r="G59" s="61" t="str">
        <f>"Line "&amp;A53&amp;" Above"</f>
        <v>Line 43 Above</v>
      </c>
      <c r="H59" s="36">
        <f t="shared" si="1"/>
        <v>49</v>
      </c>
    </row>
    <row r="60" spans="1:9" x14ac:dyDescent="0.35">
      <c r="A60" s="36">
        <f t="shared" si="0"/>
        <v>50</v>
      </c>
      <c r="B60" s="24" t="s">
        <v>277</v>
      </c>
      <c r="E60" s="33">
        <v>557045.05025384598</v>
      </c>
      <c r="G60" s="58" t="s">
        <v>278</v>
      </c>
      <c r="H60" s="36">
        <f t="shared" si="1"/>
        <v>50</v>
      </c>
    </row>
    <row r="61" spans="1:9" x14ac:dyDescent="0.35">
      <c r="A61" s="36">
        <f t="shared" si="0"/>
        <v>51</v>
      </c>
      <c r="B61" s="24" t="s">
        <v>279</v>
      </c>
      <c r="E61" s="56">
        <v>0</v>
      </c>
      <c r="G61" s="36" t="s">
        <v>270</v>
      </c>
      <c r="H61" s="36">
        <f t="shared" si="1"/>
        <v>51</v>
      </c>
    </row>
    <row r="62" spans="1:9" x14ac:dyDescent="0.35">
      <c r="A62" s="36">
        <f t="shared" si="0"/>
        <v>52</v>
      </c>
      <c r="B62" s="24" t="s">
        <v>280</v>
      </c>
      <c r="E62" s="33">
        <v>529465.61728230771</v>
      </c>
      <c r="G62" s="58" t="s">
        <v>281</v>
      </c>
      <c r="H62" s="36">
        <f t="shared" si="1"/>
        <v>52</v>
      </c>
    </row>
    <row r="63" spans="1:9" x14ac:dyDescent="0.35">
      <c r="A63" s="36">
        <f t="shared" si="0"/>
        <v>53</v>
      </c>
      <c r="B63" s="24" t="s">
        <v>282</v>
      </c>
      <c r="E63" s="33">
        <v>7761348.9741599998</v>
      </c>
      <c r="G63" s="58" t="s">
        <v>283</v>
      </c>
      <c r="H63" s="36">
        <f t="shared" si="1"/>
        <v>53</v>
      </c>
    </row>
    <row r="64" spans="1:9" x14ac:dyDescent="0.35">
      <c r="A64" s="36">
        <f t="shared" si="0"/>
        <v>54</v>
      </c>
      <c r="B64" s="43" t="s">
        <v>269</v>
      </c>
      <c r="E64" s="56">
        <v>0</v>
      </c>
      <c r="G64" s="36" t="s">
        <v>270</v>
      </c>
      <c r="H64" s="36">
        <f t="shared" si="1"/>
        <v>54</v>
      </c>
    </row>
    <row r="65" spans="1:9" x14ac:dyDescent="0.35">
      <c r="A65" s="36">
        <f t="shared" si="0"/>
        <v>55</v>
      </c>
      <c r="B65" s="24" t="s">
        <v>284</v>
      </c>
      <c r="E65" s="33">
        <v>460426.36935999995</v>
      </c>
      <c r="G65" s="58" t="s">
        <v>285</v>
      </c>
      <c r="H65" s="36">
        <f t="shared" si="1"/>
        <v>55</v>
      </c>
    </row>
    <row r="66" spans="1:9" x14ac:dyDescent="0.35">
      <c r="A66" s="36">
        <f t="shared" si="0"/>
        <v>56</v>
      </c>
      <c r="B66" s="24" t="s">
        <v>286</v>
      </c>
      <c r="E66" s="317">
        <v>1139244.6768331761</v>
      </c>
      <c r="G66" s="58" t="s">
        <v>287</v>
      </c>
      <c r="H66" s="36">
        <f t="shared" si="1"/>
        <v>56</v>
      </c>
    </row>
    <row r="67" spans="1:9" ht="16" thickBot="1" x14ac:dyDescent="0.4">
      <c r="A67" s="36">
        <f t="shared" si="0"/>
        <v>57</v>
      </c>
      <c r="B67" s="24" t="s">
        <v>288</v>
      </c>
      <c r="E67" s="62">
        <f>SUM(E59:E66)</f>
        <v>17165135.096292403</v>
      </c>
      <c r="G67" s="36" t="str">
        <f>"Sum Lines "&amp;A59&amp;" thru "&amp;A66</f>
        <v>Sum Lines 49 thru 56</v>
      </c>
      <c r="H67" s="36">
        <f t="shared" si="1"/>
        <v>57</v>
      </c>
      <c r="I67" s="43"/>
    </row>
    <row r="68" spans="1:9" ht="16" thickTop="1" x14ac:dyDescent="0.35">
      <c r="A68" s="36">
        <f t="shared" si="0"/>
        <v>58</v>
      </c>
      <c r="E68" s="63"/>
      <c r="G68" s="36"/>
      <c r="H68" s="36">
        <f t="shared" si="1"/>
        <v>58</v>
      </c>
    </row>
    <row r="69" spans="1:9" ht="19" thickBot="1" x14ac:dyDescent="0.4">
      <c r="A69" s="36">
        <f t="shared" si="0"/>
        <v>59</v>
      </c>
      <c r="B69" s="24" t="s">
        <v>289</v>
      </c>
      <c r="E69" s="64">
        <f>E57/E67</f>
        <v>0.40130873797753724</v>
      </c>
      <c r="G69" s="36" t="str">
        <f>"Line "&amp;A57&amp;" / Line "&amp;A67</f>
        <v>Line 47 / Line 57</v>
      </c>
      <c r="H69" s="36">
        <f t="shared" si="1"/>
        <v>59</v>
      </c>
      <c r="I69" s="43"/>
    </row>
    <row r="70" spans="1:9" ht="16" thickTop="1" x14ac:dyDescent="0.35">
      <c r="B70" s="43" t="s">
        <v>233</v>
      </c>
      <c r="E70" s="65"/>
      <c r="G70" s="36"/>
      <c r="H70" s="36"/>
    </row>
    <row r="71" spans="1:9" x14ac:dyDescent="0.35">
      <c r="A71" s="25" t="s">
        <v>34</v>
      </c>
      <c r="B71" s="23" t="s">
        <v>696</v>
      </c>
      <c r="E71" s="65"/>
      <c r="F71" s="65"/>
      <c r="G71" s="36"/>
      <c r="H71" s="36"/>
    </row>
    <row r="72" spans="1:9" ht="18" x14ac:dyDescent="0.35">
      <c r="A72" s="67">
        <v>1</v>
      </c>
      <c r="B72" s="24" t="s">
        <v>290</v>
      </c>
      <c r="H72" s="36"/>
    </row>
    <row r="73" spans="1:9" x14ac:dyDescent="0.3">
      <c r="B73" s="23"/>
      <c r="E73" s="63"/>
      <c r="F73" s="63"/>
      <c r="G73" s="36"/>
      <c r="H73" s="36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Roman,Bold"&amp;9REVISED</oddHeader>
    <oddFooter>&amp;CPage 10&amp;R&amp;F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B9F6-314C-43B1-8899-B03B397D3B37}">
  <sheetPr>
    <pageSetUpPr fitToPage="1"/>
  </sheetPr>
  <dimension ref="A1:J73"/>
  <sheetViews>
    <sheetView zoomScale="80" zoomScaleNormal="80" workbookViewId="0"/>
  </sheetViews>
  <sheetFormatPr defaultColWidth="8.81640625" defaultRowHeight="15.5" x14ac:dyDescent="0.35"/>
  <cols>
    <col min="1" max="1" width="5.1796875" style="36" bestFit="1" customWidth="1"/>
    <col min="2" max="2" width="80.54296875" style="37" customWidth="1"/>
    <col min="3" max="3" width="21.1796875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55.6328125" style="37" customWidth="1"/>
    <col min="8" max="8" width="5.1796875" style="37" customWidth="1"/>
    <col min="9" max="9" width="8.81640625" style="37"/>
    <col min="10" max="10" width="20.453125" style="37" bestFit="1" customWidth="1"/>
    <col min="11" max="16384" width="8.81640625" style="37"/>
  </cols>
  <sheetData>
    <row r="1" spans="1:8" x14ac:dyDescent="0.35">
      <c r="A1" s="720" t="s">
        <v>650</v>
      </c>
    </row>
    <row r="2" spans="1:8" x14ac:dyDescent="0.35">
      <c r="G2" s="36"/>
      <c r="H2" s="36"/>
    </row>
    <row r="3" spans="1:8" x14ac:dyDescent="0.35">
      <c r="B3" s="863" t="s">
        <v>20</v>
      </c>
      <c r="C3" s="863"/>
      <c r="D3" s="863"/>
      <c r="E3" s="863"/>
      <c r="F3" s="863"/>
      <c r="G3" s="863"/>
      <c r="H3" s="36"/>
    </row>
    <row r="4" spans="1:8" x14ac:dyDescent="0.35">
      <c r="B4" s="863" t="s">
        <v>197</v>
      </c>
      <c r="C4" s="863"/>
      <c r="D4" s="863"/>
      <c r="E4" s="863"/>
      <c r="F4" s="863"/>
      <c r="G4" s="863"/>
      <c r="H4" s="36"/>
    </row>
    <row r="5" spans="1:8" x14ac:dyDescent="0.35">
      <c r="B5" s="863" t="s">
        <v>198</v>
      </c>
      <c r="C5" s="863"/>
      <c r="D5" s="863"/>
      <c r="E5" s="863"/>
      <c r="F5" s="863"/>
      <c r="G5" s="863"/>
      <c r="H5" s="36"/>
    </row>
    <row r="6" spans="1:8" x14ac:dyDescent="0.35">
      <c r="B6" s="866" t="s">
        <v>73</v>
      </c>
      <c r="C6" s="866"/>
      <c r="D6" s="866"/>
      <c r="E6" s="866"/>
      <c r="F6" s="866"/>
      <c r="G6" s="866"/>
      <c r="H6" s="36"/>
    </row>
    <row r="7" spans="1:8" x14ac:dyDescent="0.35">
      <c r="B7" s="865" t="s">
        <v>4</v>
      </c>
      <c r="C7" s="867"/>
      <c r="D7" s="867"/>
      <c r="E7" s="867"/>
      <c r="F7" s="867"/>
      <c r="G7" s="867"/>
      <c r="H7" s="36"/>
    </row>
    <row r="8" spans="1:8" x14ac:dyDescent="0.35">
      <c r="B8" s="36"/>
      <c r="C8" s="36"/>
      <c r="D8" s="36"/>
      <c r="E8" s="39"/>
      <c r="F8" s="39"/>
      <c r="G8" s="36"/>
      <c r="H8" s="36"/>
    </row>
    <row r="9" spans="1:8" x14ac:dyDescent="0.35">
      <c r="A9" s="36" t="s">
        <v>5</v>
      </c>
      <c r="B9" s="832"/>
      <c r="C9" s="36" t="s">
        <v>199</v>
      </c>
      <c r="D9" s="832"/>
      <c r="E9" s="40"/>
      <c r="F9" s="40"/>
      <c r="G9" s="36"/>
      <c r="H9" s="36" t="s">
        <v>5</v>
      </c>
    </row>
    <row r="10" spans="1:8" x14ac:dyDescent="0.35">
      <c r="A10" s="36" t="s">
        <v>6</v>
      </c>
      <c r="C10" s="701" t="s">
        <v>200</v>
      </c>
      <c r="D10" s="832"/>
      <c r="E10" s="703" t="s">
        <v>8</v>
      </c>
      <c r="F10" s="40"/>
      <c r="G10" s="701" t="s">
        <v>9</v>
      </c>
      <c r="H10" s="36" t="s">
        <v>6</v>
      </c>
    </row>
    <row r="11" spans="1:8" x14ac:dyDescent="0.35">
      <c r="C11" s="832"/>
      <c r="D11" s="832"/>
      <c r="E11" s="40"/>
      <c r="F11" s="40"/>
      <c r="G11" s="36"/>
      <c r="H11" s="36"/>
    </row>
    <row r="12" spans="1:8" x14ac:dyDescent="0.35">
      <c r="A12" s="36">
        <v>1</v>
      </c>
      <c r="B12" s="309" t="s">
        <v>201</v>
      </c>
      <c r="C12" s="832"/>
      <c r="D12" s="832"/>
      <c r="E12" s="40"/>
      <c r="F12" s="40"/>
      <c r="G12" s="36"/>
      <c r="H12" s="36">
        <f>A12</f>
        <v>1</v>
      </c>
    </row>
    <row r="13" spans="1:8" x14ac:dyDescent="0.35">
      <c r="A13" s="36">
        <f>+A12+1</f>
        <v>2</v>
      </c>
      <c r="B13" s="264" t="s">
        <v>202</v>
      </c>
      <c r="C13" s="832"/>
      <c r="D13" s="832"/>
      <c r="E13" s="42">
        <v>124.17823999999997</v>
      </c>
      <c r="F13" s="40"/>
      <c r="G13" s="36" t="s">
        <v>707</v>
      </c>
      <c r="H13" s="36">
        <f>H12+1</f>
        <v>2</v>
      </c>
    </row>
    <row r="14" spans="1:8" x14ac:dyDescent="0.35">
      <c r="A14" s="36">
        <f t="shared" ref="A14:A69" si="0">+A13+1</f>
        <v>3</v>
      </c>
      <c r="C14" s="832"/>
      <c r="D14" s="832"/>
      <c r="E14" s="40"/>
      <c r="F14" s="40"/>
      <c r="G14" s="36"/>
      <c r="H14" s="36">
        <f t="shared" ref="H14:H69" si="1">H13+1</f>
        <v>3</v>
      </c>
    </row>
    <row r="15" spans="1:8" x14ac:dyDescent="0.35">
      <c r="A15" s="36">
        <f t="shared" si="0"/>
        <v>4</v>
      </c>
      <c r="B15" s="309" t="s">
        <v>204</v>
      </c>
      <c r="G15" s="36"/>
      <c r="H15" s="36">
        <f t="shared" si="1"/>
        <v>4</v>
      </c>
    </row>
    <row r="16" spans="1:8" x14ac:dyDescent="0.35">
      <c r="A16" s="36">
        <f t="shared" si="0"/>
        <v>5</v>
      </c>
      <c r="B16" s="18" t="s">
        <v>205</v>
      </c>
      <c r="C16" s="36"/>
      <c r="E16" s="42">
        <v>100389.4182</v>
      </c>
      <c r="G16" s="36" t="s">
        <v>206</v>
      </c>
      <c r="H16" s="36">
        <f t="shared" si="1"/>
        <v>5</v>
      </c>
    </row>
    <row r="17" spans="1:8" x14ac:dyDescent="0.35">
      <c r="A17" s="36">
        <f t="shared" si="0"/>
        <v>6</v>
      </c>
      <c r="B17" s="24" t="s">
        <v>207</v>
      </c>
      <c r="E17" s="44"/>
      <c r="G17" s="36"/>
      <c r="H17" s="36">
        <f t="shared" si="1"/>
        <v>6</v>
      </c>
    </row>
    <row r="18" spans="1:8" x14ac:dyDescent="0.35">
      <c r="A18" s="36">
        <f t="shared" si="0"/>
        <v>7</v>
      </c>
      <c r="B18" s="18" t="s">
        <v>208</v>
      </c>
      <c r="C18" s="36"/>
      <c r="E18" s="45">
        <v>-5200.3239999999996</v>
      </c>
      <c r="G18" s="36" t="s">
        <v>209</v>
      </c>
      <c r="H18" s="36">
        <f t="shared" si="1"/>
        <v>7</v>
      </c>
    </row>
    <row r="19" spans="1:8" x14ac:dyDescent="0.35">
      <c r="A19" s="36">
        <f t="shared" si="0"/>
        <v>8</v>
      </c>
      <c r="B19" s="18" t="s">
        <v>210</v>
      </c>
      <c r="E19" s="45">
        <v>-2469.29151</v>
      </c>
      <c r="G19" s="36" t="s">
        <v>211</v>
      </c>
      <c r="H19" s="36">
        <f t="shared" si="1"/>
        <v>8</v>
      </c>
    </row>
    <row r="20" spans="1:8" x14ac:dyDescent="0.35">
      <c r="A20" s="36">
        <f t="shared" si="0"/>
        <v>9</v>
      </c>
      <c r="B20" s="264" t="s">
        <v>212</v>
      </c>
      <c r="E20" s="45">
        <v>-6458.357</v>
      </c>
      <c r="G20" s="36" t="s">
        <v>213</v>
      </c>
      <c r="H20" s="36">
        <f t="shared" si="1"/>
        <v>9</v>
      </c>
    </row>
    <row r="21" spans="1:8" x14ac:dyDescent="0.35">
      <c r="A21" s="36">
        <f t="shared" si="0"/>
        <v>10</v>
      </c>
      <c r="B21" s="264" t="s">
        <v>214</v>
      </c>
      <c r="E21" s="45">
        <v>-51.42</v>
      </c>
      <c r="G21" s="36" t="s">
        <v>215</v>
      </c>
      <c r="H21" s="36">
        <f t="shared" si="1"/>
        <v>10</v>
      </c>
    </row>
    <row r="22" spans="1:8" x14ac:dyDescent="0.35">
      <c r="A22" s="36">
        <f t="shared" si="0"/>
        <v>11</v>
      </c>
      <c r="B22" s="18" t="s">
        <v>216</v>
      </c>
      <c r="E22" s="45">
        <v>0</v>
      </c>
      <c r="G22" s="36" t="s">
        <v>217</v>
      </c>
      <c r="H22" s="36">
        <f t="shared" si="1"/>
        <v>11</v>
      </c>
    </row>
    <row r="23" spans="1:8" x14ac:dyDescent="0.35">
      <c r="A23" s="36">
        <f t="shared" si="0"/>
        <v>12</v>
      </c>
      <c r="B23" s="18" t="s">
        <v>218</v>
      </c>
      <c r="E23" s="45">
        <v>-325.87329000000057</v>
      </c>
      <c r="G23" s="36" t="s">
        <v>219</v>
      </c>
      <c r="H23" s="36">
        <f t="shared" si="1"/>
        <v>12</v>
      </c>
    </row>
    <row r="24" spans="1:8" x14ac:dyDescent="0.35">
      <c r="A24" s="36">
        <f t="shared" si="0"/>
        <v>13</v>
      </c>
      <c r="B24" s="264" t="s">
        <v>220</v>
      </c>
      <c r="E24" s="45">
        <v>-15716.966</v>
      </c>
      <c r="G24" s="36" t="s">
        <v>221</v>
      </c>
      <c r="H24" s="36">
        <f t="shared" si="1"/>
        <v>13</v>
      </c>
    </row>
    <row r="25" spans="1:8" x14ac:dyDescent="0.35">
      <c r="A25" s="36">
        <f t="shared" si="0"/>
        <v>14</v>
      </c>
      <c r="B25" s="264" t="s">
        <v>222</v>
      </c>
      <c r="E25" s="45">
        <v>-26863.351999999999</v>
      </c>
      <c r="G25" s="36" t="s">
        <v>223</v>
      </c>
      <c r="H25" s="36">
        <f t="shared" si="1"/>
        <v>14</v>
      </c>
    </row>
    <row r="26" spans="1:8" x14ac:dyDescent="0.35">
      <c r="A26" s="36">
        <f t="shared" si="0"/>
        <v>15</v>
      </c>
      <c r="B26" s="264" t="s">
        <v>224</v>
      </c>
      <c r="E26" s="45">
        <v>-1113.175</v>
      </c>
      <c r="G26" s="36" t="s">
        <v>225</v>
      </c>
      <c r="H26" s="36">
        <f t="shared" si="1"/>
        <v>15</v>
      </c>
    </row>
    <row r="27" spans="1:8" x14ac:dyDescent="0.35">
      <c r="A27" s="36">
        <f t="shared" si="0"/>
        <v>16</v>
      </c>
      <c r="B27" s="18" t="s">
        <v>226</v>
      </c>
      <c r="E27" s="46">
        <v>1614.6884600000001</v>
      </c>
      <c r="G27" s="36" t="s">
        <v>227</v>
      </c>
      <c r="H27" s="36">
        <f t="shared" si="1"/>
        <v>16</v>
      </c>
    </row>
    <row r="28" spans="1:8" x14ac:dyDescent="0.35">
      <c r="A28" s="36">
        <f t="shared" si="0"/>
        <v>17</v>
      </c>
      <c r="B28" s="18" t="s">
        <v>228</v>
      </c>
      <c r="E28" s="101">
        <f>SUM(E16:E27)</f>
        <v>43805.347860000002</v>
      </c>
      <c r="G28" s="31" t="str">
        <f>"Sum Lines "&amp;A16&amp;" thru "&amp;A27</f>
        <v>Sum Lines 5 thru 16</v>
      </c>
      <c r="H28" s="36">
        <f t="shared" si="1"/>
        <v>17</v>
      </c>
    </row>
    <row r="29" spans="1:8" x14ac:dyDescent="0.35">
      <c r="A29" s="36">
        <f t="shared" si="0"/>
        <v>18</v>
      </c>
      <c r="E29" s="35"/>
      <c r="H29" s="36">
        <f t="shared" si="1"/>
        <v>18</v>
      </c>
    </row>
    <row r="30" spans="1:8" x14ac:dyDescent="0.35">
      <c r="A30" s="36">
        <f t="shared" si="0"/>
        <v>19</v>
      </c>
      <c r="B30" s="310" t="s">
        <v>229</v>
      </c>
      <c r="E30" s="47"/>
      <c r="G30" s="36"/>
      <c r="H30" s="36">
        <f t="shared" si="1"/>
        <v>19</v>
      </c>
    </row>
    <row r="31" spans="1:8" x14ac:dyDescent="0.35">
      <c r="A31" s="36">
        <f t="shared" si="0"/>
        <v>20</v>
      </c>
      <c r="B31" s="24" t="s">
        <v>230</v>
      </c>
      <c r="C31" s="36"/>
      <c r="E31" s="42">
        <v>595483.66295999987</v>
      </c>
      <c r="G31" s="36" t="s">
        <v>708</v>
      </c>
      <c r="H31" s="36">
        <f t="shared" si="1"/>
        <v>20</v>
      </c>
    </row>
    <row r="32" spans="1:8" x14ac:dyDescent="0.35">
      <c r="A32" s="36">
        <f t="shared" si="0"/>
        <v>21</v>
      </c>
      <c r="B32" s="24" t="s">
        <v>232</v>
      </c>
      <c r="E32" s="47" t="s">
        <v>233</v>
      </c>
      <c r="G32" s="36"/>
      <c r="H32" s="36">
        <f t="shared" si="1"/>
        <v>21</v>
      </c>
    </row>
    <row r="33" spans="1:10" x14ac:dyDescent="0.35">
      <c r="A33" s="36">
        <f t="shared" si="0"/>
        <v>22</v>
      </c>
      <c r="B33" s="183" t="s">
        <v>234</v>
      </c>
      <c r="E33" s="45">
        <v>-2360.7200000000003</v>
      </c>
      <c r="G33" s="36" t="s">
        <v>698</v>
      </c>
      <c r="H33" s="36">
        <f t="shared" si="1"/>
        <v>22</v>
      </c>
      <c r="I33" s="311"/>
      <c r="J33" s="49"/>
    </row>
    <row r="34" spans="1:10" ht="31" x14ac:dyDescent="0.35">
      <c r="A34" s="36">
        <f t="shared" si="0"/>
        <v>23</v>
      </c>
      <c r="B34" s="96" t="s">
        <v>236</v>
      </c>
      <c r="E34" s="45">
        <v>555.40800074000003</v>
      </c>
      <c r="G34" s="48" t="s">
        <v>699</v>
      </c>
      <c r="H34" s="36">
        <f t="shared" si="1"/>
        <v>23</v>
      </c>
      <c r="I34" s="311"/>
      <c r="J34" s="49"/>
    </row>
    <row r="35" spans="1:10" x14ac:dyDescent="0.35">
      <c r="A35" s="36">
        <f t="shared" si="0"/>
        <v>24</v>
      </c>
      <c r="B35" s="183" t="s">
        <v>238</v>
      </c>
      <c r="E35" s="45">
        <v>0</v>
      </c>
      <c r="G35" s="36" t="s">
        <v>700</v>
      </c>
      <c r="H35" s="36">
        <f t="shared" si="1"/>
        <v>24</v>
      </c>
      <c r="I35" s="311"/>
      <c r="J35" s="49"/>
    </row>
    <row r="36" spans="1:10" ht="15.75" customHeight="1" x14ac:dyDescent="0.35">
      <c r="A36" s="36">
        <f t="shared" si="0"/>
        <v>25</v>
      </c>
      <c r="B36" s="96" t="s">
        <v>240</v>
      </c>
      <c r="E36" s="45">
        <v>-2085.1866</v>
      </c>
      <c r="G36" s="36" t="s">
        <v>239</v>
      </c>
      <c r="H36" s="36">
        <f t="shared" si="1"/>
        <v>25</v>
      </c>
      <c r="I36" s="311"/>
      <c r="J36" s="49"/>
    </row>
    <row r="37" spans="1:10" x14ac:dyDescent="0.35">
      <c r="A37" s="36">
        <f t="shared" si="0"/>
        <v>26</v>
      </c>
      <c r="B37" s="183" t="s">
        <v>242</v>
      </c>
      <c r="E37" s="45">
        <v>-13015.817289999999</v>
      </c>
      <c r="G37" s="36" t="s">
        <v>701</v>
      </c>
      <c r="H37" s="36">
        <f t="shared" si="1"/>
        <v>26</v>
      </c>
    </row>
    <row r="38" spans="1:10" x14ac:dyDescent="0.35">
      <c r="A38" s="36">
        <f t="shared" si="0"/>
        <v>27</v>
      </c>
      <c r="B38" s="183" t="s">
        <v>244</v>
      </c>
      <c r="E38" s="45">
        <v>0</v>
      </c>
      <c r="G38" s="579" t="s">
        <v>245</v>
      </c>
      <c r="H38" s="36">
        <f t="shared" si="1"/>
        <v>27</v>
      </c>
      <c r="J38" s="49"/>
    </row>
    <row r="39" spans="1:10" x14ac:dyDescent="0.35">
      <c r="A39" s="36">
        <f t="shared" si="0"/>
        <v>28</v>
      </c>
      <c r="B39" s="183" t="s">
        <v>246</v>
      </c>
      <c r="E39" s="45">
        <v>204.155</v>
      </c>
      <c r="G39" s="48" t="s">
        <v>702</v>
      </c>
      <c r="H39" s="36">
        <f t="shared" si="1"/>
        <v>28</v>
      </c>
      <c r="I39" s="311"/>
    </row>
    <row r="40" spans="1:10" x14ac:dyDescent="0.35">
      <c r="A40" s="36">
        <f t="shared" si="0"/>
        <v>29</v>
      </c>
      <c r="B40" s="183" t="s">
        <v>248</v>
      </c>
      <c r="E40" s="45">
        <v>-130506.76528000001</v>
      </c>
      <c r="G40" s="36" t="s">
        <v>703</v>
      </c>
      <c r="H40" s="36">
        <f t="shared" si="1"/>
        <v>29</v>
      </c>
      <c r="I40" s="311"/>
      <c r="J40" s="49"/>
    </row>
    <row r="41" spans="1:10" x14ac:dyDescent="0.35">
      <c r="A41" s="36">
        <f t="shared" si="0"/>
        <v>30</v>
      </c>
      <c r="B41" s="183" t="s">
        <v>250</v>
      </c>
      <c r="E41" s="45">
        <v>-12.147468914000001</v>
      </c>
      <c r="G41" s="48" t="s">
        <v>704</v>
      </c>
      <c r="H41" s="36">
        <f t="shared" si="1"/>
        <v>30</v>
      </c>
    </row>
    <row r="42" spans="1:10" x14ac:dyDescent="0.35">
      <c r="A42" s="36">
        <f t="shared" si="0"/>
        <v>31</v>
      </c>
      <c r="B42" s="183" t="s">
        <v>252</v>
      </c>
      <c r="E42" s="45">
        <v>-40.544630000000005</v>
      </c>
      <c r="G42" s="48" t="s">
        <v>705</v>
      </c>
      <c r="H42" s="36">
        <f t="shared" si="1"/>
        <v>31</v>
      </c>
    </row>
    <row r="43" spans="1:10" ht="31" x14ac:dyDescent="0.35">
      <c r="A43" s="36">
        <f t="shared" si="0"/>
        <v>32</v>
      </c>
      <c r="B43" s="96" t="s">
        <v>254</v>
      </c>
      <c r="E43" s="45">
        <v>-24673.96447250203</v>
      </c>
      <c r="G43" s="48" t="s">
        <v>706</v>
      </c>
      <c r="H43" s="36">
        <f t="shared" si="1"/>
        <v>32</v>
      </c>
    </row>
    <row r="44" spans="1:10" x14ac:dyDescent="0.35">
      <c r="A44" s="36">
        <f t="shared" si="0"/>
        <v>33</v>
      </c>
      <c r="B44" s="24" t="s">
        <v>257</v>
      </c>
      <c r="E44" s="833">
        <f>SUM(E31:E43)</f>
        <v>423548.08021932386</v>
      </c>
      <c r="G44" s="36" t="str">
        <f>"Sum Lines "&amp;A31&amp;" thru "&amp;A43</f>
        <v>Sum Lines 20 thru 32</v>
      </c>
      <c r="H44" s="36">
        <f t="shared" si="1"/>
        <v>33</v>
      </c>
      <c r="J44" s="50"/>
    </row>
    <row r="45" spans="1:10" x14ac:dyDescent="0.35">
      <c r="A45" s="36">
        <f t="shared" si="0"/>
        <v>34</v>
      </c>
      <c r="B45" s="24" t="s">
        <v>258</v>
      </c>
      <c r="E45" s="738">
        <v>-8310.402</v>
      </c>
      <c r="G45" s="36" t="s">
        <v>259</v>
      </c>
      <c r="H45" s="36">
        <f t="shared" si="1"/>
        <v>34</v>
      </c>
      <c r="J45" s="50"/>
    </row>
    <row r="46" spans="1:10" x14ac:dyDescent="0.35">
      <c r="A46" s="36">
        <f t="shared" si="0"/>
        <v>35</v>
      </c>
      <c r="B46" s="24" t="s">
        <v>260</v>
      </c>
      <c r="E46" s="833">
        <f>SUM(E44:E45)</f>
        <v>415237.67821932386</v>
      </c>
      <c r="G46" s="36" t="str">
        <f>"Line "&amp;A44&amp;" + Line "&amp;A45</f>
        <v>Line 33 + Line 34</v>
      </c>
      <c r="H46" s="36">
        <f t="shared" si="1"/>
        <v>35</v>
      </c>
    </row>
    <row r="47" spans="1:10" x14ac:dyDescent="0.35">
      <c r="A47" s="36">
        <f t="shared" si="0"/>
        <v>36</v>
      </c>
      <c r="B47" s="18" t="s">
        <v>261</v>
      </c>
      <c r="E47" s="834">
        <v>0.10684340052956183</v>
      </c>
      <c r="G47" s="31" t="s">
        <v>262</v>
      </c>
      <c r="H47" s="36">
        <f t="shared" si="1"/>
        <v>36</v>
      </c>
    </row>
    <row r="48" spans="1:10" x14ac:dyDescent="0.35">
      <c r="A48" s="36">
        <f t="shared" si="0"/>
        <v>37</v>
      </c>
      <c r="B48" s="24" t="s">
        <v>263</v>
      </c>
      <c r="E48" s="835">
        <f>E46*E47</f>
        <v>44365.405568952534</v>
      </c>
      <c r="G48" s="36" t="str">
        <f>"Line "&amp;A46&amp;" x Line "&amp;A47</f>
        <v>Line 35 x Line 36</v>
      </c>
      <c r="H48" s="36">
        <f t="shared" si="1"/>
        <v>37</v>
      </c>
    </row>
    <row r="49" spans="1:9" x14ac:dyDescent="0.35">
      <c r="A49" s="36">
        <f t="shared" si="0"/>
        <v>38</v>
      </c>
      <c r="B49" s="37" t="s">
        <v>264</v>
      </c>
      <c r="E49" s="836">
        <f>E69*(-E45)</f>
        <v>3335.0369387060014</v>
      </c>
      <c r="G49" s="36" t="str">
        <f>"Negative of Line "&amp;A45&amp;" x Line "&amp;A69</f>
        <v>Negative of Line 34 x Line 58</v>
      </c>
      <c r="H49" s="36">
        <f t="shared" si="1"/>
        <v>38</v>
      </c>
    </row>
    <row r="50" spans="1:9" ht="16" thickBot="1" x14ac:dyDescent="0.4">
      <c r="A50" s="36">
        <f t="shared" si="0"/>
        <v>39</v>
      </c>
      <c r="B50" s="43" t="s">
        <v>265</v>
      </c>
      <c r="E50" s="837">
        <f>E49+E48</f>
        <v>47700.442507658532</v>
      </c>
      <c r="G50" s="36" t="str">
        <f>"Line "&amp;A48&amp;" + Line "&amp;A49</f>
        <v>Line 37 + Line 38</v>
      </c>
      <c r="H50" s="36">
        <f t="shared" si="1"/>
        <v>39</v>
      </c>
      <c r="I50" s="43"/>
    </row>
    <row r="51" spans="1:9" ht="16" thickTop="1" x14ac:dyDescent="0.35">
      <c r="A51" s="36">
        <f t="shared" si="0"/>
        <v>40</v>
      </c>
      <c r="B51" s="53"/>
      <c r="E51" s="54"/>
      <c r="G51" s="36"/>
      <c r="H51" s="36">
        <f t="shared" si="1"/>
        <v>40</v>
      </c>
    </row>
    <row r="52" spans="1:9" x14ac:dyDescent="0.35">
      <c r="A52" s="36">
        <f t="shared" si="0"/>
        <v>41</v>
      </c>
      <c r="B52" s="26" t="s">
        <v>266</v>
      </c>
      <c r="E52" s="55"/>
      <c r="G52" s="36"/>
      <c r="H52" s="36">
        <f t="shared" si="1"/>
        <v>41</v>
      </c>
    </row>
    <row r="53" spans="1:9" x14ac:dyDescent="0.35">
      <c r="A53" s="36">
        <f t="shared" si="0"/>
        <v>42</v>
      </c>
      <c r="B53" s="24" t="s">
        <v>267</v>
      </c>
      <c r="E53" s="32">
        <v>6717604.4084030753</v>
      </c>
      <c r="G53" s="36" t="s">
        <v>268</v>
      </c>
      <c r="H53" s="36">
        <f t="shared" si="1"/>
        <v>42</v>
      </c>
    </row>
    <row r="54" spans="1:9" x14ac:dyDescent="0.35">
      <c r="A54" s="36">
        <f t="shared" si="0"/>
        <v>43</v>
      </c>
      <c r="B54" s="24" t="s">
        <v>269</v>
      </c>
      <c r="E54" s="56">
        <v>0</v>
      </c>
      <c r="G54" s="36" t="s">
        <v>270</v>
      </c>
      <c r="H54" s="36">
        <f t="shared" si="1"/>
        <v>43</v>
      </c>
    </row>
    <row r="55" spans="1:9" x14ac:dyDescent="0.35">
      <c r="A55" s="36">
        <f t="shared" si="0"/>
        <v>44</v>
      </c>
      <c r="B55" s="24" t="s">
        <v>271</v>
      </c>
      <c r="E55" s="57">
        <v>49193.51899590245</v>
      </c>
      <c r="G55" s="58" t="s">
        <v>272</v>
      </c>
      <c r="H55" s="36">
        <f t="shared" si="1"/>
        <v>44</v>
      </c>
    </row>
    <row r="56" spans="1:9" x14ac:dyDescent="0.35">
      <c r="A56" s="36">
        <f t="shared" si="0"/>
        <v>45</v>
      </c>
      <c r="B56" s="24" t="s">
        <v>273</v>
      </c>
      <c r="E56" s="838">
        <v>121720.77530805826</v>
      </c>
      <c r="G56" s="58" t="s">
        <v>274</v>
      </c>
      <c r="H56" s="36">
        <f t="shared" si="1"/>
        <v>45</v>
      </c>
    </row>
    <row r="57" spans="1:9" ht="16" thickBot="1" x14ac:dyDescent="0.4">
      <c r="A57" s="36">
        <f t="shared" si="0"/>
        <v>46</v>
      </c>
      <c r="B57" s="24" t="s">
        <v>275</v>
      </c>
      <c r="E57" s="59">
        <f>SUM(E53:E56)</f>
        <v>6888518.7027070364</v>
      </c>
      <c r="G57" s="36" t="str">
        <f>"Sum Lines "&amp;A53&amp;" thru "&amp;A56</f>
        <v>Sum Lines 42 thru 45</v>
      </c>
      <c r="H57" s="36">
        <f t="shared" si="1"/>
        <v>46</v>
      </c>
      <c r="I57" s="43"/>
    </row>
    <row r="58" spans="1:9" ht="16" thickTop="1" x14ac:dyDescent="0.35">
      <c r="A58" s="36">
        <f t="shared" si="0"/>
        <v>47</v>
      </c>
      <c r="B58" s="53"/>
      <c r="E58" s="35"/>
      <c r="G58" s="36"/>
      <c r="H58" s="36">
        <f t="shared" si="1"/>
        <v>47</v>
      </c>
    </row>
    <row r="59" spans="1:9" x14ac:dyDescent="0.35">
      <c r="A59" s="36">
        <f t="shared" si="0"/>
        <v>48</v>
      </c>
      <c r="B59" s="24" t="s">
        <v>276</v>
      </c>
      <c r="E59" s="60">
        <f>E53</f>
        <v>6717604.4084030753</v>
      </c>
      <c r="G59" s="61" t="str">
        <f>"Line "&amp;A53&amp;" Above"</f>
        <v>Line 42 Above</v>
      </c>
      <c r="H59" s="36">
        <f t="shared" si="1"/>
        <v>48</v>
      </c>
    </row>
    <row r="60" spans="1:9" x14ac:dyDescent="0.35">
      <c r="A60" s="36">
        <f t="shared" si="0"/>
        <v>49</v>
      </c>
      <c r="B60" s="24" t="s">
        <v>277</v>
      </c>
      <c r="E60" s="33">
        <v>557045.05025384598</v>
      </c>
      <c r="G60" s="58" t="s">
        <v>278</v>
      </c>
      <c r="H60" s="36">
        <f t="shared" si="1"/>
        <v>49</v>
      </c>
    </row>
    <row r="61" spans="1:9" x14ac:dyDescent="0.35">
      <c r="A61" s="36">
        <f t="shared" si="0"/>
        <v>50</v>
      </c>
      <c r="B61" s="24" t="s">
        <v>279</v>
      </c>
      <c r="E61" s="56">
        <v>0</v>
      </c>
      <c r="G61" s="36" t="s">
        <v>270</v>
      </c>
      <c r="H61" s="36">
        <f t="shared" si="1"/>
        <v>50</v>
      </c>
    </row>
    <row r="62" spans="1:9" x14ac:dyDescent="0.35">
      <c r="A62" s="36">
        <f t="shared" si="0"/>
        <v>51</v>
      </c>
      <c r="B62" s="24" t="s">
        <v>280</v>
      </c>
      <c r="E62" s="33">
        <v>529465.61728230771</v>
      </c>
      <c r="G62" s="58" t="s">
        <v>281</v>
      </c>
      <c r="H62" s="36">
        <f t="shared" si="1"/>
        <v>51</v>
      </c>
    </row>
    <row r="63" spans="1:9" x14ac:dyDescent="0.35">
      <c r="A63" s="36">
        <f t="shared" si="0"/>
        <v>52</v>
      </c>
      <c r="B63" s="24" t="s">
        <v>282</v>
      </c>
      <c r="E63" s="33">
        <v>7761348.9741599998</v>
      </c>
      <c r="G63" s="58" t="s">
        <v>283</v>
      </c>
      <c r="H63" s="36">
        <f t="shared" si="1"/>
        <v>52</v>
      </c>
    </row>
    <row r="64" spans="1:9" x14ac:dyDescent="0.35">
      <c r="A64" s="36">
        <f t="shared" si="0"/>
        <v>53</v>
      </c>
      <c r="B64" s="43" t="s">
        <v>269</v>
      </c>
      <c r="E64" s="56">
        <v>0</v>
      </c>
      <c r="G64" s="36" t="s">
        <v>270</v>
      </c>
      <c r="H64" s="36">
        <f t="shared" si="1"/>
        <v>53</v>
      </c>
    </row>
    <row r="65" spans="1:9" x14ac:dyDescent="0.35">
      <c r="A65" s="36">
        <f t="shared" si="0"/>
        <v>54</v>
      </c>
      <c r="B65" s="24" t="s">
        <v>284</v>
      </c>
      <c r="E65" s="33">
        <v>460426.36935999995</v>
      </c>
      <c r="G65" s="58" t="s">
        <v>285</v>
      </c>
      <c r="H65" s="36">
        <f t="shared" si="1"/>
        <v>54</v>
      </c>
    </row>
    <row r="66" spans="1:9" x14ac:dyDescent="0.35">
      <c r="A66" s="36">
        <f t="shared" si="0"/>
        <v>55</v>
      </c>
      <c r="B66" s="24" t="s">
        <v>286</v>
      </c>
      <c r="E66" s="839">
        <v>1139244.6768331761</v>
      </c>
      <c r="G66" s="58" t="s">
        <v>287</v>
      </c>
      <c r="H66" s="36">
        <f t="shared" si="1"/>
        <v>55</v>
      </c>
    </row>
    <row r="67" spans="1:9" ht="16" thickBot="1" x14ac:dyDescent="0.4">
      <c r="A67" s="36">
        <f t="shared" si="0"/>
        <v>56</v>
      </c>
      <c r="B67" s="24" t="s">
        <v>288</v>
      </c>
      <c r="E67" s="62">
        <f>SUM(E59:E66)</f>
        <v>17165135.096292403</v>
      </c>
      <c r="G67" s="36" t="str">
        <f>"Sum Lines "&amp;A59&amp;" thru "&amp;A66</f>
        <v>Sum Lines 48 thru 55</v>
      </c>
      <c r="H67" s="36">
        <f t="shared" si="1"/>
        <v>56</v>
      </c>
      <c r="I67" s="43"/>
    </row>
    <row r="68" spans="1:9" ht="16" thickTop="1" x14ac:dyDescent="0.35">
      <c r="A68" s="36">
        <f t="shared" si="0"/>
        <v>57</v>
      </c>
      <c r="E68" s="63"/>
      <c r="G68" s="36"/>
      <c r="H68" s="36">
        <f t="shared" si="1"/>
        <v>57</v>
      </c>
    </row>
    <row r="69" spans="1:9" ht="19" thickBot="1" x14ac:dyDescent="0.4">
      <c r="A69" s="36">
        <f t="shared" si="0"/>
        <v>58</v>
      </c>
      <c r="B69" s="24" t="s">
        <v>289</v>
      </c>
      <c r="E69" s="64">
        <f>E57/E67</f>
        <v>0.40130873797753724</v>
      </c>
      <c r="G69" s="36" t="str">
        <f>"Line "&amp;A57&amp;" / Line "&amp;A67</f>
        <v>Line 46 / Line 56</v>
      </c>
      <c r="H69" s="36">
        <f t="shared" si="1"/>
        <v>58</v>
      </c>
      <c r="I69" s="43"/>
    </row>
    <row r="70" spans="1:9" ht="16" thickTop="1" x14ac:dyDescent="0.35">
      <c r="B70" s="43" t="s">
        <v>233</v>
      </c>
      <c r="E70" s="65"/>
      <c r="G70" s="36"/>
      <c r="H70" s="36"/>
    </row>
    <row r="71" spans="1:9" x14ac:dyDescent="0.35">
      <c r="B71" s="24"/>
      <c r="E71" s="65"/>
      <c r="F71" s="65"/>
      <c r="G71" s="36"/>
      <c r="H71" s="36"/>
    </row>
    <row r="72" spans="1:9" ht="18" x14ac:dyDescent="0.35">
      <c r="A72" s="67">
        <v>1</v>
      </c>
      <c r="B72" s="24" t="s">
        <v>290</v>
      </c>
      <c r="H72" s="36"/>
    </row>
    <row r="73" spans="1:9" x14ac:dyDescent="0.35">
      <c r="B73" s="43"/>
      <c r="E73" s="63"/>
      <c r="F73" s="63"/>
      <c r="G73" s="36"/>
      <c r="H73" s="36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Roman,Bold"&amp;9AS FILED</oddHeader>
    <oddFooter>&amp;CPage 10.1&amp;R&amp;F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2:O102"/>
  <sheetViews>
    <sheetView zoomScale="80" zoomScaleNormal="80" workbookViewId="0"/>
  </sheetViews>
  <sheetFormatPr defaultColWidth="9.1796875" defaultRowHeight="15.5" x14ac:dyDescent="0.35"/>
  <cols>
    <col min="1" max="1" width="5.1796875" style="527" customWidth="1"/>
    <col min="2" max="2" width="8.54296875" style="528" customWidth="1"/>
    <col min="3" max="3" width="68.81640625" style="528" customWidth="1"/>
    <col min="4" max="6" width="16.81640625" style="528" customWidth="1"/>
    <col min="7" max="7" width="2.81640625" style="528" customWidth="1"/>
    <col min="8" max="8" width="16.81640625" style="528" customWidth="1"/>
    <col min="9" max="9" width="3" style="528" bestFit="1" customWidth="1"/>
    <col min="10" max="10" width="16.81640625" style="528" customWidth="1"/>
    <col min="11" max="11" width="34.54296875" style="528" customWidth="1"/>
    <col min="12" max="12" width="5.1796875" style="527" customWidth="1"/>
    <col min="13" max="13" width="4" style="528" customWidth="1"/>
    <col min="14" max="14" width="13.1796875" style="528" bestFit="1" customWidth="1"/>
    <col min="15" max="15" width="9.1796875" style="528"/>
    <col min="16" max="16" width="9.81640625" style="528" customWidth="1"/>
    <col min="17" max="17" width="10" style="528" customWidth="1"/>
    <col min="18" max="16384" width="9.1796875" style="528"/>
  </cols>
  <sheetData>
    <row r="2" spans="1:15" x14ac:dyDescent="0.35">
      <c r="B2" s="868" t="s">
        <v>20</v>
      </c>
      <c r="C2" s="868"/>
      <c r="D2" s="868"/>
      <c r="E2" s="868"/>
      <c r="F2" s="868"/>
      <c r="G2" s="868"/>
      <c r="H2" s="868"/>
      <c r="I2" s="868"/>
      <c r="J2" s="868"/>
      <c r="K2" s="868"/>
      <c r="L2" s="633"/>
    </row>
    <row r="3" spans="1:15" x14ac:dyDescent="0.35">
      <c r="B3" s="868" t="s">
        <v>291</v>
      </c>
      <c r="C3" s="868"/>
      <c r="D3" s="868"/>
      <c r="E3" s="868"/>
      <c r="F3" s="868"/>
      <c r="G3" s="868"/>
      <c r="H3" s="868"/>
      <c r="I3" s="868"/>
      <c r="J3" s="868"/>
      <c r="K3" s="868"/>
      <c r="L3" s="633"/>
    </row>
    <row r="4" spans="1:15" x14ac:dyDescent="0.35">
      <c r="B4" s="868" t="s">
        <v>292</v>
      </c>
      <c r="C4" s="868"/>
      <c r="D4" s="868"/>
      <c r="E4" s="868"/>
      <c r="F4" s="868"/>
      <c r="G4" s="868"/>
      <c r="H4" s="868"/>
      <c r="I4" s="868"/>
      <c r="J4" s="868"/>
      <c r="K4" s="868"/>
      <c r="L4" s="633"/>
    </row>
    <row r="5" spans="1:15" x14ac:dyDescent="0.35">
      <c r="B5" s="869" t="s">
        <v>4</v>
      </c>
      <c r="C5" s="869"/>
      <c r="D5" s="869"/>
      <c r="E5" s="869"/>
      <c r="F5" s="869"/>
      <c r="G5" s="869"/>
      <c r="H5" s="869"/>
      <c r="I5" s="869"/>
      <c r="J5" s="869"/>
      <c r="K5" s="869"/>
      <c r="L5" s="633"/>
    </row>
    <row r="6" spans="1:15" ht="16" thickBot="1" x14ac:dyDescent="0.4">
      <c r="D6" s="529"/>
      <c r="E6" s="529"/>
      <c r="F6" s="529"/>
      <c r="G6" s="529"/>
      <c r="H6" s="529"/>
      <c r="I6" s="529"/>
      <c r="J6" s="529"/>
      <c r="K6" s="529"/>
      <c r="N6" s="37"/>
    </row>
    <row r="7" spans="1:15" ht="18" x14ac:dyDescent="0.3">
      <c r="A7" s="633"/>
      <c r="B7" s="530"/>
      <c r="C7" s="531"/>
      <c r="D7" s="532" t="s">
        <v>293</v>
      </c>
      <c r="E7" s="533" t="s">
        <v>294</v>
      </c>
      <c r="F7" s="69" t="s">
        <v>295</v>
      </c>
      <c r="G7" s="70"/>
      <c r="H7" s="631" t="s">
        <v>296</v>
      </c>
      <c r="I7" s="71"/>
      <c r="J7" s="71" t="s">
        <v>297</v>
      </c>
      <c r="K7" s="534"/>
      <c r="L7" s="633"/>
    </row>
    <row r="8" spans="1:15" x14ac:dyDescent="0.3">
      <c r="A8" s="527" t="s">
        <v>5</v>
      </c>
      <c r="B8" s="535" t="s">
        <v>298</v>
      </c>
      <c r="C8" s="536"/>
      <c r="D8" s="537" t="s">
        <v>299</v>
      </c>
      <c r="E8" s="633" t="s">
        <v>300</v>
      </c>
      <c r="F8" s="537" t="s">
        <v>299</v>
      </c>
      <c r="G8" s="538"/>
      <c r="H8" s="364" t="s">
        <v>301</v>
      </c>
      <c r="I8" s="539"/>
      <c r="J8" s="72" t="s">
        <v>302</v>
      </c>
      <c r="K8" s="540"/>
      <c r="L8" s="527" t="s">
        <v>5</v>
      </c>
    </row>
    <row r="9" spans="1:15" ht="16" thickBot="1" x14ac:dyDescent="0.35">
      <c r="A9" s="527" t="s">
        <v>6</v>
      </c>
      <c r="B9" s="541" t="s">
        <v>303</v>
      </c>
      <c r="C9" s="542" t="s">
        <v>7</v>
      </c>
      <c r="D9" s="543" t="s">
        <v>304</v>
      </c>
      <c r="E9" s="542" t="s">
        <v>305</v>
      </c>
      <c r="F9" s="543" t="s">
        <v>306</v>
      </c>
      <c r="G9" s="544"/>
      <c r="H9" s="545" t="s">
        <v>307</v>
      </c>
      <c r="I9" s="546"/>
      <c r="J9" s="547" t="s">
        <v>308</v>
      </c>
      <c r="K9" s="548" t="s">
        <v>9</v>
      </c>
      <c r="L9" s="527" t="s">
        <v>6</v>
      </c>
      <c r="M9" s="527"/>
    </row>
    <row r="10" spans="1:15" x14ac:dyDescent="0.35">
      <c r="B10" s="549"/>
      <c r="C10" s="550" t="s">
        <v>309</v>
      </c>
      <c r="D10" s="551"/>
      <c r="E10" s="654"/>
      <c r="F10" s="552"/>
      <c r="G10" s="553"/>
      <c r="H10" s="553"/>
      <c r="I10" s="554"/>
      <c r="J10" s="655"/>
      <c r="K10" s="555"/>
    </row>
    <row r="11" spans="1:15" ht="18.5" x14ac:dyDescent="0.35">
      <c r="A11" s="527">
        <v>1</v>
      </c>
      <c r="B11" s="549">
        <v>920</v>
      </c>
      <c r="C11" s="556" t="s">
        <v>310</v>
      </c>
      <c r="D11" s="74">
        <v>46411.108999999997</v>
      </c>
      <c r="E11" s="74">
        <f>E36</f>
        <v>968.08356942399996</v>
      </c>
      <c r="F11" s="74">
        <f>D11-E11</f>
        <v>45443.025430575995</v>
      </c>
      <c r="G11" s="25"/>
      <c r="H11" s="34"/>
      <c r="I11" s="557"/>
      <c r="J11" s="74">
        <f>F11+H11</f>
        <v>45443.025430575995</v>
      </c>
      <c r="K11" s="73" t="s">
        <v>311</v>
      </c>
      <c r="L11" s="527">
        <f>A11</f>
        <v>1</v>
      </c>
      <c r="M11" s="528" t="s">
        <v>233</v>
      </c>
      <c r="N11" s="559"/>
    </row>
    <row r="12" spans="1:15" ht="18.5" x14ac:dyDescent="0.35">
      <c r="A12" s="527">
        <f t="shared" ref="A12:A75" si="0">A11+1</f>
        <v>2</v>
      </c>
      <c r="B12" s="549">
        <v>921</v>
      </c>
      <c r="C12" s="556" t="s">
        <v>312</v>
      </c>
      <c r="D12" s="75">
        <v>28861</v>
      </c>
      <c r="E12" s="75">
        <f>E39</f>
        <v>9375.0137418520007</v>
      </c>
      <c r="F12" s="75">
        <f>D12-E12</f>
        <v>19485.986258147997</v>
      </c>
      <c r="G12" s="25"/>
      <c r="H12" s="76"/>
      <c r="I12" s="557"/>
      <c r="J12" s="75">
        <f>F12+H12</f>
        <v>19485.986258147997</v>
      </c>
      <c r="K12" s="73" t="s">
        <v>313</v>
      </c>
      <c r="L12" s="527">
        <f t="shared" ref="L12:L75" si="1">L11+1</f>
        <v>2</v>
      </c>
      <c r="N12" s="559"/>
      <c r="O12" s="560"/>
    </row>
    <row r="13" spans="1:15" x14ac:dyDescent="0.35">
      <c r="A13" s="527">
        <f t="shared" si="0"/>
        <v>3</v>
      </c>
      <c r="B13" s="549">
        <v>922</v>
      </c>
      <c r="C13" s="556" t="s">
        <v>314</v>
      </c>
      <c r="D13" s="75">
        <v>-18872.382000000001</v>
      </c>
      <c r="E13" s="75">
        <f>E40</f>
        <v>-125.07091</v>
      </c>
      <c r="F13" s="75">
        <f t="shared" ref="F13:F23" si="2">D13-E13</f>
        <v>-18747.311090000003</v>
      </c>
      <c r="G13" s="76"/>
      <c r="H13" s="76"/>
      <c r="I13" s="77"/>
      <c r="J13" s="75">
        <f t="shared" ref="J13:J15" si="3">F13+H13</f>
        <v>-18747.311090000003</v>
      </c>
      <c r="K13" s="73" t="s">
        <v>315</v>
      </c>
      <c r="L13" s="527">
        <f t="shared" si="1"/>
        <v>3</v>
      </c>
      <c r="N13" s="559"/>
    </row>
    <row r="14" spans="1:15" ht="18.5" x14ac:dyDescent="0.35">
      <c r="A14" s="527">
        <f t="shared" si="0"/>
        <v>4</v>
      </c>
      <c r="B14" s="549">
        <v>923</v>
      </c>
      <c r="C14" s="556" t="s">
        <v>316</v>
      </c>
      <c r="D14" s="75">
        <v>108535.25900000001</v>
      </c>
      <c r="E14" s="75">
        <f>E46</f>
        <v>12845.547155421998</v>
      </c>
      <c r="F14" s="75">
        <f t="shared" si="2"/>
        <v>95689.711844578007</v>
      </c>
      <c r="G14" s="25"/>
      <c r="H14" s="76"/>
      <c r="I14" s="557"/>
      <c r="J14" s="75">
        <f t="shared" si="3"/>
        <v>95689.711844578007</v>
      </c>
      <c r="K14" s="73" t="s">
        <v>317</v>
      </c>
      <c r="L14" s="527">
        <f t="shared" si="1"/>
        <v>4</v>
      </c>
      <c r="N14" s="559"/>
    </row>
    <row r="15" spans="1:15" x14ac:dyDescent="0.35">
      <c r="A15" s="527">
        <f t="shared" si="0"/>
        <v>5</v>
      </c>
      <c r="B15" s="549">
        <v>924</v>
      </c>
      <c r="C15" s="556" t="s">
        <v>318</v>
      </c>
      <c r="D15" s="75">
        <v>8310.402</v>
      </c>
      <c r="E15" s="75"/>
      <c r="F15" s="75">
        <f t="shared" si="2"/>
        <v>8310.402</v>
      </c>
      <c r="G15" s="76"/>
      <c r="H15" s="76"/>
      <c r="I15" s="77"/>
      <c r="J15" s="75">
        <f t="shared" si="3"/>
        <v>8310.402</v>
      </c>
      <c r="K15" s="73" t="s">
        <v>319</v>
      </c>
      <c r="L15" s="527">
        <f t="shared" si="1"/>
        <v>5</v>
      </c>
      <c r="N15" s="559"/>
    </row>
    <row r="16" spans="1:15" ht="18.5" x14ac:dyDescent="0.35">
      <c r="A16" s="527">
        <f t="shared" si="0"/>
        <v>6</v>
      </c>
      <c r="B16" s="535">
        <v>925</v>
      </c>
      <c r="C16" s="556" t="s">
        <v>320</v>
      </c>
      <c r="D16" s="75">
        <v>181130.33900000001</v>
      </c>
      <c r="E16" s="75">
        <f>E49</f>
        <v>1105.1051231060101</v>
      </c>
      <c r="F16" s="75">
        <f t="shared" si="2"/>
        <v>180025.233876894</v>
      </c>
      <c r="G16" s="25" t="s">
        <v>34</v>
      </c>
      <c r="H16" s="34">
        <v>-130.33199999999999</v>
      </c>
      <c r="I16" s="557">
        <v>5</v>
      </c>
      <c r="J16" s="671">
        <f>F16+H16</f>
        <v>179894.901876894</v>
      </c>
      <c r="K16" s="73" t="s">
        <v>321</v>
      </c>
      <c r="L16" s="527">
        <f t="shared" si="1"/>
        <v>6</v>
      </c>
      <c r="N16" s="559"/>
    </row>
    <row r="17" spans="1:14" ht="18.5" x14ac:dyDescent="0.35">
      <c r="A17" s="527">
        <f t="shared" si="0"/>
        <v>7</v>
      </c>
      <c r="B17" s="549">
        <v>926</v>
      </c>
      <c r="C17" s="556" t="s">
        <v>322</v>
      </c>
      <c r="D17" s="75">
        <v>62304.38</v>
      </c>
      <c r="E17" s="75">
        <f>E52</f>
        <v>2589.589301958019</v>
      </c>
      <c r="F17" s="75">
        <f t="shared" si="2"/>
        <v>59714.790698041979</v>
      </c>
      <c r="G17" s="25"/>
      <c r="H17" s="76"/>
      <c r="I17" s="557"/>
      <c r="J17" s="75">
        <f t="shared" ref="J17:J23" si="4">F17+H17</f>
        <v>59714.790698041979</v>
      </c>
      <c r="K17" s="73" t="s">
        <v>323</v>
      </c>
      <c r="L17" s="527">
        <f t="shared" si="1"/>
        <v>7</v>
      </c>
      <c r="N17" s="561"/>
    </row>
    <row r="18" spans="1:14" x14ac:dyDescent="0.35">
      <c r="A18" s="527">
        <f t="shared" si="0"/>
        <v>8</v>
      </c>
      <c r="B18" s="549">
        <v>927</v>
      </c>
      <c r="C18" s="556" t="s">
        <v>324</v>
      </c>
      <c r="D18" s="75">
        <v>130506.765</v>
      </c>
      <c r="E18" s="75">
        <f>E53</f>
        <v>130506.76528000001</v>
      </c>
      <c r="F18" s="75">
        <f t="shared" si="2"/>
        <v>-2.8000000747852027E-4</v>
      </c>
      <c r="G18" s="76"/>
      <c r="H18" s="76"/>
      <c r="I18" s="77"/>
      <c r="J18" s="75">
        <f t="shared" si="4"/>
        <v>-2.8000000747852027E-4</v>
      </c>
      <c r="K18" s="73" t="s">
        <v>325</v>
      </c>
      <c r="L18" s="527">
        <f t="shared" si="1"/>
        <v>8</v>
      </c>
      <c r="N18" s="561"/>
    </row>
    <row r="19" spans="1:14" x14ac:dyDescent="0.35">
      <c r="A19" s="527">
        <f t="shared" si="0"/>
        <v>9</v>
      </c>
      <c r="B19" s="549">
        <v>928</v>
      </c>
      <c r="C19" s="556" t="s">
        <v>326</v>
      </c>
      <c r="D19" s="75">
        <v>27995.793000000001</v>
      </c>
      <c r="E19" s="75">
        <f>E59</f>
        <v>16572.369439999999</v>
      </c>
      <c r="F19" s="75">
        <f t="shared" si="2"/>
        <v>11423.423560000003</v>
      </c>
      <c r="G19" s="76"/>
      <c r="H19" s="76"/>
      <c r="I19" s="77"/>
      <c r="J19" s="75">
        <f t="shared" si="4"/>
        <v>11423.423560000003</v>
      </c>
      <c r="K19" s="73" t="s">
        <v>327</v>
      </c>
      <c r="L19" s="527">
        <f t="shared" si="1"/>
        <v>9</v>
      </c>
      <c r="N19" s="561"/>
    </row>
    <row r="20" spans="1:14" x14ac:dyDescent="0.35">
      <c r="A20" s="527">
        <f t="shared" si="0"/>
        <v>10</v>
      </c>
      <c r="B20" s="549">
        <v>929</v>
      </c>
      <c r="C20" s="556" t="s">
        <v>328</v>
      </c>
      <c r="D20" s="75">
        <v>-2772.7849999999999</v>
      </c>
      <c r="E20" s="75"/>
      <c r="F20" s="75">
        <f t="shared" si="2"/>
        <v>-2772.7849999999999</v>
      </c>
      <c r="G20" s="76"/>
      <c r="H20" s="76"/>
      <c r="I20" s="77"/>
      <c r="J20" s="75">
        <f t="shared" si="4"/>
        <v>-2772.7849999999999</v>
      </c>
      <c r="K20" s="73" t="s">
        <v>329</v>
      </c>
      <c r="L20" s="527">
        <f t="shared" si="1"/>
        <v>10</v>
      </c>
      <c r="N20" s="559"/>
    </row>
    <row r="21" spans="1:14" ht="18.5" x14ac:dyDescent="0.35">
      <c r="A21" s="527">
        <f t="shared" si="0"/>
        <v>11</v>
      </c>
      <c r="B21" s="563">
        <v>930.1</v>
      </c>
      <c r="C21" s="556" t="s">
        <v>330</v>
      </c>
      <c r="D21" s="75">
        <v>-204.155</v>
      </c>
      <c r="E21" s="75">
        <f>E60</f>
        <v>-204.155</v>
      </c>
      <c r="F21" s="75">
        <f t="shared" si="2"/>
        <v>0</v>
      </c>
      <c r="G21" s="76"/>
      <c r="H21" s="76"/>
      <c r="I21" s="557"/>
      <c r="J21" s="75">
        <f t="shared" si="4"/>
        <v>0</v>
      </c>
      <c r="K21" s="73" t="s">
        <v>331</v>
      </c>
      <c r="L21" s="527">
        <f t="shared" si="1"/>
        <v>11</v>
      </c>
      <c r="N21" s="559"/>
    </row>
    <row r="22" spans="1:14" ht="18.5" x14ac:dyDescent="0.35">
      <c r="A22" s="527">
        <f t="shared" si="0"/>
        <v>12</v>
      </c>
      <c r="B22" s="695">
        <v>930.2</v>
      </c>
      <c r="C22" s="556" t="s">
        <v>332</v>
      </c>
      <c r="D22" s="75">
        <v>2511.0549999999998</v>
      </c>
      <c r="E22" s="75">
        <f>E63</f>
        <v>217.58000000000015</v>
      </c>
      <c r="F22" s="75">
        <f t="shared" si="2"/>
        <v>2293.4749999999995</v>
      </c>
      <c r="G22" s="25" t="s">
        <v>34</v>
      </c>
      <c r="H22" s="76">
        <v>40</v>
      </c>
      <c r="I22" s="557">
        <v>6</v>
      </c>
      <c r="J22" s="671">
        <f t="shared" si="4"/>
        <v>2333.4749999999995</v>
      </c>
      <c r="K22" s="73" t="s">
        <v>333</v>
      </c>
      <c r="L22" s="527">
        <f t="shared" si="1"/>
        <v>12</v>
      </c>
      <c r="N22" s="564"/>
    </row>
    <row r="23" spans="1:14" x14ac:dyDescent="0.35">
      <c r="A23" s="527">
        <f t="shared" si="0"/>
        <v>13</v>
      </c>
      <c r="B23" s="549">
        <v>931</v>
      </c>
      <c r="C23" s="556" t="s">
        <v>334</v>
      </c>
      <c r="D23" s="75">
        <v>10939.305</v>
      </c>
      <c r="E23" s="75"/>
      <c r="F23" s="75">
        <f t="shared" si="2"/>
        <v>10939.305</v>
      </c>
      <c r="G23" s="76"/>
      <c r="H23" s="76"/>
      <c r="I23" s="77"/>
      <c r="J23" s="75">
        <f t="shared" si="4"/>
        <v>10939.305</v>
      </c>
      <c r="K23" s="73" t="s">
        <v>335</v>
      </c>
      <c r="L23" s="527">
        <f t="shared" si="1"/>
        <v>13</v>
      </c>
      <c r="N23" s="559"/>
    </row>
    <row r="24" spans="1:14" x14ac:dyDescent="0.35">
      <c r="A24" s="527">
        <f t="shared" si="0"/>
        <v>14</v>
      </c>
      <c r="B24" s="549">
        <v>935</v>
      </c>
      <c r="C24" s="556" t="s">
        <v>336</v>
      </c>
      <c r="D24" s="468">
        <v>9293.2980000000007</v>
      </c>
      <c r="E24" s="468">
        <f>E65</f>
        <v>-1915.2449610859999</v>
      </c>
      <c r="F24" s="468">
        <f>D24-E24</f>
        <v>11208.542961086001</v>
      </c>
      <c r="G24" s="469"/>
      <c r="H24" s="297"/>
      <c r="I24" s="318"/>
      <c r="J24" s="468">
        <f>F24+H24</f>
        <v>11208.542961086001</v>
      </c>
      <c r="K24" s="73" t="s">
        <v>337</v>
      </c>
      <c r="L24" s="527">
        <f t="shared" si="1"/>
        <v>14</v>
      </c>
      <c r="M24" s="528" t="s">
        <v>233</v>
      </c>
      <c r="N24" s="559"/>
    </row>
    <row r="25" spans="1:14" x14ac:dyDescent="0.35">
      <c r="A25" s="527">
        <f t="shared" si="0"/>
        <v>15</v>
      </c>
      <c r="B25" s="549"/>
      <c r="D25" s="565"/>
      <c r="E25" s="565"/>
      <c r="F25" s="565"/>
      <c r="I25" s="562"/>
      <c r="J25" s="565"/>
      <c r="K25" s="566"/>
      <c r="L25" s="527">
        <f t="shared" si="1"/>
        <v>15</v>
      </c>
    </row>
    <row r="26" spans="1:14" ht="16" thickBot="1" x14ac:dyDescent="0.4">
      <c r="A26" s="527">
        <f t="shared" si="0"/>
        <v>16</v>
      </c>
      <c r="B26" s="549"/>
      <c r="C26" s="536" t="s">
        <v>338</v>
      </c>
      <c r="D26" s="567">
        <f>SUM(D11:D24)</f>
        <v>594949.38299999991</v>
      </c>
      <c r="E26" s="80">
        <f>SUM(E11:E24)</f>
        <v>171935.58274067604</v>
      </c>
      <c r="F26" s="80">
        <f>SUM(F11:F24)</f>
        <v>423013.80025932402</v>
      </c>
      <c r="G26" s="81" t="s">
        <v>34</v>
      </c>
      <c r="H26" s="568">
        <f>SUM(H11:H24)</f>
        <v>-90.331999999999994</v>
      </c>
      <c r="I26" s="82"/>
      <c r="J26" s="80">
        <f>SUM(J11:J24)</f>
        <v>422923.46825932397</v>
      </c>
      <c r="K26" s="85" t="str">
        <f>"Sum Lines "&amp;A11&amp;" thru "&amp;A24</f>
        <v>Sum Lines 1 thru 14</v>
      </c>
      <c r="L26" s="527">
        <f t="shared" si="1"/>
        <v>16</v>
      </c>
    </row>
    <row r="27" spans="1:14" ht="16" thickTop="1" x14ac:dyDescent="0.35">
      <c r="A27" s="527">
        <f t="shared" si="0"/>
        <v>17</v>
      </c>
      <c r="B27" s="549"/>
      <c r="C27" s="536"/>
      <c r="D27" s="569"/>
      <c r="E27" s="558"/>
      <c r="F27" s="79"/>
      <c r="G27" s="78"/>
      <c r="H27" s="78"/>
      <c r="I27" s="558"/>
      <c r="J27" s="79"/>
      <c r="K27" s="85"/>
      <c r="L27" s="527">
        <f t="shared" si="1"/>
        <v>17</v>
      </c>
    </row>
    <row r="28" spans="1:14" ht="18" x14ac:dyDescent="0.35">
      <c r="A28" s="527">
        <f t="shared" si="0"/>
        <v>18</v>
      </c>
      <c r="B28" s="549">
        <v>413</v>
      </c>
      <c r="C28" s="528" t="s">
        <v>339</v>
      </c>
      <c r="D28" s="468">
        <v>534.27995999999996</v>
      </c>
      <c r="E28" s="318">
        <v>0</v>
      </c>
      <c r="F28" s="468">
        <f>D28-E28</f>
        <v>534.27995999999996</v>
      </c>
      <c r="G28" s="469"/>
      <c r="H28" s="297"/>
      <c r="I28" s="318"/>
      <c r="J28" s="468">
        <f>F28+H28</f>
        <v>534.27995999999996</v>
      </c>
      <c r="K28" s="85"/>
      <c r="L28" s="527">
        <f t="shared" si="1"/>
        <v>18</v>
      </c>
    </row>
    <row r="29" spans="1:14" x14ac:dyDescent="0.35">
      <c r="A29" s="527">
        <f t="shared" si="0"/>
        <v>19</v>
      </c>
      <c r="B29" s="549"/>
      <c r="C29" s="536"/>
      <c r="D29" s="569"/>
      <c r="E29" s="558"/>
      <c r="F29" s="79"/>
      <c r="G29" s="78"/>
      <c r="H29" s="78"/>
      <c r="I29" s="558"/>
      <c r="J29" s="79"/>
      <c r="K29" s="85"/>
      <c r="L29" s="527">
        <f t="shared" si="1"/>
        <v>19</v>
      </c>
    </row>
    <row r="30" spans="1:14" ht="16" thickBot="1" x14ac:dyDescent="0.4">
      <c r="A30" s="527">
        <f t="shared" si="0"/>
        <v>20</v>
      </c>
      <c r="B30" s="549"/>
      <c r="C30" s="536" t="s">
        <v>340</v>
      </c>
      <c r="D30" s="567">
        <f>D26+D28</f>
        <v>595483.66295999987</v>
      </c>
      <c r="E30" s="558">
        <f>E26+E28</f>
        <v>171935.58274067604</v>
      </c>
      <c r="F30" s="79">
        <f>F26+F28</f>
        <v>423548.08021932404</v>
      </c>
      <c r="G30" s="81" t="s">
        <v>34</v>
      </c>
      <c r="H30" s="568">
        <f>H26+H28</f>
        <v>-90.331999999999994</v>
      </c>
      <c r="I30" s="82"/>
      <c r="J30" s="80">
        <f>J26+J28</f>
        <v>423457.74821932398</v>
      </c>
      <c r="K30" s="85" t="str">
        <f>"Line "&amp;A26&amp;" + Line "&amp;A28</f>
        <v>Line 16 + Line 18</v>
      </c>
      <c r="L30" s="527">
        <f t="shared" si="1"/>
        <v>20</v>
      </c>
    </row>
    <row r="31" spans="1:14" ht="16.5" thickTop="1" thickBot="1" x14ac:dyDescent="0.4">
      <c r="A31" s="527">
        <f t="shared" si="0"/>
        <v>21</v>
      </c>
      <c r="B31" s="570"/>
      <c r="C31" s="529"/>
      <c r="D31" s="571"/>
      <c r="E31" s="572"/>
      <c r="F31" s="572"/>
      <c r="G31" s="545"/>
      <c r="H31" s="545"/>
      <c r="I31" s="546"/>
      <c r="J31" s="656"/>
      <c r="K31" s="573"/>
      <c r="L31" s="527">
        <f t="shared" si="1"/>
        <v>21</v>
      </c>
    </row>
    <row r="32" spans="1:14" x14ac:dyDescent="0.35">
      <c r="A32" s="527">
        <f t="shared" si="0"/>
        <v>22</v>
      </c>
      <c r="B32" s="574"/>
      <c r="D32" s="575"/>
      <c r="E32" s="576"/>
      <c r="F32" s="575"/>
      <c r="G32" s="575"/>
      <c r="H32" s="575"/>
      <c r="I32" s="575"/>
      <c r="J32" s="575"/>
      <c r="K32" s="566"/>
      <c r="L32" s="527">
        <f t="shared" si="1"/>
        <v>22</v>
      </c>
    </row>
    <row r="33" spans="1:14" x14ac:dyDescent="0.35">
      <c r="A33" s="527">
        <f t="shared" si="0"/>
        <v>23</v>
      </c>
      <c r="B33" s="577" t="s">
        <v>341</v>
      </c>
      <c r="C33" s="527"/>
      <c r="D33" s="527"/>
      <c r="E33" s="527"/>
      <c r="F33" s="527"/>
      <c r="G33" s="527"/>
      <c r="H33" s="527"/>
      <c r="I33" s="527"/>
      <c r="J33" s="527"/>
      <c r="K33" s="566"/>
      <c r="L33" s="527">
        <f t="shared" si="1"/>
        <v>23</v>
      </c>
    </row>
    <row r="34" spans="1:14" x14ac:dyDescent="0.35">
      <c r="A34" s="527">
        <f t="shared" si="0"/>
        <v>24</v>
      </c>
      <c r="B34" s="578">
        <v>920</v>
      </c>
      <c r="C34" s="19" t="s">
        <v>342</v>
      </c>
      <c r="D34" s="30">
        <v>37.830849999999998</v>
      </c>
      <c r="F34" s="527"/>
      <c r="G34" s="527"/>
      <c r="H34" s="527"/>
      <c r="I34" s="527"/>
      <c r="J34" s="527"/>
      <c r="K34" s="566"/>
      <c r="L34" s="527">
        <f t="shared" si="1"/>
        <v>24</v>
      </c>
    </row>
    <row r="35" spans="1:14" x14ac:dyDescent="0.35">
      <c r="A35" s="527">
        <f t="shared" si="0"/>
        <v>25</v>
      </c>
      <c r="B35" s="578"/>
      <c r="C35" s="19" t="s">
        <v>343</v>
      </c>
      <c r="D35" s="657">
        <v>873.61009352399992</v>
      </c>
      <c r="E35" s="30"/>
      <c r="F35" s="527"/>
      <c r="G35" s="527"/>
      <c r="H35" s="527"/>
      <c r="I35" s="527"/>
      <c r="J35" s="527"/>
      <c r="K35" s="566"/>
      <c r="L35" s="527">
        <f t="shared" si="1"/>
        <v>25</v>
      </c>
    </row>
    <row r="36" spans="1:14" x14ac:dyDescent="0.35">
      <c r="A36" s="527">
        <f t="shared" si="0"/>
        <v>26</v>
      </c>
      <c r="B36" s="578"/>
      <c r="C36" s="19" t="s">
        <v>344</v>
      </c>
      <c r="D36" s="658">
        <v>56.642625899999999</v>
      </c>
      <c r="E36" s="30">
        <f>SUM(D34:D36)</f>
        <v>968.08356942399996</v>
      </c>
      <c r="K36" s="566"/>
      <c r="L36" s="527">
        <f t="shared" si="1"/>
        <v>26</v>
      </c>
      <c r="N36" s="556"/>
    </row>
    <row r="37" spans="1:14" x14ac:dyDescent="0.35">
      <c r="A37" s="527">
        <f t="shared" si="0"/>
        <v>27</v>
      </c>
      <c r="B37" s="578">
        <v>921</v>
      </c>
      <c r="C37" s="19" t="s">
        <v>342</v>
      </c>
      <c r="D37" s="528">
        <v>-9.620999999999999E-2</v>
      </c>
      <c r="H37" s="668"/>
      <c r="K37" s="566"/>
      <c r="L37" s="527">
        <f t="shared" si="1"/>
        <v>27</v>
      </c>
      <c r="N37" s="556"/>
    </row>
    <row r="38" spans="1:14" x14ac:dyDescent="0.35">
      <c r="A38" s="527">
        <f t="shared" si="0"/>
        <v>28</v>
      </c>
      <c r="B38" s="578"/>
      <c r="C38" s="19" t="s">
        <v>343</v>
      </c>
      <c r="D38" s="657">
        <v>8254.9592088600002</v>
      </c>
      <c r="K38" s="566"/>
      <c r="L38" s="527">
        <f t="shared" si="1"/>
        <v>28</v>
      </c>
    </row>
    <row r="39" spans="1:14" x14ac:dyDescent="0.35">
      <c r="A39" s="527">
        <f t="shared" si="0"/>
        <v>29</v>
      </c>
      <c r="B39" s="578"/>
      <c r="C39" s="19" t="s">
        <v>344</v>
      </c>
      <c r="D39" s="658">
        <v>1120.1507429919998</v>
      </c>
      <c r="E39" s="528">
        <f>SUM(D37:D39)</f>
        <v>9375.0137418520007</v>
      </c>
      <c r="K39" s="566"/>
      <c r="L39" s="527">
        <f t="shared" si="1"/>
        <v>29</v>
      </c>
    </row>
    <row r="40" spans="1:14" x14ac:dyDescent="0.35">
      <c r="A40" s="527">
        <f t="shared" si="0"/>
        <v>30</v>
      </c>
      <c r="B40" s="578">
        <v>922</v>
      </c>
      <c r="C40" s="19" t="s">
        <v>344</v>
      </c>
      <c r="D40" s="657"/>
      <c r="E40" s="528">
        <v>-125.07091</v>
      </c>
      <c r="K40" s="566"/>
      <c r="L40" s="527">
        <f t="shared" si="1"/>
        <v>30</v>
      </c>
    </row>
    <row r="41" spans="1:14" x14ac:dyDescent="0.35">
      <c r="A41" s="527">
        <f t="shared" si="0"/>
        <v>31</v>
      </c>
      <c r="B41" s="578">
        <v>923</v>
      </c>
      <c r="C41" s="19" t="s">
        <v>342</v>
      </c>
      <c r="D41" s="28">
        <v>-17.988400000000002</v>
      </c>
      <c r="E41" s="28"/>
      <c r="K41" s="566"/>
      <c r="L41" s="527">
        <f t="shared" si="1"/>
        <v>31</v>
      </c>
    </row>
    <row r="42" spans="1:14" x14ac:dyDescent="0.35">
      <c r="A42" s="527">
        <f t="shared" si="0"/>
        <v>32</v>
      </c>
      <c r="B42" s="578"/>
      <c r="C42" s="19" t="s">
        <v>343</v>
      </c>
      <c r="D42" s="28">
        <v>2086.0140693979997</v>
      </c>
      <c r="E42" s="28"/>
      <c r="K42" s="566"/>
      <c r="L42" s="527">
        <f t="shared" si="1"/>
        <v>32</v>
      </c>
    </row>
    <row r="43" spans="1:14" x14ac:dyDescent="0.35">
      <c r="A43" s="527">
        <f t="shared" si="0"/>
        <v>33</v>
      </c>
      <c r="B43" s="578"/>
      <c r="C43" s="19" t="s">
        <v>344</v>
      </c>
      <c r="D43" s="28">
        <v>80.426986024000001</v>
      </c>
      <c r="K43" s="566"/>
      <c r="L43" s="527">
        <f t="shared" si="1"/>
        <v>33</v>
      </c>
    </row>
    <row r="44" spans="1:14" ht="18" x14ac:dyDescent="0.35">
      <c r="A44" s="527">
        <f t="shared" si="0"/>
        <v>34</v>
      </c>
      <c r="B44" s="578"/>
      <c r="C44" s="37" t="s">
        <v>345</v>
      </c>
      <c r="D44" s="76">
        <v>3185.4904999999999</v>
      </c>
      <c r="E44" s="28"/>
      <c r="K44" s="566"/>
      <c r="L44" s="527">
        <f t="shared" si="1"/>
        <v>34</v>
      </c>
    </row>
    <row r="45" spans="1:14" ht="18" x14ac:dyDescent="0.35">
      <c r="A45" s="527">
        <f t="shared" si="0"/>
        <v>35</v>
      </c>
      <c r="B45" s="578"/>
      <c r="C45" s="37" t="s">
        <v>346</v>
      </c>
      <c r="D45" s="76">
        <v>6031</v>
      </c>
      <c r="E45" s="28"/>
      <c r="K45" s="566"/>
      <c r="L45" s="527">
        <f t="shared" si="1"/>
        <v>35</v>
      </c>
    </row>
    <row r="46" spans="1:14" ht="18" x14ac:dyDescent="0.35">
      <c r="A46" s="527">
        <f t="shared" si="0"/>
        <v>36</v>
      </c>
      <c r="B46" s="578"/>
      <c r="C46" s="37" t="s">
        <v>347</v>
      </c>
      <c r="D46" s="297">
        <v>1480.604</v>
      </c>
      <c r="E46" s="28">
        <f>SUM(D41:D46)</f>
        <v>12845.547155421998</v>
      </c>
      <c r="K46" s="566"/>
      <c r="L46" s="527">
        <f t="shared" si="1"/>
        <v>36</v>
      </c>
    </row>
    <row r="47" spans="1:14" x14ac:dyDescent="0.35">
      <c r="A47" s="527">
        <f t="shared" si="0"/>
        <v>37</v>
      </c>
      <c r="B47" s="578">
        <v>925</v>
      </c>
      <c r="C47" s="19" t="s">
        <v>342</v>
      </c>
      <c r="D47" s="28">
        <v>277.64044235400002</v>
      </c>
      <c r="F47" s="581"/>
      <c r="G47" s="581"/>
      <c r="H47" s="581"/>
      <c r="I47" s="581"/>
      <c r="J47" s="581"/>
      <c r="K47" s="582"/>
      <c r="L47" s="527">
        <f t="shared" si="1"/>
        <v>37</v>
      </c>
    </row>
    <row r="48" spans="1:14" x14ac:dyDescent="0.35">
      <c r="A48" s="527">
        <f t="shared" si="0"/>
        <v>38</v>
      </c>
      <c r="B48" s="578"/>
      <c r="C48" s="19" t="s">
        <v>344</v>
      </c>
      <c r="D48" s="28">
        <v>746.9557907520101</v>
      </c>
      <c r="K48" s="566"/>
      <c r="L48" s="527">
        <f t="shared" si="1"/>
        <v>38</v>
      </c>
    </row>
    <row r="49" spans="1:12" x14ac:dyDescent="0.35">
      <c r="A49" s="527">
        <f t="shared" si="0"/>
        <v>39</v>
      </c>
      <c r="B49" s="578"/>
      <c r="C49" s="580" t="s">
        <v>348</v>
      </c>
      <c r="D49" s="319">
        <v>80.508890000000008</v>
      </c>
      <c r="E49" s="528">
        <f>SUM(D47:D49)</f>
        <v>1105.1051231060101</v>
      </c>
      <c r="K49" s="566"/>
      <c r="L49" s="527">
        <f t="shared" si="1"/>
        <v>39</v>
      </c>
    </row>
    <row r="50" spans="1:12" x14ac:dyDescent="0.35">
      <c r="A50" s="527">
        <f t="shared" si="0"/>
        <v>40</v>
      </c>
      <c r="B50" s="578">
        <v>926</v>
      </c>
      <c r="C50" s="580" t="s">
        <v>342</v>
      </c>
      <c r="D50" s="28">
        <v>646.29282690599985</v>
      </c>
      <c r="F50" s="581"/>
      <c r="G50" s="581"/>
      <c r="H50" s="581"/>
      <c r="I50" s="581"/>
      <c r="J50" s="581"/>
      <c r="K50" s="582"/>
      <c r="L50" s="527">
        <f t="shared" si="1"/>
        <v>40</v>
      </c>
    </row>
    <row r="51" spans="1:12" x14ac:dyDescent="0.35">
      <c r="A51" s="527">
        <f t="shared" si="0"/>
        <v>41</v>
      </c>
      <c r="B51" s="578"/>
      <c r="C51" s="580" t="s">
        <v>348</v>
      </c>
      <c r="D51" s="28">
        <v>190.64548000000002</v>
      </c>
      <c r="E51" s="28"/>
      <c r="K51" s="566"/>
      <c r="L51" s="527">
        <f t="shared" si="1"/>
        <v>41</v>
      </c>
    </row>
    <row r="52" spans="1:12" x14ac:dyDescent="0.35">
      <c r="A52" s="527">
        <f t="shared" si="0"/>
        <v>42</v>
      </c>
      <c r="B52" s="578"/>
      <c r="C52" s="19" t="s">
        <v>344</v>
      </c>
      <c r="D52" s="319">
        <v>1752.650995052019</v>
      </c>
      <c r="E52" s="528">
        <f>SUM(D50:D52)</f>
        <v>2589.589301958019</v>
      </c>
      <c r="K52" s="566"/>
      <c r="L52" s="527">
        <f t="shared" si="1"/>
        <v>42</v>
      </c>
    </row>
    <row r="53" spans="1:12" x14ac:dyDescent="0.35">
      <c r="A53" s="527">
        <f t="shared" si="0"/>
        <v>43</v>
      </c>
      <c r="B53" s="578">
        <v>927</v>
      </c>
      <c r="C53" s="580" t="s">
        <v>324</v>
      </c>
      <c r="D53" s="19"/>
      <c r="E53" s="28">
        <v>130506.76528000001</v>
      </c>
      <c r="K53" s="566"/>
      <c r="L53" s="527">
        <f t="shared" si="1"/>
        <v>43</v>
      </c>
    </row>
    <row r="54" spans="1:12" x14ac:dyDescent="0.35">
      <c r="A54" s="527">
        <f t="shared" si="0"/>
        <v>44</v>
      </c>
      <c r="B54" s="578">
        <v>928</v>
      </c>
      <c r="C54" s="19" t="s">
        <v>349</v>
      </c>
      <c r="D54" s="28">
        <v>13015.817289999999</v>
      </c>
      <c r="E54" s="28"/>
      <c r="K54" s="566"/>
      <c r="L54" s="527">
        <f t="shared" si="1"/>
        <v>44</v>
      </c>
    </row>
    <row r="55" spans="1:12" x14ac:dyDescent="0.35">
      <c r="A55" s="527">
        <f t="shared" si="0"/>
        <v>45</v>
      </c>
      <c r="B55" s="578"/>
      <c r="C55" s="580" t="s">
        <v>342</v>
      </c>
      <c r="D55" s="28">
        <v>428.3049200000001</v>
      </c>
      <c r="E55" s="28"/>
      <c r="F55" s="53"/>
      <c r="G55" s="53"/>
      <c r="H55" s="53"/>
      <c r="I55" s="53"/>
      <c r="J55" s="53"/>
      <c r="K55" s="566"/>
      <c r="L55" s="527">
        <f t="shared" si="1"/>
        <v>45</v>
      </c>
    </row>
    <row r="56" spans="1:12" x14ac:dyDescent="0.35">
      <c r="A56" s="527">
        <f t="shared" si="0"/>
        <v>46</v>
      </c>
      <c r="B56" s="578"/>
      <c r="C56" s="580" t="s">
        <v>350</v>
      </c>
      <c r="D56" s="659">
        <v>40.544630000000005</v>
      </c>
      <c r="E56" s="28"/>
      <c r="F56" s="53"/>
      <c r="G56" s="53"/>
      <c r="H56" s="53"/>
      <c r="I56" s="53"/>
      <c r="J56" s="53"/>
      <c r="K56" s="566"/>
      <c r="L56" s="527">
        <f t="shared" si="1"/>
        <v>46</v>
      </c>
    </row>
    <row r="57" spans="1:12" x14ac:dyDescent="0.35">
      <c r="A57" s="527">
        <f t="shared" si="0"/>
        <v>47</v>
      </c>
      <c r="B57" s="578"/>
      <c r="C57" s="19" t="s">
        <v>351</v>
      </c>
      <c r="D57" s="28">
        <v>0</v>
      </c>
      <c r="E57" s="28"/>
      <c r="F57" s="53"/>
      <c r="G57" s="53"/>
      <c r="H57" s="53"/>
      <c r="I57" s="53"/>
      <c r="J57" s="53"/>
      <c r="K57" s="566"/>
      <c r="L57" s="527">
        <f t="shared" si="1"/>
        <v>47</v>
      </c>
    </row>
    <row r="58" spans="1:12" x14ac:dyDescent="0.35">
      <c r="A58" s="527">
        <f t="shared" si="0"/>
        <v>48</v>
      </c>
      <c r="B58" s="578"/>
      <c r="C58" s="19" t="s">
        <v>352</v>
      </c>
      <c r="D58" s="28">
        <v>2085.1866</v>
      </c>
      <c r="F58" s="53"/>
      <c r="G58" s="53"/>
      <c r="H58" s="53"/>
      <c r="I58" s="53"/>
      <c r="J58" s="53"/>
      <c r="K58" s="566"/>
      <c r="L58" s="527">
        <f t="shared" si="1"/>
        <v>48</v>
      </c>
    </row>
    <row r="59" spans="1:12" ht="18" x14ac:dyDescent="0.35">
      <c r="A59" s="527">
        <f t="shared" si="0"/>
        <v>49</v>
      </c>
      <c r="B59" s="578"/>
      <c r="C59" s="37" t="s">
        <v>353</v>
      </c>
      <c r="D59" s="319">
        <v>1002.516</v>
      </c>
      <c r="E59" s="660">
        <f>SUM(D54:D59)</f>
        <v>16572.369439999999</v>
      </c>
      <c r="F59" s="53"/>
      <c r="G59" s="53"/>
      <c r="H59" s="53"/>
      <c r="I59" s="53"/>
      <c r="J59" s="53"/>
      <c r="K59" s="566"/>
      <c r="L59" s="527">
        <f t="shared" si="1"/>
        <v>49</v>
      </c>
    </row>
    <row r="60" spans="1:12" x14ac:dyDescent="0.35">
      <c r="A60" s="527">
        <f t="shared" si="0"/>
        <v>50</v>
      </c>
      <c r="B60" s="583">
        <v>930.1</v>
      </c>
      <c r="C60" s="19" t="s">
        <v>330</v>
      </c>
      <c r="D60" s="28"/>
      <c r="E60" s="28">
        <v>-204.155</v>
      </c>
      <c r="F60" s="53"/>
      <c r="G60" s="53"/>
      <c r="H60" s="53"/>
      <c r="I60" s="53"/>
      <c r="J60" s="53"/>
      <c r="K60" s="566"/>
      <c r="L60" s="527">
        <f t="shared" si="1"/>
        <v>50</v>
      </c>
    </row>
    <row r="61" spans="1:12" x14ac:dyDescent="0.35">
      <c r="A61" s="527">
        <f t="shared" si="0"/>
        <v>51</v>
      </c>
      <c r="B61" s="583">
        <v>930.2</v>
      </c>
      <c r="C61" s="580" t="s">
        <v>354</v>
      </c>
      <c r="D61" s="584">
        <f>1342.92+1017.8</f>
        <v>2360.7200000000003</v>
      </c>
      <c r="F61" s="53"/>
      <c r="G61" s="53"/>
      <c r="H61" s="53"/>
      <c r="I61" s="53"/>
      <c r="J61" s="53"/>
      <c r="K61" s="566"/>
      <c r="L61" s="527">
        <f t="shared" si="1"/>
        <v>51</v>
      </c>
    </row>
    <row r="62" spans="1:12" ht="18" x14ac:dyDescent="0.35">
      <c r="A62" s="527">
        <f t="shared" si="0"/>
        <v>52</v>
      </c>
      <c r="B62" s="583"/>
      <c r="C62" s="580" t="s">
        <v>355</v>
      </c>
      <c r="D62" s="584">
        <v>-690.76700000000005</v>
      </c>
      <c r="F62" s="53"/>
      <c r="G62" s="53"/>
      <c r="H62" s="53"/>
      <c r="I62" s="53"/>
      <c r="J62" s="53"/>
      <c r="K62" s="566"/>
      <c r="L62" s="527">
        <f t="shared" si="1"/>
        <v>52</v>
      </c>
    </row>
    <row r="63" spans="1:12" ht="18" x14ac:dyDescent="0.35">
      <c r="A63" s="527">
        <f t="shared" si="0"/>
        <v>53</v>
      </c>
      <c r="B63" s="583"/>
      <c r="C63" s="580" t="s">
        <v>356</v>
      </c>
      <c r="D63" s="297">
        <v>-1452.373</v>
      </c>
      <c r="E63" s="584">
        <f>SUM(D61:D63)</f>
        <v>217.58000000000015</v>
      </c>
      <c r="F63" s="53"/>
      <c r="G63" s="53"/>
      <c r="H63" s="53"/>
      <c r="I63" s="53"/>
      <c r="J63" s="53"/>
      <c r="K63" s="566"/>
      <c r="L63" s="527">
        <f t="shared" si="1"/>
        <v>53</v>
      </c>
    </row>
    <row r="64" spans="1:12" x14ac:dyDescent="0.35">
      <c r="A64" s="527">
        <f t="shared" si="0"/>
        <v>54</v>
      </c>
      <c r="B64" s="661">
        <v>935</v>
      </c>
      <c r="C64" s="580" t="s">
        <v>357</v>
      </c>
      <c r="D64" s="584">
        <f>-207.87024-1719.52219</f>
        <v>-1927.3924299999999</v>
      </c>
      <c r="E64" s="585"/>
      <c r="F64" s="53"/>
      <c r="G64" s="53"/>
      <c r="H64" s="53"/>
      <c r="I64" s="53"/>
      <c r="J64" s="53"/>
      <c r="K64" s="566"/>
      <c r="L64" s="527">
        <f t="shared" si="1"/>
        <v>54</v>
      </c>
    </row>
    <row r="65" spans="1:12" x14ac:dyDescent="0.35">
      <c r="A65" s="527">
        <f t="shared" si="0"/>
        <v>55</v>
      </c>
      <c r="B65" s="578"/>
      <c r="C65" s="587" t="s">
        <v>358</v>
      </c>
      <c r="D65" s="586">
        <v>12.147468914000001</v>
      </c>
      <c r="E65" s="586">
        <f>SUM(D64:D65)</f>
        <v>-1915.2449610859999</v>
      </c>
      <c r="F65" s="53"/>
      <c r="G65" s="53"/>
      <c r="H65" s="53"/>
      <c r="I65" s="53"/>
      <c r="J65" s="53"/>
      <c r="K65" s="566"/>
      <c r="L65" s="527">
        <f t="shared" si="1"/>
        <v>55</v>
      </c>
    </row>
    <row r="66" spans="1:12" x14ac:dyDescent="0.35">
      <c r="A66" s="527">
        <f t="shared" si="0"/>
        <v>56</v>
      </c>
      <c r="B66" s="588"/>
      <c r="C66" s="556"/>
      <c r="D66" s="589"/>
      <c r="E66" s="28"/>
      <c r="F66" s="53"/>
      <c r="G66" s="53"/>
      <c r="H66" s="53"/>
      <c r="I66" s="53"/>
      <c r="J66" s="53"/>
      <c r="K66" s="566"/>
      <c r="L66" s="527">
        <f t="shared" si="1"/>
        <v>56</v>
      </c>
    </row>
    <row r="67" spans="1:12" ht="16" thickBot="1" x14ac:dyDescent="0.35">
      <c r="A67" s="527">
        <f t="shared" si="0"/>
        <v>57</v>
      </c>
      <c r="B67" s="574"/>
      <c r="C67" s="590" t="s">
        <v>359</v>
      </c>
      <c r="D67" s="591"/>
      <c r="E67" s="20">
        <f>SUM(E34:E65)</f>
        <v>171935.58274067604</v>
      </c>
      <c r="F67" s="601"/>
      <c r="G67" s="601"/>
      <c r="H67" s="601"/>
      <c r="I67" s="601"/>
      <c r="J67" s="601"/>
      <c r="K67" s="566"/>
      <c r="L67" s="527">
        <f t="shared" si="1"/>
        <v>57</v>
      </c>
    </row>
    <row r="68" spans="1:12" ht="16" thickTop="1" x14ac:dyDescent="0.35">
      <c r="A68" s="527">
        <f t="shared" si="0"/>
        <v>58</v>
      </c>
      <c r="B68" s="574"/>
      <c r="C68" s="590"/>
      <c r="E68" s="592"/>
      <c r="F68" s="601"/>
      <c r="G68" s="601"/>
      <c r="H68" s="601"/>
      <c r="I68" s="601"/>
      <c r="J68" s="601"/>
      <c r="K68" s="566"/>
      <c r="L68" s="527">
        <f t="shared" si="1"/>
        <v>58</v>
      </c>
    </row>
    <row r="69" spans="1:12" x14ac:dyDescent="0.35">
      <c r="A69" s="527">
        <f t="shared" si="0"/>
        <v>59</v>
      </c>
      <c r="B69" s="66" t="s">
        <v>34</v>
      </c>
      <c r="C69" s="23" t="s">
        <v>696</v>
      </c>
      <c r="E69" s="592"/>
      <c r="F69" s="601"/>
      <c r="G69" s="601"/>
      <c r="H69" s="601"/>
      <c r="I69" s="601"/>
      <c r="J69" s="601"/>
      <c r="K69" s="566"/>
      <c r="L69" s="527">
        <f t="shared" si="1"/>
        <v>59</v>
      </c>
    </row>
    <row r="70" spans="1:12" ht="18.5" x14ac:dyDescent="0.35">
      <c r="A70" s="527">
        <f t="shared" si="0"/>
        <v>60</v>
      </c>
      <c r="B70" s="321">
        <v>1</v>
      </c>
      <c r="C70" s="320" t="s">
        <v>360</v>
      </c>
      <c r="E70" s="592"/>
      <c r="F70" s="601"/>
      <c r="G70" s="601"/>
      <c r="H70" s="601"/>
      <c r="I70" s="601"/>
      <c r="J70" s="601"/>
      <c r="K70" s="566"/>
      <c r="L70" s="527">
        <f t="shared" si="1"/>
        <v>60</v>
      </c>
    </row>
    <row r="71" spans="1:12" ht="18.5" x14ac:dyDescent="0.35">
      <c r="A71" s="527">
        <f t="shared" si="0"/>
        <v>61</v>
      </c>
      <c r="B71" s="593"/>
      <c r="C71" s="18" t="s">
        <v>361</v>
      </c>
      <c r="E71" s="592"/>
      <c r="F71" s="601"/>
      <c r="G71" s="601"/>
      <c r="H71" s="601"/>
      <c r="I71" s="601"/>
      <c r="J71" s="601"/>
      <c r="K71" s="566"/>
      <c r="L71" s="527">
        <f t="shared" si="1"/>
        <v>61</v>
      </c>
    </row>
    <row r="72" spans="1:12" ht="18" x14ac:dyDescent="0.35">
      <c r="A72" s="527">
        <f t="shared" si="0"/>
        <v>62</v>
      </c>
      <c r="B72" s="662" t="s">
        <v>362</v>
      </c>
      <c r="C72" s="37" t="s">
        <v>363</v>
      </c>
      <c r="E72" s="592"/>
      <c r="F72" s="601"/>
      <c r="G72" s="601"/>
      <c r="H72" s="601"/>
      <c r="I72" s="601"/>
      <c r="J72" s="601"/>
      <c r="K72" s="566"/>
      <c r="L72" s="527">
        <f t="shared" si="1"/>
        <v>62</v>
      </c>
    </row>
    <row r="73" spans="1:12" ht="18" x14ac:dyDescent="0.35">
      <c r="A73" s="527">
        <f t="shared" si="0"/>
        <v>63</v>
      </c>
      <c r="B73" s="662"/>
      <c r="C73" s="37" t="s">
        <v>364</v>
      </c>
      <c r="E73" s="592"/>
      <c r="F73" s="601"/>
      <c r="G73" s="601"/>
      <c r="H73" s="601"/>
      <c r="I73" s="601"/>
      <c r="J73" s="601"/>
      <c r="K73" s="566"/>
      <c r="L73" s="527">
        <f t="shared" si="1"/>
        <v>63</v>
      </c>
    </row>
    <row r="74" spans="1:12" ht="18" x14ac:dyDescent="0.35">
      <c r="A74" s="527">
        <f t="shared" si="0"/>
        <v>64</v>
      </c>
      <c r="B74" s="662" t="s">
        <v>365</v>
      </c>
      <c r="C74" s="37" t="s">
        <v>366</v>
      </c>
      <c r="E74" s="592"/>
      <c r="F74" s="601"/>
      <c r="G74" s="601"/>
      <c r="H74" s="601"/>
      <c r="I74" s="601"/>
      <c r="J74" s="601"/>
      <c r="K74" s="566"/>
      <c r="L74" s="527">
        <f t="shared" si="1"/>
        <v>64</v>
      </c>
    </row>
    <row r="75" spans="1:12" ht="18" x14ac:dyDescent="0.35">
      <c r="A75" s="527">
        <f t="shared" si="0"/>
        <v>65</v>
      </c>
      <c r="B75" s="662"/>
      <c r="C75" s="37" t="s">
        <v>367</v>
      </c>
      <c r="E75" s="592"/>
      <c r="F75" s="601"/>
      <c r="G75" s="601"/>
      <c r="H75" s="601"/>
      <c r="I75" s="601"/>
      <c r="J75" s="601"/>
      <c r="K75" s="566"/>
      <c r="L75" s="527">
        <f t="shared" si="1"/>
        <v>65</v>
      </c>
    </row>
    <row r="76" spans="1:12" ht="18" x14ac:dyDescent="0.35">
      <c r="A76" s="527">
        <f t="shared" ref="A76:A82" si="5">A75+1</f>
        <v>66</v>
      </c>
      <c r="B76" s="662"/>
      <c r="C76" s="37" t="s">
        <v>368</v>
      </c>
      <c r="E76" s="592"/>
      <c r="F76" s="601"/>
      <c r="G76" s="601"/>
      <c r="H76" s="601"/>
      <c r="I76" s="601"/>
      <c r="J76" s="601"/>
      <c r="K76" s="566"/>
      <c r="L76" s="527">
        <f t="shared" ref="L76:L82" si="6">L75+1</f>
        <v>66</v>
      </c>
    </row>
    <row r="77" spans="1:12" ht="18" x14ac:dyDescent="0.35">
      <c r="A77" s="527">
        <f t="shared" si="5"/>
        <v>67</v>
      </c>
      <c r="B77" s="662" t="s">
        <v>369</v>
      </c>
      <c r="C77" s="37" t="s">
        <v>370</v>
      </c>
      <c r="E77" s="592"/>
      <c r="F77" s="601"/>
      <c r="G77" s="601"/>
      <c r="H77" s="601"/>
      <c r="I77" s="601"/>
      <c r="J77" s="601"/>
      <c r="K77" s="566"/>
      <c r="L77" s="527">
        <f t="shared" si="6"/>
        <v>67</v>
      </c>
    </row>
    <row r="78" spans="1:12" ht="18" x14ac:dyDescent="0.35">
      <c r="A78" s="527">
        <f t="shared" si="5"/>
        <v>68</v>
      </c>
      <c r="B78" s="662"/>
      <c r="C78" s="37" t="s">
        <v>371</v>
      </c>
      <c r="E78" s="592"/>
      <c r="F78" s="601"/>
      <c r="G78" s="601"/>
      <c r="H78" s="601"/>
      <c r="I78" s="601"/>
      <c r="J78" s="601"/>
      <c r="K78" s="566"/>
      <c r="L78" s="527">
        <f t="shared" si="6"/>
        <v>68</v>
      </c>
    </row>
    <row r="79" spans="1:12" ht="18" x14ac:dyDescent="0.35">
      <c r="A79" s="527">
        <f t="shared" si="5"/>
        <v>69</v>
      </c>
      <c r="B79" s="663">
        <v>5</v>
      </c>
      <c r="C79" s="37" t="s">
        <v>372</v>
      </c>
      <c r="E79" s="592"/>
      <c r="F79" s="601"/>
      <c r="G79" s="601"/>
      <c r="H79" s="601"/>
      <c r="I79" s="601"/>
      <c r="J79" s="601"/>
      <c r="K79" s="566"/>
      <c r="L79" s="527">
        <f t="shared" si="6"/>
        <v>69</v>
      </c>
    </row>
    <row r="80" spans="1:12" ht="18" x14ac:dyDescent="0.35">
      <c r="A80" s="527">
        <f t="shared" si="5"/>
        <v>70</v>
      </c>
      <c r="B80" s="663">
        <v>6</v>
      </c>
      <c r="C80" s="37" t="s">
        <v>373</v>
      </c>
      <c r="E80" s="592"/>
      <c r="F80" s="601"/>
      <c r="G80" s="601"/>
      <c r="H80" s="601"/>
      <c r="I80" s="601"/>
      <c r="J80" s="601"/>
      <c r="K80" s="566"/>
      <c r="L80" s="527">
        <f t="shared" si="6"/>
        <v>70</v>
      </c>
    </row>
    <row r="81" spans="1:12" ht="18" x14ac:dyDescent="0.35">
      <c r="A81" s="527">
        <f t="shared" si="5"/>
        <v>71</v>
      </c>
      <c r="B81" s="663"/>
      <c r="E81" s="592"/>
      <c r="F81" s="601"/>
      <c r="G81" s="601"/>
      <c r="H81" s="601"/>
      <c r="I81" s="601"/>
      <c r="J81" s="601"/>
      <c r="K81" s="566"/>
      <c r="L81" s="527">
        <f t="shared" si="6"/>
        <v>71</v>
      </c>
    </row>
    <row r="82" spans="1:12" ht="16" thickBot="1" x14ac:dyDescent="0.4">
      <c r="A82" s="527">
        <f t="shared" si="5"/>
        <v>72</v>
      </c>
      <c r="B82" s="594"/>
      <c r="C82" s="595"/>
      <c r="D82" s="529"/>
      <c r="E82" s="529"/>
      <c r="F82" s="529"/>
      <c r="G82" s="529"/>
      <c r="H82" s="529"/>
      <c r="I82" s="529"/>
      <c r="J82" s="529"/>
      <c r="K82" s="573"/>
      <c r="L82" s="527">
        <f t="shared" si="6"/>
        <v>72</v>
      </c>
    </row>
    <row r="83" spans="1:12" x14ac:dyDescent="0.35">
      <c r="C83" s="556"/>
    </row>
    <row r="84" spans="1:12" x14ac:dyDescent="0.35">
      <c r="A84" s="633"/>
      <c r="C84" s="556"/>
      <c r="D84" s="596"/>
      <c r="E84" s="596"/>
    </row>
    <row r="85" spans="1:12" ht="18" x14ac:dyDescent="0.35">
      <c r="A85" s="597"/>
      <c r="B85" s="322"/>
      <c r="C85" s="18"/>
      <c r="D85" s="163"/>
      <c r="E85" s="163"/>
      <c r="F85" s="163"/>
      <c r="G85" s="163"/>
      <c r="H85" s="163"/>
      <c r="I85" s="163"/>
      <c r="J85" s="163"/>
    </row>
    <row r="86" spans="1:12" ht="18" x14ac:dyDescent="0.35">
      <c r="A86" s="597"/>
      <c r="B86" s="322"/>
      <c r="C86" s="264"/>
      <c r="D86" s="163"/>
      <c r="E86" s="163"/>
      <c r="F86" s="163"/>
      <c r="G86" s="163"/>
      <c r="H86" s="163"/>
      <c r="I86" s="163"/>
      <c r="J86" s="163"/>
    </row>
    <row r="87" spans="1:12" ht="18" x14ac:dyDescent="0.35">
      <c r="A87" s="597"/>
      <c r="B87" s="36"/>
      <c r="C87" s="18"/>
      <c r="D87" s="18"/>
      <c r="E87" s="18"/>
      <c r="F87" s="18"/>
      <c r="G87" s="18"/>
      <c r="H87" s="18"/>
      <c r="I87" s="18"/>
      <c r="J87" s="18"/>
    </row>
    <row r="88" spans="1:12" ht="18" x14ac:dyDescent="0.35">
      <c r="A88" s="597"/>
      <c r="C88" s="556"/>
    </row>
    <row r="89" spans="1:12" ht="18" x14ac:dyDescent="0.35">
      <c r="A89" s="597"/>
      <c r="C89" s="556"/>
    </row>
    <row r="90" spans="1:12" ht="18" x14ac:dyDescent="0.35">
      <c r="A90" s="597"/>
      <c r="C90" s="556"/>
    </row>
    <row r="91" spans="1:12" x14ac:dyDescent="0.35">
      <c r="A91" s="633"/>
      <c r="C91" s="556"/>
    </row>
    <row r="92" spans="1:12" ht="18" x14ac:dyDescent="0.35">
      <c r="A92" s="597"/>
      <c r="C92" s="556"/>
    </row>
    <row r="93" spans="1:12" x14ac:dyDescent="0.35">
      <c r="A93" s="633"/>
      <c r="C93" s="556"/>
    </row>
    <row r="94" spans="1:12" ht="18" x14ac:dyDescent="0.35">
      <c r="A94" s="597"/>
      <c r="C94" s="556"/>
    </row>
    <row r="95" spans="1:12" x14ac:dyDescent="0.35">
      <c r="A95" s="633"/>
      <c r="C95" s="556"/>
    </row>
    <row r="96" spans="1:12" ht="18" x14ac:dyDescent="0.35">
      <c r="A96" s="597"/>
      <c r="C96" s="556"/>
    </row>
    <row r="97" spans="1:2" ht="18" x14ac:dyDescent="0.35">
      <c r="A97" s="597"/>
      <c r="B97" s="556"/>
    </row>
    <row r="98" spans="1:2" ht="18" x14ac:dyDescent="0.35">
      <c r="A98" s="597"/>
      <c r="B98" s="556"/>
    </row>
    <row r="99" spans="1:2" x14ac:dyDescent="0.35">
      <c r="B99" s="556"/>
    </row>
    <row r="100" spans="1:2" ht="18" x14ac:dyDescent="0.35">
      <c r="A100" s="597"/>
      <c r="B100" s="556"/>
    </row>
    <row r="101" spans="1:2" x14ac:dyDescent="0.35">
      <c r="A101" s="598"/>
      <c r="B101" s="599"/>
    </row>
    <row r="102" spans="1:2" x14ac:dyDescent="0.35">
      <c r="B102" s="556"/>
    </row>
  </sheetData>
  <mergeCells count="4">
    <mergeCell ref="B2:K2"/>
    <mergeCell ref="B3:K3"/>
    <mergeCell ref="B4:K4"/>
    <mergeCell ref="B5:K5"/>
  </mergeCells>
  <printOptions horizontalCentered="1"/>
  <pageMargins left="0.25" right="0.25" top="0.5" bottom="0.5" header="0.35" footer="0.25"/>
  <pageSetup scale="47" orientation="portrait" r:id="rId1"/>
  <headerFooter scaleWithDoc="0" alignWithMargins="0">
    <oddHeader>&amp;C&amp;"Times New Roman,Bold"&amp;9REVISED</oddHeader>
    <oddFooter>&amp;CPage 10.2&amp;R&amp;F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7"/>
  <sheetViews>
    <sheetView zoomScale="80" zoomScaleNormal="80" workbookViewId="0"/>
  </sheetViews>
  <sheetFormatPr defaultColWidth="8.81640625" defaultRowHeight="15.5" x14ac:dyDescent="0.35"/>
  <cols>
    <col min="1" max="1" width="5.1796875" style="36" customWidth="1"/>
    <col min="2" max="2" width="70.81640625" style="18" customWidth="1"/>
    <col min="3" max="3" width="16.1796875" style="18" bestFit="1" customWidth="1"/>
    <col min="4" max="4" width="1.81640625" style="18" customWidth="1"/>
    <col min="5" max="5" width="14.453125" style="18" customWidth="1"/>
    <col min="6" max="6" width="1.81640625" style="18" customWidth="1"/>
    <col min="7" max="7" width="12.81640625" style="18" customWidth="1"/>
    <col min="8" max="8" width="40.81640625" style="18" customWidth="1"/>
    <col min="9" max="9" width="5.1796875" style="36" customWidth="1"/>
    <col min="10" max="16384" width="8.81640625" style="18"/>
  </cols>
  <sheetData>
    <row r="2" spans="1:11" x14ac:dyDescent="0.35">
      <c r="A2" s="161"/>
      <c r="B2" s="853" t="s">
        <v>20</v>
      </c>
      <c r="C2" s="853"/>
      <c r="D2" s="853"/>
      <c r="E2" s="853"/>
      <c r="F2" s="853"/>
      <c r="G2" s="853"/>
      <c r="H2" s="853"/>
      <c r="I2" s="161"/>
    </row>
    <row r="3" spans="1:11" x14ac:dyDescent="0.35">
      <c r="A3" s="161"/>
      <c r="B3" s="853" t="s">
        <v>21</v>
      </c>
      <c r="C3" s="853"/>
      <c r="D3" s="853"/>
      <c r="E3" s="853"/>
      <c r="F3" s="853"/>
      <c r="G3" s="853"/>
      <c r="H3" s="853"/>
      <c r="I3" s="162"/>
    </row>
    <row r="4" spans="1:11" x14ac:dyDescent="0.35">
      <c r="B4" s="853" t="s">
        <v>22</v>
      </c>
      <c r="C4" s="853"/>
      <c r="D4" s="853"/>
      <c r="E4" s="853"/>
      <c r="F4" s="853"/>
      <c r="G4" s="853"/>
      <c r="H4" s="853"/>
      <c r="I4" s="158"/>
    </row>
    <row r="5" spans="1:11" x14ac:dyDescent="0.35">
      <c r="B5" s="853" t="s">
        <v>3</v>
      </c>
      <c r="C5" s="853"/>
      <c r="D5" s="853"/>
      <c r="E5" s="853"/>
      <c r="F5" s="853"/>
      <c r="G5" s="853"/>
      <c r="H5" s="853"/>
      <c r="I5" s="158"/>
    </row>
    <row r="6" spans="1:11" x14ac:dyDescent="0.35">
      <c r="B6" s="854" t="s">
        <v>4</v>
      </c>
      <c r="C6" s="853"/>
      <c r="D6" s="853"/>
      <c r="E6" s="853"/>
      <c r="F6" s="853"/>
      <c r="G6" s="853"/>
      <c r="H6" s="853"/>
      <c r="I6" s="158"/>
    </row>
    <row r="7" spans="1:11" x14ac:dyDescent="0.35">
      <c r="A7" s="161"/>
      <c r="B7" s="162"/>
      <c r="C7" s="163"/>
      <c r="D7" s="163"/>
      <c r="E7" s="163"/>
      <c r="F7" s="163"/>
      <c r="G7" s="163"/>
      <c r="H7" s="163"/>
      <c r="I7" s="161"/>
    </row>
    <row r="8" spans="1:11" ht="16" thickBot="1" x14ac:dyDescent="0.4">
      <c r="A8" s="161"/>
      <c r="B8" s="162"/>
      <c r="C8" s="261" t="s">
        <v>23</v>
      </c>
      <c r="D8" s="260"/>
      <c r="E8" s="261" t="s">
        <v>24</v>
      </c>
      <c r="F8" s="260"/>
      <c r="G8" s="261" t="s">
        <v>25</v>
      </c>
      <c r="H8" s="163"/>
      <c r="I8" s="161"/>
    </row>
    <row r="9" spans="1:11" ht="60" x14ac:dyDescent="0.35">
      <c r="A9" s="634" t="s">
        <v>5</v>
      </c>
      <c r="B9" s="262"/>
      <c r="C9" s="266" t="s">
        <v>26</v>
      </c>
      <c r="D9" s="162"/>
      <c r="E9" s="253" t="s">
        <v>27</v>
      </c>
      <c r="F9" s="22"/>
      <c r="G9" s="157" t="s">
        <v>28</v>
      </c>
      <c r="H9" s="168"/>
      <c r="I9" s="635" t="s">
        <v>5</v>
      </c>
    </row>
    <row r="10" spans="1:11" x14ac:dyDescent="0.35">
      <c r="A10" s="165" t="s">
        <v>6</v>
      </c>
      <c r="B10" s="367" t="s">
        <v>29</v>
      </c>
      <c r="C10" s="367" t="s">
        <v>8</v>
      </c>
      <c r="D10" s="367"/>
      <c r="E10" s="367" t="s">
        <v>8</v>
      </c>
      <c r="F10" s="367"/>
      <c r="G10" s="678" t="s">
        <v>30</v>
      </c>
      <c r="H10" s="367" t="s">
        <v>9</v>
      </c>
      <c r="I10" s="169" t="s">
        <v>6</v>
      </c>
    </row>
    <row r="11" spans="1:11" x14ac:dyDescent="0.35">
      <c r="A11" s="165"/>
      <c r="B11" s="263"/>
      <c r="C11" s="173"/>
      <c r="D11" s="172"/>
      <c r="E11" s="172"/>
      <c r="F11" s="172"/>
      <c r="G11" s="172"/>
      <c r="H11" s="173"/>
      <c r="I11" s="169"/>
    </row>
    <row r="12" spans="1:11" x14ac:dyDescent="0.35">
      <c r="A12" s="165">
        <v>1</v>
      </c>
      <c r="B12" s="183" t="s">
        <v>31</v>
      </c>
      <c r="C12" s="255">
        <f>'Pg3 Rev Appendix X C10'!C11</f>
        <v>63.508862639043954</v>
      </c>
      <c r="D12" s="176"/>
      <c r="E12" s="255">
        <f>'Pg4 As Filed Appendix X C10'!C12</f>
        <v>63.510368096713613</v>
      </c>
      <c r="F12" s="176"/>
      <c r="G12" s="176">
        <f>C12-E12</f>
        <v>-1.5054576696584832E-3</v>
      </c>
      <c r="H12" s="8" t="s">
        <v>32</v>
      </c>
      <c r="I12" s="169">
        <f>A12</f>
        <v>1</v>
      </c>
      <c r="K12" s="21"/>
    </row>
    <row r="13" spans="1:11" x14ac:dyDescent="0.35">
      <c r="A13" s="165">
        <f>A12+1</f>
        <v>2</v>
      </c>
      <c r="B13" s="264"/>
      <c r="C13" s="180"/>
      <c r="D13" s="180"/>
      <c r="E13" s="180"/>
      <c r="F13" s="180"/>
      <c r="G13" s="180"/>
      <c r="H13" s="162"/>
      <c r="I13" s="169">
        <f>I12+1</f>
        <v>2</v>
      </c>
    </row>
    <row r="14" spans="1:11" x14ac:dyDescent="0.35">
      <c r="A14" s="165">
        <f t="shared" ref="A14:A29" si="0">A13+1</f>
        <v>3</v>
      </c>
      <c r="B14" s="183" t="s">
        <v>33</v>
      </c>
      <c r="C14" s="267">
        <f>'Pg3 Rev Appendix X C10'!C13</f>
        <v>2905.1322341461005</v>
      </c>
      <c r="D14" s="25" t="s">
        <v>34</v>
      </c>
      <c r="E14" s="256">
        <f>'Pg4 As Filed Appendix X C10'!C14</f>
        <v>2905.8703000085202</v>
      </c>
      <c r="F14" s="157"/>
      <c r="G14" s="694">
        <f>C14-E14</f>
        <v>-0.73806586241971672</v>
      </c>
      <c r="H14" s="8" t="s">
        <v>35</v>
      </c>
      <c r="I14" s="169">
        <f t="shared" ref="I14:I29" si="1">I13+1</f>
        <v>3</v>
      </c>
      <c r="K14" s="27"/>
    </row>
    <row r="15" spans="1:11" x14ac:dyDescent="0.35">
      <c r="A15" s="165">
        <f t="shared" si="0"/>
        <v>4</v>
      </c>
      <c r="B15" s="264"/>
      <c r="C15" s="180"/>
      <c r="D15" s="180"/>
      <c r="E15" s="180"/>
      <c r="F15" s="180"/>
      <c r="G15" s="291"/>
      <c r="H15" s="182"/>
      <c r="I15" s="169">
        <f t="shared" si="1"/>
        <v>4</v>
      </c>
    </row>
    <row r="16" spans="1:11" x14ac:dyDescent="0.35">
      <c r="A16" s="165">
        <f t="shared" si="0"/>
        <v>5</v>
      </c>
      <c r="B16" s="183" t="s">
        <v>36</v>
      </c>
      <c r="C16" s="679">
        <f>'Pg3 Rev Appendix X C10'!C15</f>
        <v>874.61355840368606</v>
      </c>
      <c r="D16" s="184"/>
      <c r="E16" s="679">
        <f>'Pg4 As Filed Appendix X C10'!C16</f>
        <v>874.62452639739217</v>
      </c>
      <c r="F16" s="184"/>
      <c r="G16" s="298">
        <f>C16-E16</f>
        <v>-1.096799370611734E-2</v>
      </c>
      <c r="H16" s="8" t="s">
        <v>37</v>
      </c>
      <c r="I16" s="169">
        <f t="shared" si="1"/>
        <v>5</v>
      </c>
      <c r="K16" s="27"/>
    </row>
    <row r="17" spans="1:13" x14ac:dyDescent="0.35">
      <c r="A17" s="165">
        <f t="shared" si="0"/>
        <v>6</v>
      </c>
      <c r="B17" s="185"/>
      <c r="C17" s="184"/>
      <c r="D17" s="184"/>
      <c r="E17" s="184"/>
      <c r="F17" s="184"/>
      <c r="G17" s="690"/>
      <c r="H17" s="177"/>
      <c r="I17" s="169">
        <f t="shared" si="1"/>
        <v>6</v>
      </c>
      <c r="K17" s="27"/>
    </row>
    <row r="18" spans="1:13" x14ac:dyDescent="0.35">
      <c r="A18" s="165">
        <f t="shared" si="0"/>
        <v>7</v>
      </c>
      <c r="B18" s="265" t="s">
        <v>38</v>
      </c>
      <c r="C18" s="822">
        <f>C12+C14+C16+1</f>
        <v>3844.2546551888304</v>
      </c>
      <c r="D18" s="25" t="s">
        <v>34</v>
      </c>
      <c r="E18" s="254">
        <f>E12+E14+E16+1</f>
        <v>3845.0051945026262</v>
      </c>
      <c r="F18" s="157"/>
      <c r="G18" s="822">
        <f>G12+G14+G16</f>
        <v>-0.75053931379549255</v>
      </c>
      <c r="H18" s="187" t="str">
        <f>"Sum Lines "&amp;A12&amp;", "&amp;A14&amp;", "&amp;A16</f>
        <v>Sum Lines 1, 3, 5</v>
      </c>
      <c r="I18" s="169">
        <f t="shared" si="1"/>
        <v>7</v>
      </c>
      <c r="K18" s="27"/>
    </row>
    <row r="19" spans="1:13" x14ac:dyDescent="0.35">
      <c r="A19" s="165">
        <f t="shared" si="0"/>
        <v>8</v>
      </c>
      <c r="B19" s="185"/>
      <c r="C19" s="180"/>
      <c r="D19" s="180"/>
      <c r="E19" s="180"/>
      <c r="F19" s="180"/>
      <c r="G19" s="180"/>
      <c r="H19" s="189"/>
      <c r="I19" s="169">
        <f t="shared" si="1"/>
        <v>8</v>
      </c>
      <c r="K19" s="27"/>
    </row>
    <row r="20" spans="1:13" x14ac:dyDescent="0.35">
      <c r="A20" s="165">
        <f t="shared" si="0"/>
        <v>9</v>
      </c>
      <c r="B20" s="183" t="s">
        <v>39</v>
      </c>
      <c r="C20" s="267">
        <f>'Pg3 Rev Appendix X C10'!C19</f>
        <v>1416.7889456022599</v>
      </c>
      <c r="D20" s="25" t="s">
        <v>34</v>
      </c>
      <c r="E20" s="257">
        <f>'Pg4 As Filed Appendix X C10'!C20</f>
        <v>1417.5536010541682</v>
      </c>
      <c r="F20" s="157"/>
      <c r="G20" s="694">
        <f>C20-E20</f>
        <v>-0.76465545190831108</v>
      </c>
      <c r="H20" s="8" t="s">
        <v>40</v>
      </c>
      <c r="I20" s="169">
        <f t="shared" si="1"/>
        <v>9</v>
      </c>
      <c r="K20" s="27"/>
    </row>
    <row r="21" spans="1:13" x14ac:dyDescent="0.35">
      <c r="A21" s="165">
        <f t="shared" si="0"/>
        <v>10</v>
      </c>
      <c r="B21" s="183"/>
      <c r="C21" s="180"/>
      <c r="D21" s="180"/>
      <c r="E21" s="180"/>
      <c r="F21" s="180"/>
      <c r="G21" s="180"/>
      <c r="H21" s="190"/>
      <c r="I21" s="169">
        <f t="shared" si="1"/>
        <v>10</v>
      </c>
    </row>
    <row r="22" spans="1:13" x14ac:dyDescent="0.35">
      <c r="A22" s="165">
        <f t="shared" si="0"/>
        <v>11</v>
      </c>
      <c r="B22" s="183" t="s">
        <v>41</v>
      </c>
      <c r="C22" s="679">
        <f>'Pg3 Rev Appendix X C10'!C21</f>
        <v>106.95449561636043</v>
      </c>
      <c r="D22" s="184"/>
      <c r="E22" s="679">
        <f>'Pg4 As Filed Appendix X C10'!C22</f>
        <v>106.95449561636043</v>
      </c>
      <c r="F22" s="184"/>
      <c r="G22" s="689">
        <f>C22-E22</f>
        <v>0</v>
      </c>
      <c r="H22" s="8" t="s">
        <v>42</v>
      </c>
      <c r="I22" s="169">
        <f t="shared" si="1"/>
        <v>11</v>
      </c>
    </row>
    <row r="23" spans="1:13" x14ac:dyDescent="0.35">
      <c r="A23" s="165">
        <f t="shared" si="0"/>
        <v>12</v>
      </c>
      <c r="B23" s="185"/>
      <c r="C23" s="192"/>
      <c r="D23" s="192"/>
      <c r="E23" s="192"/>
      <c r="F23" s="192"/>
      <c r="G23" s="192"/>
      <c r="H23" s="187"/>
      <c r="I23" s="169">
        <f t="shared" si="1"/>
        <v>12</v>
      </c>
    </row>
    <row r="24" spans="1:13" x14ac:dyDescent="0.35">
      <c r="A24" s="165">
        <f t="shared" si="0"/>
        <v>13</v>
      </c>
      <c r="B24" s="185" t="s">
        <v>43</v>
      </c>
      <c r="C24" s="78">
        <f>C18+C20+C22</f>
        <v>5367.9980964074512</v>
      </c>
      <c r="D24" s="25" t="s">
        <v>34</v>
      </c>
      <c r="E24" s="34">
        <f>E18+E20+E22</f>
        <v>5369.5132911731553</v>
      </c>
      <c r="F24" s="157"/>
      <c r="G24" s="78">
        <f>G18+G20+G22</f>
        <v>-1.5151947657038036</v>
      </c>
      <c r="H24" s="187" t="str">
        <f>"Sum Lines "&amp;A18&amp;", "&amp;A20&amp;", "&amp;A22</f>
        <v>Sum Lines 7, 9, 11</v>
      </c>
      <c r="I24" s="169">
        <f t="shared" si="1"/>
        <v>13</v>
      </c>
      <c r="K24" s="27"/>
    </row>
    <row r="25" spans="1:13" x14ac:dyDescent="0.35">
      <c r="A25" s="165">
        <f t="shared" si="0"/>
        <v>14</v>
      </c>
      <c r="B25" s="193"/>
      <c r="C25" s="76"/>
      <c r="D25" s="76"/>
      <c r="E25" s="76"/>
      <c r="F25" s="76"/>
      <c r="G25" s="691"/>
      <c r="H25" s="187"/>
      <c r="I25" s="169">
        <f t="shared" si="1"/>
        <v>14</v>
      </c>
      <c r="K25" s="27"/>
    </row>
    <row r="26" spans="1:13" x14ac:dyDescent="0.35">
      <c r="A26" s="165">
        <f t="shared" si="0"/>
        <v>15</v>
      </c>
      <c r="B26" s="183" t="s">
        <v>44</v>
      </c>
      <c r="C26" s="609">
        <f>'Pg3 Rev Appendix X C10'!C25</f>
        <v>-108.76044997079637</v>
      </c>
      <c r="D26" s="76"/>
      <c r="E26" s="609">
        <f>'Pg4 As Filed Appendix X C10'!C26</f>
        <v>-108.76044997079637</v>
      </c>
      <c r="F26" s="76"/>
      <c r="G26" s="298">
        <f>C26-E26</f>
        <v>0</v>
      </c>
      <c r="H26" s="8" t="s">
        <v>45</v>
      </c>
      <c r="I26" s="169">
        <f t="shared" si="1"/>
        <v>15</v>
      </c>
      <c r="K26" s="27"/>
    </row>
    <row r="27" spans="1:13" x14ac:dyDescent="0.35">
      <c r="A27" s="165">
        <f t="shared" si="0"/>
        <v>16</v>
      </c>
      <c r="B27" s="163"/>
      <c r="C27" s="195"/>
      <c r="D27" s="195"/>
      <c r="E27" s="195"/>
      <c r="F27" s="195"/>
      <c r="G27" s="692"/>
      <c r="H27" s="187"/>
      <c r="I27" s="169">
        <f t="shared" si="1"/>
        <v>16</v>
      </c>
    </row>
    <row r="28" spans="1:13" ht="16" thickBot="1" x14ac:dyDescent="0.4">
      <c r="A28" s="165">
        <f t="shared" si="0"/>
        <v>17</v>
      </c>
      <c r="B28" s="265" t="s">
        <v>46</v>
      </c>
      <c r="C28" s="268">
        <f>C24+C26</f>
        <v>5259.2376464366544</v>
      </c>
      <c r="D28" s="25" t="s">
        <v>34</v>
      </c>
      <c r="E28" s="258">
        <f>E24+E26</f>
        <v>5260.7528412023585</v>
      </c>
      <c r="F28" s="157"/>
      <c r="G28" s="259">
        <f>C28-E28</f>
        <v>-1.5151947657041092</v>
      </c>
      <c r="H28" s="187" t="str">
        <f>"Line "&amp;A24&amp;" + Line "&amp;A26</f>
        <v>Line 13 + Line 15</v>
      </c>
      <c r="I28" s="169">
        <f t="shared" si="1"/>
        <v>17</v>
      </c>
      <c r="L28" s="21"/>
      <c r="M28" s="197"/>
    </row>
    <row r="29" spans="1:13" ht="16.5" thickTop="1" thickBot="1" x14ac:dyDescent="0.4">
      <c r="A29" s="165">
        <f t="shared" si="0"/>
        <v>18</v>
      </c>
      <c r="B29" s="164"/>
      <c r="C29" s="269"/>
      <c r="D29" s="164"/>
      <c r="E29" s="164"/>
      <c r="F29" s="164"/>
      <c r="G29" s="164"/>
      <c r="H29" s="164"/>
      <c r="I29" s="169">
        <f t="shared" si="1"/>
        <v>18</v>
      </c>
    </row>
    <row r="31" spans="1:13" ht="16" thickBot="1" x14ac:dyDescent="0.4">
      <c r="A31" s="161"/>
      <c r="B31" s="200"/>
      <c r="C31" s="201"/>
      <c r="D31" s="201"/>
      <c r="E31" s="201"/>
      <c r="F31" s="201"/>
      <c r="G31" s="201"/>
      <c r="H31" s="201"/>
      <c r="I31" s="161"/>
    </row>
    <row r="32" spans="1:13" ht="60.5" x14ac:dyDescent="0.35">
      <c r="A32" s="634" t="s">
        <v>5</v>
      </c>
      <c r="B32" s="162"/>
      <c r="C32" s="271" t="str">
        <f>C9</f>
        <v>Revised - Appendix X Cycle 10</v>
      </c>
      <c r="D32" s="162"/>
      <c r="E32" s="270" t="str">
        <f>E9</f>
        <v>As Filed - Appendix X Cycle 10 per ER 22-139</v>
      </c>
      <c r="F32" s="162"/>
      <c r="G32" s="162" t="str">
        <f>G9</f>
        <v>Difference</v>
      </c>
      <c r="H32" s="162"/>
      <c r="I32" s="635" t="s">
        <v>5</v>
      </c>
    </row>
    <row r="33" spans="1:9" x14ac:dyDescent="0.35">
      <c r="A33" s="165" t="s">
        <v>6</v>
      </c>
      <c r="B33" s="367" t="s">
        <v>47</v>
      </c>
      <c r="C33" s="367" t="str">
        <f>C10</f>
        <v>Amounts</v>
      </c>
      <c r="D33" s="367"/>
      <c r="E33" s="367" t="str">
        <f>E10</f>
        <v>Amounts</v>
      </c>
      <c r="F33" s="367"/>
      <c r="G33" s="367" t="str">
        <f>G10</f>
        <v>Incr (Decr)</v>
      </c>
      <c r="H33" s="367" t="str">
        <f>H10</f>
        <v>Reference</v>
      </c>
      <c r="I33" s="169" t="s">
        <v>6</v>
      </c>
    </row>
    <row r="34" spans="1:9" x14ac:dyDescent="0.35">
      <c r="A34" s="165">
        <f>A29+1</f>
        <v>19</v>
      </c>
      <c r="B34" s="163"/>
      <c r="C34" s="173"/>
      <c r="D34" s="172"/>
      <c r="E34" s="172"/>
      <c r="F34" s="172"/>
      <c r="G34" s="172"/>
      <c r="H34" s="173"/>
      <c r="I34" s="169">
        <f>I29+1</f>
        <v>19</v>
      </c>
    </row>
    <row r="35" spans="1:9" x14ac:dyDescent="0.35">
      <c r="A35" s="165">
        <f>A34+1</f>
        <v>20</v>
      </c>
      <c r="B35" s="183" t="str">
        <f>B12</f>
        <v>Section 1 - Direct Maintenance Expense Cost Component</v>
      </c>
      <c r="C35" s="841">
        <f>'Pg3 Rev Appendix X C10'!C34</f>
        <v>5.2924052199203295</v>
      </c>
      <c r="D35" s="25" t="s">
        <v>34</v>
      </c>
      <c r="E35" s="204">
        <f>'Pg4 As Filed Appendix X C10'!C35</f>
        <v>5.2925306747261347</v>
      </c>
      <c r="F35" s="204"/>
      <c r="G35" s="841">
        <f>C35-E35-0.001</f>
        <v>-1.1254548058051697E-3</v>
      </c>
      <c r="H35" s="8" t="s">
        <v>48</v>
      </c>
      <c r="I35" s="169">
        <f>I34+1</f>
        <v>20</v>
      </c>
    </row>
    <row r="36" spans="1:9" x14ac:dyDescent="0.35">
      <c r="A36" s="165">
        <f t="shared" ref="A36:A54" si="2">A35+1</f>
        <v>21</v>
      </c>
      <c r="B36" s="264"/>
      <c r="C36" s="206"/>
      <c r="D36" s="206"/>
      <c r="E36" s="206"/>
      <c r="F36" s="206"/>
      <c r="G36" s="206"/>
      <c r="H36" s="207"/>
      <c r="I36" s="169">
        <f t="shared" ref="I36:I54" si="3">I35+1</f>
        <v>21</v>
      </c>
    </row>
    <row r="37" spans="1:9" x14ac:dyDescent="0.35">
      <c r="A37" s="165">
        <f t="shared" si="2"/>
        <v>22</v>
      </c>
      <c r="B37" s="183" t="str">
        <f>B14</f>
        <v>Section 2 - Non-Direct Expense Cost Component</v>
      </c>
      <c r="C37" s="272">
        <f>'Pg3 Rev Appendix X C10'!C36</f>
        <v>242.09435284550838</v>
      </c>
      <c r="D37" s="25" t="s">
        <v>34</v>
      </c>
      <c r="E37" s="277">
        <f>'Pg4 As Filed Appendix X C10'!C37</f>
        <v>242.15585833404336</v>
      </c>
      <c r="F37" s="157"/>
      <c r="G37" s="607">
        <f>C37-E37</f>
        <v>-6.1505488534976394E-2</v>
      </c>
      <c r="H37" s="8" t="s">
        <v>49</v>
      </c>
      <c r="I37" s="169">
        <f t="shared" si="3"/>
        <v>22</v>
      </c>
    </row>
    <row r="38" spans="1:9" x14ac:dyDescent="0.35">
      <c r="A38" s="165">
        <f t="shared" si="2"/>
        <v>23</v>
      </c>
      <c r="B38" s="264"/>
      <c r="C38" s="273"/>
      <c r="D38" s="210"/>
      <c r="E38" s="210"/>
      <c r="F38" s="210"/>
      <c r="G38" s="210"/>
      <c r="H38" s="211"/>
      <c r="I38" s="169">
        <f t="shared" si="3"/>
        <v>23</v>
      </c>
    </row>
    <row r="39" spans="1:9" x14ac:dyDescent="0.35">
      <c r="A39" s="165">
        <f t="shared" si="2"/>
        <v>24</v>
      </c>
      <c r="B39" s="183" t="str">
        <f>B16</f>
        <v>Section 3 - Cost Component Containing Other Specific Expenses</v>
      </c>
      <c r="C39" s="842">
        <f>'Pg3 Rev Appendix X C10'!C38</f>
        <v>72.884463200307167</v>
      </c>
      <c r="D39" s="212"/>
      <c r="E39" s="680">
        <f>'Pg4 As Filed Appendix X C10'!C39</f>
        <v>72.885377199782681</v>
      </c>
      <c r="F39" s="212"/>
      <c r="G39" s="842">
        <f>C39-E39</f>
        <v>-9.1399947551451532E-4</v>
      </c>
      <c r="H39" s="8" t="s">
        <v>50</v>
      </c>
      <c r="I39" s="169">
        <f t="shared" si="3"/>
        <v>24</v>
      </c>
    </row>
    <row r="40" spans="1:9" x14ac:dyDescent="0.35">
      <c r="A40" s="165">
        <f t="shared" si="2"/>
        <v>25</v>
      </c>
      <c r="B40" s="185"/>
      <c r="C40" s="210"/>
      <c r="D40" s="210"/>
      <c r="E40" s="210"/>
      <c r="F40" s="210"/>
      <c r="G40" s="210"/>
      <c r="H40" s="177"/>
      <c r="I40" s="169">
        <f t="shared" si="3"/>
        <v>25</v>
      </c>
    </row>
    <row r="41" spans="1:9" x14ac:dyDescent="0.35">
      <c r="A41" s="165">
        <f t="shared" si="2"/>
        <v>26</v>
      </c>
      <c r="B41" s="265" t="s">
        <v>51</v>
      </c>
      <c r="C41" s="274">
        <f>C18/12</f>
        <v>320.35455459906922</v>
      </c>
      <c r="D41" s="25" t="s">
        <v>34</v>
      </c>
      <c r="E41" s="280">
        <f>E18/12</f>
        <v>320.41709954188553</v>
      </c>
      <c r="F41" s="157"/>
      <c r="G41" s="608">
        <f>C41-E41+0.001</f>
        <v>-6.1544942816316506E-2</v>
      </c>
      <c r="H41" s="187" t="str">
        <f>"Sum Lines "&amp;A35&amp;", "&amp;A37&amp;", "&amp;A39</f>
        <v>Sum Lines 20, 22, 24</v>
      </c>
      <c r="I41" s="169">
        <f t="shared" si="3"/>
        <v>26</v>
      </c>
    </row>
    <row r="42" spans="1:9" x14ac:dyDescent="0.35">
      <c r="A42" s="165">
        <f t="shared" si="2"/>
        <v>27</v>
      </c>
      <c r="B42" s="163"/>
      <c r="C42" s="273"/>
      <c r="D42" s="210"/>
      <c r="E42" s="210"/>
      <c r="F42" s="210"/>
      <c r="G42" s="210"/>
      <c r="H42" s="182"/>
      <c r="I42" s="169">
        <f t="shared" si="3"/>
        <v>27</v>
      </c>
    </row>
    <row r="43" spans="1:9" x14ac:dyDescent="0.35">
      <c r="A43" s="165">
        <f t="shared" si="2"/>
        <v>28</v>
      </c>
      <c r="B43" s="183" t="str">
        <f>LEFT(B20,45)</f>
        <v>Section 4 - True-Up Adjustment Cost Component</v>
      </c>
      <c r="C43" s="272">
        <f>'Pg3 Rev Appendix X C10'!C42</f>
        <v>118.06574546685499</v>
      </c>
      <c r="D43" s="25" t="s">
        <v>34</v>
      </c>
      <c r="E43" s="278">
        <f>'Pg4 As Filed Appendix X C10'!C43</f>
        <v>118.12946675451401</v>
      </c>
      <c r="F43" s="157"/>
      <c r="G43" s="607">
        <f>C43-E43+0.001</f>
        <v>-6.2721287659021185E-2</v>
      </c>
      <c r="H43" s="8" t="s">
        <v>52</v>
      </c>
      <c r="I43" s="169">
        <f t="shared" si="3"/>
        <v>28</v>
      </c>
    </row>
    <row r="44" spans="1:9" x14ac:dyDescent="0.35">
      <c r="A44" s="165">
        <f t="shared" si="2"/>
        <v>29</v>
      </c>
      <c r="B44" s="183"/>
      <c r="C44" s="273"/>
      <c r="D44" s="210"/>
      <c r="E44" s="210"/>
      <c r="F44" s="210"/>
      <c r="G44" s="210"/>
      <c r="H44" s="214"/>
      <c r="I44" s="169">
        <f t="shared" si="3"/>
        <v>29</v>
      </c>
    </row>
    <row r="45" spans="1:9" x14ac:dyDescent="0.35">
      <c r="A45" s="165">
        <f t="shared" si="2"/>
        <v>30</v>
      </c>
      <c r="B45" s="183" t="str">
        <f>B22</f>
        <v>Section 5 - Interest True-Up Adjustment Cost Component</v>
      </c>
      <c r="C45" s="212">
        <f>'Pg3 Rev Appendix X C10'!C44</f>
        <v>8.9128746346967027</v>
      </c>
      <c r="D45" s="212"/>
      <c r="E45" s="212">
        <f>'Pg4 As Filed Appendix X C10'!C45</f>
        <v>8.9128746346967027</v>
      </c>
      <c r="F45" s="212"/>
      <c r="G45" s="843">
        <f>C45-E45</f>
        <v>0</v>
      </c>
      <c r="H45" s="8" t="s">
        <v>53</v>
      </c>
      <c r="I45" s="169">
        <f t="shared" si="3"/>
        <v>30</v>
      </c>
    </row>
    <row r="46" spans="1:9" x14ac:dyDescent="0.35">
      <c r="A46" s="165">
        <f t="shared" si="2"/>
        <v>31</v>
      </c>
      <c r="B46" s="185"/>
      <c r="C46" s="29"/>
      <c r="D46" s="28"/>
      <c r="E46" s="28"/>
      <c r="F46" s="28"/>
      <c r="G46" s="28"/>
      <c r="H46" s="216"/>
      <c r="I46" s="169">
        <f t="shared" si="3"/>
        <v>31</v>
      </c>
    </row>
    <row r="47" spans="1:9" x14ac:dyDescent="0.35">
      <c r="A47" s="165">
        <f t="shared" si="2"/>
        <v>32</v>
      </c>
      <c r="B47" s="183" t="str">
        <f>B26</f>
        <v>Other Adjustments</v>
      </c>
      <c r="C47" s="680">
        <f>'Pg3 Rev Appendix X C10'!C46</f>
        <v>-9.0633708308996983</v>
      </c>
      <c r="D47" s="212"/>
      <c r="E47" s="680">
        <f>'Pg4 As Filed Appendix X C10'!C47</f>
        <v>-9.0633708308996983</v>
      </c>
      <c r="F47" s="212"/>
      <c r="G47" s="844">
        <f>C47-E47</f>
        <v>0</v>
      </c>
      <c r="H47" s="8" t="s">
        <v>54</v>
      </c>
      <c r="I47" s="169">
        <f t="shared" si="3"/>
        <v>32</v>
      </c>
    </row>
    <row r="48" spans="1:9" x14ac:dyDescent="0.35">
      <c r="A48" s="165">
        <f t="shared" si="2"/>
        <v>33</v>
      </c>
      <c r="B48" s="185"/>
      <c r="C48" s="29"/>
      <c r="D48" s="28"/>
      <c r="E48" s="28"/>
      <c r="F48" s="28"/>
      <c r="G48" s="28"/>
      <c r="H48" s="216"/>
      <c r="I48" s="169">
        <f t="shared" si="3"/>
        <v>33</v>
      </c>
    </row>
    <row r="49" spans="1:10" x14ac:dyDescent="0.35">
      <c r="A49" s="165">
        <f t="shared" si="2"/>
        <v>34</v>
      </c>
      <c r="B49" s="185" t="s">
        <v>55</v>
      </c>
      <c r="C49" s="275">
        <f>C41+C43+C45+C47</f>
        <v>438.26980386972122</v>
      </c>
      <c r="D49" s="25" t="s">
        <v>34</v>
      </c>
      <c r="E49" s="279">
        <f>E41+E43+E45+E47</f>
        <v>438.39607010019654</v>
      </c>
      <c r="F49" s="157"/>
      <c r="G49" s="275">
        <f>G41+G43+G45+G47-0.002</f>
        <v>-0.12626623047533769</v>
      </c>
      <c r="H49" s="187" t="str">
        <f>"Sum Lines "&amp;A41&amp;", "&amp;A43&amp;", "&amp;A45&amp;", "&amp;A47</f>
        <v>Sum Lines 26, 28, 30, 32</v>
      </c>
      <c r="I49" s="169">
        <f t="shared" si="3"/>
        <v>34</v>
      </c>
    </row>
    <row r="50" spans="1:10" x14ac:dyDescent="0.35">
      <c r="A50" s="165">
        <f t="shared" si="2"/>
        <v>35</v>
      </c>
      <c r="B50" s="163"/>
      <c r="C50" s="276"/>
      <c r="D50" s="218"/>
      <c r="E50" s="218"/>
      <c r="F50" s="218"/>
      <c r="G50" s="218"/>
      <c r="H50" s="219"/>
      <c r="I50" s="169">
        <f t="shared" si="3"/>
        <v>35</v>
      </c>
    </row>
    <row r="51" spans="1:10" x14ac:dyDescent="0.35">
      <c r="A51" s="165">
        <f t="shared" si="2"/>
        <v>36</v>
      </c>
      <c r="B51" s="264" t="s">
        <v>16</v>
      </c>
      <c r="C51" s="681">
        <f>'Pg3 Rev Appendix X C10'!C50</f>
        <v>12</v>
      </c>
      <c r="D51" s="220"/>
      <c r="E51" s="681">
        <f>'Pg4 As Filed Appendix X C10'!C51</f>
        <v>12</v>
      </c>
      <c r="F51" s="220"/>
      <c r="G51" s="682">
        <f>C51-E51</f>
        <v>0</v>
      </c>
      <c r="H51" s="8" t="s">
        <v>56</v>
      </c>
      <c r="I51" s="169">
        <f t="shared" si="3"/>
        <v>36</v>
      </c>
    </row>
    <row r="52" spans="1:10" x14ac:dyDescent="0.35">
      <c r="A52" s="165">
        <f t="shared" si="2"/>
        <v>37</v>
      </c>
      <c r="B52" s="163"/>
      <c r="C52" s="276"/>
      <c r="D52" s="218"/>
      <c r="E52" s="218"/>
      <c r="F52" s="218"/>
      <c r="G52" s="218"/>
      <c r="H52" s="221"/>
      <c r="I52" s="169">
        <f t="shared" si="3"/>
        <v>37</v>
      </c>
    </row>
    <row r="53" spans="1:10" ht="16" thickBot="1" x14ac:dyDescent="0.4">
      <c r="A53" s="165">
        <f t="shared" si="2"/>
        <v>38</v>
      </c>
      <c r="B53" s="265" t="str">
        <f>B28</f>
        <v>Total Annual Costs</v>
      </c>
      <c r="C53" s="282">
        <f>C49*C51</f>
        <v>5259.2376464366544</v>
      </c>
      <c r="D53" s="25" t="s">
        <v>34</v>
      </c>
      <c r="E53" s="282">
        <f>E49*E51</f>
        <v>5260.7528412023585</v>
      </c>
      <c r="F53" s="157"/>
      <c r="G53" s="259">
        <f>C53-E53</f>
        <v>-1.5151947657041092</v>
      </c>
      <c r="H53" s="8" t="s">
        <v>57</v>
      </c>
      <c r="I53" s="169">
        <f t="shared" si="3"/>
        <v>38</v>
      </c>
      <c r="J53" s="845"/>
    </row>
    <row r="54" spans="1:10" ht="16.5" thickTop="1" thickBot="1" x14ac:dyDescent="0.4">
      <c r="A54" s="165">
        <f t="shared" si="2"/>
        <v>39</v>
      </c>
      <c r="B54" s="164"/>
      <c r="C54" s="281"/>
      <c r="D54" s="223"/>
      <c r="E54" s="223"/>
      <c r="F54" s="223"/>
      <c r="G54" s="223"/>
      <c r="H54" s="224"/>
      <c r="I54" s="169">
        <f t="shared" si="3"/>
        <v>39</v>
      </c>
    </row>
    <row r="56" spans="1:10" x14ac:dyDescent="0.35">
      <c r="A56" s="25" t="s">
        <v>34</v>
      </c>
      <c r="B56" s="23" t="s">
        <v>712</v>
      </c>
    </row>
    <row r="57" spans="1:10" x14ac:dyDescent="0.35">
      <c r="B57" s="23" t="s">
        <v>694</v>
      </c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60" orientation="portrait" r:id="rId1"/>
  <headerFooter scaleWithDoc="0" alignWithMargins="0">
    <oddFooter>&amp;CPage 2&amp;R&amp;F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J35"/>
  <sheetViews>
    <sheetView zoomScale="80" zoomScaleNormal="80" workbookViewId="0"/>
  </sheetViews>
  <sheetFormatPr defaultColWidth="8.81640625" defaultRowHeight="15.5" x14ac:dyDescent="0.35"/>
  <cols>
    <col min="1" max="1" width="5.1796875" style="159" bestFit="1" customWidth="1"/>
    <col min="2" max="2" width="68.81640625" style="86" customWidth="1"/>
    <col min="3" max="3" width="24" style="87" customWidth="1"/>
    <col min="4" max="4" width="1.54296875" style="86" customWidth="1"/>
    <col min="5" max="5" width="16.81640625" style="86" customWidth="1"/>
    <col min="6" max="6" width="1.54296875" style="86" customWidth="1"/>
    <col min="7" max="7" width="16.81640625" style="86" customWidth="1"/>
    <col min="8" max="8" width="1.54296875" style="86" customWidth="1"/>
    <col min="9" max="9" width="36.1796875" style="86" customWidth="1"/>
    <col min="10" max="10" width="5.1796875" style="86" customWidth="1"/>
    <col min="11" max="16384" width="8.81640625" style="86"/>
  </cols>
  <sheetData>
    <row r="1" spans="1:10" x14ac:dyDescent="0.35">
      <c r="H1" s="159"/>
      <c r="I1" s="379"/>
      <c r="J1" s="159"/>
    </row>
    <row r="2" spans="1:10" x14ac:dyDescent="0.35">
      <c r="B2" s="870" t="s">
        <v>20</v>
      </c>
      <c r="C2" s="871"/>
      <c r="D2" s="871"/>
      <c r="E2" s="871"/>
      <c r="F2" s="871"/>
      <c r="G2" s="871"/>
      <c r="H2" s="871"/>
      <c r="I2" s="871"/>
      <c r="J2" s="158"/>
    </row>
    <row r="3" spans="1:10" x14ac:dyDescent="0.35">
      <c r="B3" s="870" t="s">
        <v>374</v>
      </c>
      <c r="C3" s="871"/>
      <c r="D3" s="871"/>
      <c r="E3" s="871"/>
      <c r="F3" s="871"/>
      <c r="G3" s="871"/>
      <c r="H3" s="871"/>
      <c r="I3" s="871"/>
      <c r="J3" s="158"/>
    </row>
    <row r="4" spans="1:10" x14ac:dyDescent="0.35">
      <c r="B4" s="870" t="s">
        <v>375</v>
      </c>
      <c r="C4" s="871"/>
      <c r="D4" s="871"/>
      <c r="E4" s="871"/>
      <c r="F4" s="871"/>
      <c r="G4" s="871"/>
      <c r="H4" s="871"/>
      <c r="I4" s="871"/>
      <c r="J4" s="158"/>
    </row>
    <row r="5" spans="1:10" x14ac:dyDescent="0.35">
      <c r="B5" s="872" t="s">
        <v>73</v>
      </c>
      <c r="C5" s="872"/>
      <c r="D5" s="872"/>
      <c r="E5" s="872"/>
      <c r="F5" s="872"/>
      <c r="G5" s="872"/>
      <c r="H5" s="872"/>
      <c r="I5" s="872"/>
      <c r="J5" s="158"/>
    </row>
    <row r="6" spans="1:10" x14ac:dyDescent="0.35">
      <c r="B6" s="873" t="s">
        <v>4</v>
      </c>
      <c r="C6" s="873"/>
      <c r="D6" s="873"/>
      <c r="E6" s="873"/>
      <c r="F6" s="873"/>
      <c r="G6" s="873"/>
      <c r="H6" s="873"/>
      <c r="I6" s="873"/>
      <c r="J6" s="88"/>
    </row>
    <row r="7" spans="1:10" x14ac:dyDescent="0.35">
      <c r="B7" s="159"/>
      <c r="D7" s="159"/>
      <c r="E7" s="159"/>
      <c r="F7" s="159"/>
      <c r="G7" s="159"/>
      <c r="H7" s="158"/>
      <c r="I7" s="158"/>
      <c r="J7" s="158"/>
    </row>
    <row r="8" spans="1:10" x14ac:dyDescent="0.35">
      <c r="A8" s="159" t="s">
        <v>5</v>
      </c>
      <c r="B8" s="158"/>
      <c r="C8" s="36" t="s">
        <v>199</v>
      </c>
      <c r="D8" s="159"/>
      <c r="E8" s="159" t="s">
        <v>376</v>
      </c>
      <c r="F8" s="159"/>
      <c r="G8" s="159" t="s">
        <v>377</v>
      </c>
      <c r="H8" s="158"/>
      <c r="I8" s="158"/>
      <c r="J8" s="159" t="s">
        <v>5</v>
      </c>
    </row>
    <row r="9" spans="1:10" x14ac:dyDescent="0.35">
      <c r="A9" s="159" t="s">
        <v>6</v>
      </c>
      <c r="B9" s="158"/>
      <c r="C9" s="307" t="s">
        <v>200</v>
      </c>
      <c r="D9" s="158"/>
      <c r="E9" s="323" t="s">
        <v>378</v>
      </c>
      <c r="F9" s="158"/>
      <c r="G9" s="323" t="s">
        <v>379</v>
      </c>
      <c r="H9" s="158"/>
      <c r="I9" s="324" t="s">
        <v>9</v>
      </c>
      <c r="J9" s="159" t="s">
        <v>6</v>
      </c>
    </row>
    <row r="10" spans="1:10" x14ac:dyDescent="0.35">
      <c r="B10" s="159"/>
      <c r="D10" s="159"/>
      <c r="E10" s="159"/>
      <c r="F10" s="159"/>
      <c r="G10" s="159"/>
      <c r="H10" s="159"/>
      <c r="I10" s="159"/>
      <c r="J10" s="159"/>
    </row>
    <row r="11" spans="1:10" ht="18.5" x14ac:dyDescent="0.35">
      <c r="A11" s="159">
        <v>1</v>
      </c>
      <c r="B11" s="86" t="s">
        <v>380</v>
      </c>
      <c r="C11" s="159" t="s">
        <v>381</v>
      </c>
      <c r="E11" s="325"/>
      <c r="F11" s="89"/>
      <c r="G11" s="283">
        <v>128758.20369230768</v>
      </c>
      <c r="H11" s="89"/>
      <c r="I11" s="61" t="s">
        <v>382</v>
      </c>
      <c r="J11" s="159">
        <f>A11</f>
        <v>1</v>
      </c>
    </row>
    <row r="12" spans="1:10" x14ac:dyDescent="0.35">
      <c r="A12" s="159">
        <f>+A11+1</f>
        <v>2</v>
      </c>
      <c r="C12" s="159"/>
      <c r="E12" s="90"/>
      <c r="F12" s="91"/>
      <c r="G12" s="91"/>
      <c r="H12" s="91"/>
      <c r="I12" s="61"/>
      <c r="J12" s="159">
        <f>+J11+1</f>
        <v>2</v>
      </c>
    </row>
    <row r="13" spans="1:10" x14ac:dyDescent="0.35">
      <c r="A13" s="159">
        <f t="shared" ref="A13:A29" si="0">+A12+1</f>
        <v>3</v>
      </c>
      <c r="B13" s="86" t="s">
        <v>383</v>
      </c>
      <c r="C13" s="159"/>
      <c r="E13" s="92"/>
      <c r="F13" s="93"/>
      <c r="G13" s="326">
        <v>0.39818377977044611</v>
      </c>
      <c r="H13" s="89"/>
      <c r="I13" s="61" t="s">
        <v>384</v>
      </c>
      <c r="J13" s="159">
        <f t="shared" ref="J13:J29" si="1">+J12+1</f>
        <v>3</v>
      </c>
    </row>
    <row r="14" spans="1:10" x14ac:dyDescent="0.35">
      <c r="A14" s="159">
        <f t="shared" si="0"/>
        <v>4</v>
      </c>
      <c r="C14" s="159"/>
      <c r="E14" s="90"/>
      <c r="F14" s="91"/>
      <c r="G14" s="90"/>
      <c r="H14" s="91"/>
      <c r="I14" s="61"/>
      <c r="J14" s="159">
        <f t="shared" si="1"/>
        <v>4</v>
      </c>
    </row>
    <row r="15" spans="1:10" ht="16" thickBot="1" x14ac:dyDescent="0.4">
      <c r="A15" s="159">
        <f t="shared" si="0"/>
        <v>5</v>
      </c>
      <c r="B15" s="86" t="s">
        <v>385</v>
      </c>
      <c r="C15" s="159"/>
      <c r="E15" s="327"/>
      <c r="F15" s="91"/>
      <c r="G15" s="328">
        <f>G11*G13</f>
        <v>51269.428222656083</v>
      </c>
      <c r="H15" s="89"/>
      <c r="I15" s="61" t="s">
        <v>386</v>
      </c>
      <c r="J15" s="159">
        <f t="shared" si="1"/>
        <v>5</v>
      </c>
    </row>
    <row r="16" spans="1:10" ht="16" thickTop="1" x14ac:dyDescent="0.35">
      <c r="A16" s="159">
        <f t="shared" si="0"/>
        <v>6</v>
      </c>
      <c r="C16" s="159"/>
      <c r="E16" s="329"/>
      <c r="F16" s="159"/>
      <c r="G16" s="159"/>
      <c r="H16" s="159"/>
      <c r="I16" s="61"/>
      <c r="J16" s="159">
        <f t="shared" si="1"/>
        <v>6</v>
      </c>
    </row>
    <row r="17" spans="1:10" ht="18" x14ac:dyDescent="0.35">
      <c r="A17" s="159">
        <f t="shared" si="0"/>
        <v>7</v>
      </c>
      <c r="B17" s="86" t="s">
        <v>387</v>
      </c>
      <c r="C17" s="159" t="s">
        <v>388</v>
      </c>
      <c r="D17" s="330"/>
      <c r="E17" s="325"/>
      <c r="F17" s="91"/>
      <c r="G17" s="331">
        <v>93697.406000000017</v>
      </c>
      <c r="H17" s="89"/>
      <c r="I17" s="61" t="s">
        <v>389</v>
      </c>
      <c r="J17" s="159">
        <f t="shared" si="1"/>
        <v>7</v>
      </c>
    </row>
    <row r="18" spans="1:10" x14ac:dyDescent="0.35">
      <c r="A18" s="159">
        <f t="shared" si="0"/>
        <v>8</v>
      </c>
      <c r="C18" s="159"/>
      <c r="E18" s="332"/>
      <c r="F18" s="91"/>
      <c r="G18" s="91"/>
      <c r="H18" s="91"/>
      <c r="I18" s="61"/>
      <c r="J18" s="159">
        <f t="shared" si="1"/>
        <v>8</v>
      </c>
    </row>
    <row r="19" spans="1:10" ht="16" thickBot="1" x14ac:dyDescent="0.4">
      <c r="A19" s="159">
        <f t="shared" si="0"/>
        <v>9</v>
      </c>
      <c r="B19" s="86" t="s">
        <v>390</v>
      </c>
      <c r="E19" s="325"/>
      <c r="F19" s="91"/>
      <c r="G19" s="328">
        <f>G13*G17</f>
        <v>37308.787275766081</v>
      </c>
      <c r="H19" s="89"/>
      <c r="I19" s="61" t="s">
        <v>391</v>
      </c>
      <c r="J19" s="159">
        <f t="shared" si="1"/>
        <v>9</v>
      </c>
    </row>
    <row r="20" spans="1:10" ht="16" thickTop="1" x14ac:dyDescent="0.35">
      <c r="A20" s="159">
        <f t="shared" si="0"/>
        <v>10</v>
      </c>
      <c r="E20" s="333"/>
      <c r="F20" s="91"/>
      <c r="G20" s="91"/>
      <c r="H20" s="91"/>
      <c r="I20" s="61"/>
      <c r="J20" s="159">
        <f t="shared" si="1"/>
        <v>10</v>
      </c>
    </row>
    <row r="21" spans="1:10" x14ac:dyDescent="0.35">
      <c r="A21" s="159">
        <f t="shared" si="0"/>
        <v>11</v>
      </c>
      <c r="B21" s="94" t="s">
        <v>392</v>
      </c>
      <c r="E21" s="333"/>
      <c r="F21" s="91"/>
      <c r="G21" s="91"/>
      <c r="H21" s="91"/>
      <c r="I21" s="61"/>
      <c r="J21" s="159">
        <f t="shared" si="1"/>
        <v>11</v>
      </c>
    </row>
    <row r="22" spans="1:10" x14ac:dyDescent="0.35">
      <c r="A22" s="159">
        <f t="shared" si="0"/>
        <v>12</v>
      </c>
      <c r="B22" s="86" t="s">
        <v>393</v>
      </c>
      <c r="E22" s="664">
        <f>'Pg10 Rev Stmt AH'!E27</f>
        <v>43805.347860000002</v>
      </c>
      <c r="F22" s="25"/>
      <c r="G22" s="284"/>
      <c r="H22" s="91"/>
      <c r="I22" s="61" t="s">
        <v>93</v>
      </c>
      <c r="J22" s="159">
        <f t="shared" si="1"/>
        <v>12</v>
      </c>
    </row>
    <row r="23" spans="1:10" x14ac:dyDescent="0.35">
      <c r="A23" s="159">
        <f t="shared" si="0"/>
        <v>13</v>
      </c>
      <c r="B23" s="86" t="s">
        <v>394</v>
      </c>
      <c r="E23" s="334">
        <f>'Pg10 Rev Stmt AH'!E50</f>
        <v>47690.791129601894</v>
      </c>
      <c r="F23" s="25" t="s">
        <v>34</v>
      </c>
      <c r="G23" s="335"/>
      <c r="H23" s="91"/>
      <c r="I23" s="61" t="s">
        <v>395</v>
      </c>
      <c r="J23" s="159">
        <f t="shared" si="1"/>
        <v>13</v>
      </c>
    </row>
    <row r="24" spans="1:10" x14ac:dyDescent="0.35">
      <c r="A24" s="159">
        <f t="shared" si="0"/>
        <v>14</v>
      </c>
      <c r="B24" s="86" t="s">
        <v>238</v>
      </c>
      <c r="E24" s="378">
        <f>-'Pg10 Rev Stmt AH'!E34</f>
        <v>0</v>
      </c>
      <c r="F24" s="91"/>
      <c r="G24" s="335"/>
      <c r="H24" s="91"/>
      <c r="I24" s="61" t="s">
        <v>396</v>
      </c>
      <c r="J24" s="159">
        <f t="shared" si="1"/>
        <v>14</v>
      </c>
    </row>
    <row r="25" spans="1:10" x14ac:dyDescent="0.35">
      <c r="A25" s="159">
        <f t="shared" si="0"/>
        <v>15</v>
      </c>
      <c r="B25" s="86" t="s">
        <v>397</v>
      </c>
      <c r="E25" s="336">
        <f>SUM(E22:E24)</f>
        <v>91496.138989601895</v>
      </c>
      <c r="F25" s="25" t="s">
        <v>34</v>
      </c>
      <c r="G25" s="330"/>
      <c r="H25" s="61"/>
      <c r="I25" s="61" t="s">
        <v>398</v>
      </c>
      <c r="J25" s="159">
        <f t="shared" si="1"/>
        <v>15</v>
      </c>
    </row>
    <row r="26" spans="1:10" x14ac:dyDescent="0.35">
      <c r="A26" s="159">
        <f t="shared" si="0"/>
        <v>16</v>
      </c>
      <c r="F26" s="159"/>
      <c r="H26" s="159"/>
      <c r="I26" s="61"/>
      <c r="J26" s="159">
        <f t="shared" si="1"/>
        <v>16</v>
      </c>
    </row>
    <row r="27" spans="1:10" x14ac:dyDescent="0.35">
      <c r="A27" s="159">
        <f t="shared" si="0"/>
        <v>17</v>
      </c>
      <c r="B27" s="86" t="s">
        <v>399</v>
      </c>
      <c r="E27" s="337">
        <f>1/8</f>
        <v>0.125</v>
      </c>
      <c r="F27" s="159"/>
      <c r="G27" s="338"/>
      <c r="H27" s="159"/>
      <c r="I27" s="61" t="s">
        <v>400</v>
      </c>
      <c r="J27" s="159">
        <f t="shared" si="1"/>
        <v>17</v>
      </c>
    </row>
    <row r="28" spans="1:10" x14ac:dyDescent="0.35">
      <c r="A28" s="159">
        <f t="shared" si="0"/>
        <v>18</v>
      </c>
      <c r="E28" s="90" t="s">
        <v>233</v>
      </c>
      <c r="F28" s="91"/>
      <c r="G28" s="90"/>
      <c r="H28" s="91"/>
      <c r="I28" s="61"/>
      <c r="J28" s="159">
        <f t="shared" si="1"/>
        <v>18</v>
      </c>
    </row>
    <row r="29" spans="1:10" ht="16" thickBot="1" x14ac:dyDescent="0.4">
      <c r="A29" s="159">
        <f t="shared" si="0"/>
        <v>19</v>
      </c>
      <c r="B29" s="86" t="s">
        <v>401</v>
      </c>
      <c r="E29" s="339">
        <f>E25*E27</f>
        <v>11437.017373700237</v>
      </c>
      <c r="F29" s="25" t="s">
        <v>34</v>
      </c>
      <c r="G29" s="327"/>
      <c r="H29" s="91"/>
      <c r="I29" s="159" t="s">
        <v>402</v>
      </c>
      <c r="J29" s="159">
        <f t="shared" si="1"/>
        <v>19</v>
      </c>
    </row>
    <row r="30" spans="1:10" ht="16" thickTop="1" x14ac:dyDescent="0.35">
      <c r="E30" s="673"/>
      <c r="F30" s="25"/>
      <c r="G30" s="327"/>
      <c r="H30" s="91"/>
      <c r="I30" s="159"/>
      <c r="J30" s="159"/>
    </row>
    <row r="31" spans="1:10" x14ac:dyDescent="0.35">
      <c r="B31" s="340"/>
    </row>
    <row r="32" spans="1:10" x14ac:dyDescent="0.35">
      <c r="A32" s="25" t="s">
        <v>34</v>
      </c>
      <c r="B32" s="23" t="s">
        <v>696</v>
      </c>
    </row>
    <row r="33" spans="1:2" ht="18" x14ac:dyDescent="0.35">
      <c r="A33" s="97">
        <v>1</v>
      </c>
      <c r="B33" s="86" t="s">
        <v>403</v>
      </c>
    </row>
    <row r="34" spans="1:2" ht="18" x14ac:dyDescent="0.35">
      <c r="A34" s="97">
        <v>2</v>
      </c>
      <c r="B34" s="669" t="s">
        <v>404</v>
      </c>
    </row>
    <row r="35" spans="1:2" x14ac:dyDescent="0.35">
      <c r="B35" s="670" t="s">
        <v>405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Roman,Bold"&amp;9REVISED</oddHeader>
    <oddFooter>&amp;CPage 11&amp;R&amp;F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B5002-A1C3-44A8-9C83-3E10E6CA2EB8}">
  <sheetPr>
    <pageSetUpPr fitToPage="1"/>
  </sheetPr>
  <dimension ref="A1:J36"/>
  <sheetViews>
    <sheetView zoomScale="80" zoomScaleNormal="80" workbookViewId="0"/>
  </sheetViews>
  <sheetFormatPr defaultColWidth="8.81640625" defaultRowHeight="15.5" x14ac:dyDescent="0.35"/>
  <cols>
    <col min="1" max="1" width="5.1796875" style="749" bestFit="1" customWidth="1"/>
    <col min="2" max="2" width="68.81640625" style="86" customWidth="1"/>
    <col min="3" max="3" width="24" style="87" customWidth="1"/>
    <col min="4" max="4" width="1.54296875" style="86" customWidth="1"/>
    <col min="5" max="5" width="16.81640625" style="86" customWidth="1"/>
    <col min="6" max="6" width="1.54296875" style="86" customWidth="1"/>
    <col min="7" max="7" width="16.81640625" style="86" customWidth="1"/>
    <col min="8" max="8" width="1.54296875" style="86" customWidth="1"/>
    <col min="9" max="9" width="40.36328125" style="86" customWidth="1"/>
    <col min="10" max="10" width="5.1796875" style="86" customWidth="1"/>
    <col min="11" max="16384" width="8.81640625" style="86"/>
  </cols>
  <sheetData>
    <row r="1" spans="1:10" x14ac:dyDescent="0.35">
      <c r="A1" s="720" t="s">
        <v>650</v>
      </c>
    </row>
    <row r="2" spans="1:10" x14ac:dyDescent="0.35">
      <c r="H2" s="749"/>
      <c r="I2" s="749"/>
      <c r="J2" s="749"/>
    </row>
    <row r="3" spans="1:10" x14ac:dyDescent="0.35">
      <c r="B3" s="870" t="s">
        <v>20</v>
      </c>
      <c r="C3" s="871"/>
      <c r="D3" s="871"/>
      <c r="E3" s="871"/>
      <c r="F3" s="871"/>
      <c r="G3" s="871"/>
      <c r="H3" s="871"/>
      <c r="I3" s="871"/>
      <c r="J3" s="748"/>
    </row>
    <row r="4" spans="1:10" x14ac:dyDescent="0.35">
      <c r="B4" s="870" t="s">
        <v>374</v>
      </c>
      <c r="C4" s="871"/>
      <c r="D4" s="871"/>
      <c r="E4" s="871"/>
      <c r="F4" s="871"/>
      <c r="G4" s="871"/>
      <c r="H4" s="871"/>
      <c r="I4" s="871"/>
      <c r="J4" s="748"/>
    </row>
    <row r="5" spans="1:10" x14ac:dyDescent="0.35">
      <c r="B5" s="870" t="s">
        <v>375</v>
      </c>
      <c r="C5" s="871"/>
      <c r="D5" s="871"/>
      <c r="E5" s="871"/>
      <c r="F5" s="871"/>
      <c r="G5" s="871"/>
      <c r="H5" s="871"/>
      <c r="I5" s="871"/>
      <c r="J5" s="748"/>
    </row>
    <row r="6" spans="1:10" x14ac:dyDescent="0.35">
      <c r="B6" s="872" t="s">
        <v>73</v>
      </c>
      <c r="C6" s="872"/>
      <c r="D6" s="872"/>
      <c r="E6" s="872"/>
      <c r="F6" s="872"/>
      <c r="G6" s="872"/>
      <c r="H6" s="872"/>
      <c r="I6" s="872"/>
      <c r="J6" s="748"/>
    </row>
    <row r="7" spans="1:10" x14ac:dyDescent="0.35">
      <c r="B7" s="873" t="s">
        <v>4</v>
      </c>
      <c r="C7" s="873"/>
      <c r="D7" s="873"/>
      <c r="E7" s="873"/>
      <c r="F7" s="873"/>
      <c r="G7" s="873"/>
      <c r="H7" s="873"/>
      <c r="I7" s="873"/>
      <c r="J7" s="750"/>
    </row>
    <row r="8" spans="1:10" x14ac:dyDescent="0.35">
      <c r="B8" s="749"/>
      <c r="D8" s="749"/>
      <c r="E8" s="749"/>
      <c r="F8" s="749"/>
      <c r="G8" s="749"/>
      <c r="H8" s="748"/>
      <c r="I8" s="748"/>
      <c r="J8" s="748"/>
    </row>
    <row r="9" spans="1:10" x14ac:dyDescent="0.35">
      <c r="A9" s="749" t="s">
        <v>5</v>
      </c>
      <c r="B9" s="748"/>
      <c r="C9" s="36" t="s">
        <v>199</v>
      </c>
      <c r="D9" s="749"/>
      <c r="E9" s="749" t="s">
        <v>376</v>
      </c>
      <c r="F9" s="749"/>
      <c r="G9" s="749" t="s">
        <v>377</v>
      </c>
      <c r="H9" s="748"/>
      <c r="I9" s="748"/>
      <c r="J9" s="749" t="s">
        <v>5</v>
      </c>
    </row>
    <row r="10" spans="1:10" x14ac:dyDescent="0.35">
      <c r="A10" s="749" t="s">
        <v>6</v>
      </c>
      <c r="B10" s="748"/>
      <c r="C10" s="701" t="s">
        <v>200</v>
      </c>
      <c r="D10" s="748"/>
      <c r="E10" s="825" t="s">
        <v>378</v>
      </c>
      <c r="F10" s="748"/>
      <c r="G10" s="825" t="s">
        <v>379</v>
      </c>
      <c r="H10" s="748"/>
      <c r="I10" s="736" t="s">
        <v>9</v>
      </c>
      <c r="J10" s="749" t="s">
        <v>6</v>
      </c>
    </row>
    <row r="11" spans="1:10" x14ac:dyDescent="0.35">
      <c r="B11" s="749"/>
      <c r="D11" s="749"/>
      <c r="E11" s="749"/>
      <c r="F11" s="749"/>
      <c r="G11" s="749"/>
      <c r="H11" s="749"/>
      <c r="I11" s="749"/>
      <c r="J11" s="749"/>
    </row>
    <row r="12" spans="1:10" ht="18" x14ac:dyDescent="0.35">
      <c r="A12" s="749">
        <v>1</v>
      </c>
      <c r="B12" s="86" t="s">
        <v>697</v>
      </c>
      <c r="C12" s="749" t="s">
        <v>381</v>
      </c>
      <c r="E12" s="325"/>
      <c r="F12" s="89"/>
      <c r="G12" s="283">
        <v>128758.20369230768</v>
      </c>
      <c r="H12" s="89"/>
      <c r="I12" s="61" t="s">
        <v>382</v>
      </c>
      <c r="J12" s="749">
        <f>A12</f>
        <v>1</v>
      </c>
    </row>
    <row r="13" spans="1:10" x14ac:dyDescent="0.35">
      <c r="A13" s="749">
        <f>+A12+1</f>
        <v>2</v>
      </c>
      <c r="C13" s="749"/>
      <c r="E13" s="90"/>
      <c r="F13" s="91"/>
      <c r="G13" s="91"/>
      <c r="H13" s="91"/>
      <c r="I13" s="61"/>
      <c r="J13" s="749">
        <f>+J12+1</f>
        <v>2</v>
      </c>
    </row>
    <row r="14" spans="1:10" x14ac:dyDescent="0.35">
      <c r="A14" s="749">
        <f t="shared" ref="A14:A30" si="0">+A13+1</f>
        <v>3</v>
      </c>
      <c r="B14" s="86" t="s">
        <v>383</v>
      </c>
      <c r="C14" s="749"/>
      <c r="E14" s="92"/>
      <c r="F14" s="93"/>
      <c r="G14" s="826">
        <v>0.39818377977044611</v>
      </c>
      <c r="H14" s="89"/>
      <c r="I14" s="61" t="s">
        <v>384</v>
      </c>
      <c r="J14" s="749">
        <f t="shared" ref="J14:J30" si="1">+J13+1</f>
        <v>3</v>
      </c>
    </row>
    <row r="15" spans="1:10" x14ac:dyDescent="0.35">
      <c r="A15" s="749">
        <f t="shared" si="0"/>
        <v>4</v>
      </c>
      <c r="C15" s="749"/>
      <c r="E15" s="90"/>
      <c r="F15" s="91"/>
      <c r="G15" s="90"/>
      <c r="H15" s="91"/>
      <c r="I15" s="61"/>
      <c r="J15" s="749">
        <f t="shared" si="1"/>
        <v>4</v>
      </c>
    </row>
    <row r="16" spans="1:10" ht="16" thickBot="1" x14ac:dyDescent="0.4">
      <c r="A16" s="749">
        <f t="shared" si="0"/>
        <v>5</v>
      </c>
      <c r="B16" s="86" t="s">
        <v>385</v>
      </c>
      <c r="C16" s="749"/>
      <c r="E16" s="327"/>
      <c r="F16" s="91"/>
      <c r="G16" s="328">
        <f>G12*G14</f>
        <v>51269.428222656083</v>
      </c>
      <c r="H16" s="89"/>
      <c r="I16" s="61" t="str">
        <f>"Line "&amp;A12&amp;" x Line "&amp;A14</f>
        <v>Line 1 x Line 3</v>
      </c>
      <c r="J16" s="749">
        <f t="shared" si="1"/>
        <v>5</v>
      </c>
    </row>
    <row r="17" spans="1:10" ht="16" thickTop="1" x14ac:dyDescent="0.35">
      <c r="A17" s="749">
        <f t="shared" si="0"/>
        <v>6</v>
      </c>
      <c r="C17" s="749"/>
      <c r="E17" s="329"/>
      <c r="F17" s="749"/>
      <c r="G17" s="749"/>
      <c r="H17" s="749"/>
      <c r="I17" s="61"/>
      <c r="J17" s="749">
        <f t="shared" si="1"/>
        <v>6</v>
      </c>
    </row>
    <row r="18" spans="1:10" ht="18" x14ac:dyDescent="0.35">
      <c r="A18" s="749">
        <f t="shared" si="0"/>
        <v>7</v>
      </c>
      <c r="B18" s="86" t="s">
        <v>387</v>
      </c>
      <c r="C18" s="749" t="s">
        <v>388</v>
      </c>
      <c r="D18" s="330"/>
      <c r="E18" s="325"/>
      <c r="F18" s="91"/>
      <c r="G18" s="827">
        <v>93697.406000000017</v>
      </c>
      <c r="H18" s="89"/>
      <c r="I18" s="61" t="s">
        <v>389</v>
      </c>
      <c r="J18" s="749">
        <f t="shared" si="1"/>
        <v>7</v>
      </c>
    </row>
    <row r="19" spans="1:10" x14ac:dyDescent="0.35">
      <c r="A19" s="749">
        <f t="shared" si="0"/>
        <v>8</v>
      </c>
      <c r="C19" s="749"/>
      <c r="E19" s="332"/>
      <c r="F19" s="91"/>
      <c r="G19" s="91"/>
      <c r="H19" s="91"/>
      <c r="I19" s="61"/>
      <c r="J19" s="749">
        <f t="shared" si="1"/>
        <v>8</v>
      </c>
    </row>
    <row r="20" spans="1:10" ht="16" thickBot="1" x14ac:dyDescent="0.4">
      <c r="A20" s="749">
        <f t="shared" si="0"/>
        <v>9</v>
      </c>
      <c r="B20" s="86" t="s">
        <v>390</v>
      </c>
      <c r="E20" s="325"/>
      <c r="F20" s="91"/>
      <c r="G20" s="328">
        <f>G14*G18</f>
        <v>37308.787275766081</v>
      </c>
      <c r="H20" s="89"/>
      <c r="I20" s="61" t="str">
        <f>"Line "&amp;A14&amp;" x Line "&amp;A18</f>
        <v>Line 3 x Line 7</v>
      </c>
      <c r="J20" s="749">
        <f t="shared" si="1"/>
        <v>9</v>
      </c>
    </row>
    <row r="21" spans="1:10" ht="16" thickTop="1" x14ac:dyDescent="0.35">
      <c r="A21" s="749">
        <f t="shared" si="0"/>
        <v>10</v>
      </c>
      <c r="E21" s="333"/>
      <c r="F21" s="91"/>
      <c r="G21" s="91"/>
      <c r="H21" s="91"/>
      <c r="I21" s="61"/>
      <c r="J21" s="749">
        <f t="shared" si="1"/>
        <v>10</v>
      </c>
    </row>
    <row r="22" spans="1:10" x14ac:dyDescent="0.35">
      <c r="A22" s="749">
        <f t="shared" si="0"/>
        <v>11</v>
      </c>
      <c r="B22" s="94" t="s">
        <v>392</v>
      </c>
      <c r="E22" s="333"/>
      <c r="F22" s="91"/>
      <c r="G22" s="91"/>
      <c r="H22" s="91"/>
      <c r="I22" s="61"/>
      <c r="J22" s="749">
        <f t="shared" si="1"/>
        <v>11</v>
      </c>
    </row>
    <row r="23" spans="1:10" x14ac:dyDescent="0.35">
      <c r="A23" s="749">
        <f t="shared" si="0"/>
        <v>12</v>
      </c>
      <c r="B23" s="86" t="s">
        <v>393</v>
      </c>
      <c r="E23" s="664">
        <v>43805.347860000002</v>
      </c>
      <c r="F23" s="91"/>
      <c r="G23" s="284"/>
      <c r="H23" s="91"/>
      <c r="I23" s="61" t="s">
        <v>141</v>
      </c>
      <c r="J23" s="749">
        <f t="shared" si="1"/>
        <v>12</v>
      </c>
    </row>
    <row r="24" spans="1:10" x14ac:dyDescent="0.35">
      <c r="A24" s="749">
        <f t="shared" si="0"/>
        <v>13</v>
      </c>
      <c r="B24" s="86" t="s">
        <v>394</v>
      </c>
      <c r="E24" s="478">
        <v>47700.442507658532</v>
      </c>
      <c r="F24" s="750"/>
      <c r="G24" s="335"/>
      <c r="H24" s="91"/>
      <c r="I24" s="61" t="s">
        <v>142</v>
      </c>
      <c r="J24" s="749">
        <f t="shared" si="1"/>
        <v>13</v>
      </c>
    </row>
    <row r="25" spans="1:10" x14ac:dyDescent="0.35">
      <c r="A25" s="749">
        <f t="shared" si="0"/>
        <v>14</v>
      </c>
      <c r="B25" s="86" t="s">
        <v>238</v>
      </c>
      <c r="E25" s="828">
        <v>0</v>
      </c>
      <c r="F25" s="91"/>
      <c r="G25" s="335"/>
      <c r="H25" s="91"/>
      <c r="I25" s="61" t="s">
        <v>396</v>
      </c>
      <c r="J25" s="749">
        <f t="shared" si="1"/>
        <v>14</v>
      </c>
    </row>
    <row r="26" spans="1:10" x14ac:dyDescent="0.35">
      <c r="A26" s="749">
        <f t="shared" si="0"/>
        <v>15</v>
      </c>
      <c r="B26" s="86" t="s">
        <v>397</v>
      </c>
      <c r="E26" s="829">
        <f>SUM(E23:E25)</f>
        <v>91505.790367658541</v>
      </c>
      <c r="F26" s="750"/>
      <c r="G26" s="330"/>
      <c r="H26" s="61"/>
      <c r="I26" s="61" t="str">
        <f>"Sum Lines "&amp;A23&amp;" thru "&amp;A25</f>
        <v>Sum Lines 12 thru 14</v>
      </c>
      <c r="J26" s="749">
        <f t="shared" si="1"/>
        <v>15</v>
      </c>
    </row>
    <row r="27" spans="1:10" x14ac:dyDescent="0.35">
      <c r="A27" s="749">
        <f t="shared" si="0"/>
        <v>16</v>
      </c>
      <c r="F27" s="749"/>
      <c r="H27" s="749"/>
      <c r="I27" s="61"/>
      <c r="J27" s="749">
        <f t="shared" si="1"/>
        <v>16</v>
      </c>
    </row>
    <row r="28" spans="1:10" x14ac:dyDescent="0.35">
      <c r="A28" s="749">
        <f t="shared" si="0"/>
        <v>17</v>
      </c>
      <c r="B28" s="86" t="s">
        <v>399</v>
      </c>
      <c r="E28" s="830">
        <f>1/8</f>
        <v>0.125</v>
      </c>
      <c r="F28" s="749"/>
      <c r="G28" s="338"/>
      <c r="H28" s="749"/>
      <c r="I28" s="61" t="s">
        <v>400</v>
      </c>
      <c r="J28" s="749">
        <f t="shared" si="1"/>
        <v>17</v>
      </c>
    </row>
    <row r="29" spans="1:10" x14ac:dyDescent="0.35">
      <c r="A29" s="749">
        <f t="shared" si="0"/>
        <v>18</v>
      </c>
      <c r="E29" s="90" t="s">
        <v>233</v>
      </c>
      <c r="F29" s="91"/>
      <c r="G29" s="90"/>
      <c r="H29" s="91"/>
      <c r="I29" s="61"/>
      <c r="J29" s="749">
        <f t="shared" si="1"/>
        <v>18</v>
      </c>
    </row>
    <row r="30" spans="1:10" ht="16" thickBot="1" x14ac:dyDescent="0.4">
      <c r="A30" s="749">
        <f t="shared" si="0"/>
        <v>19</v>
      </c>
      <c r="B30" s="86" t="s">
        <v>401</v>
      </c>
      <c r="E30" s="328">
        <f>E26*E28</f>
        <v>11438.223795957318</v>
      </c>
      <c r="F30" s="750"/>
      <c r="G30" s="327"/>
      <c r="H30" s="91"/>
      <c r="I30" s="749" t="str">
        <f>"Line "&amp;A26&amp;" x Line "&amp;A28</f>
        <v>Line 15 x Line 17</v>
      </c>
      <c r="J30" s="749">
        <f t="shared" si="1"/>
        <v>19</v>
      </c>
    </row>
    <row r="31" spans="1:10" ht="16" thickTop="1" x14ac:dyDescent="0.35">
      <c r="B31" s="340"/>
    </row>
    <row r="33" spans="1:2" ht="18" x14ac:dyDescent="0.35">
      <c r="A33" s="97">
        <v>1</v>
      </c>
      <c r="B33" s="86" t="s">
        <v>403</v>
      </c>
    </row>
    <row r="34" spans="1:2" ht="18" x14ac:dyDescent="0.35">
      <c r="A34" s="97">
        <v>2</v>
      </c>
      <c r="B34" s="669" t="s">
        <v>404</v>
      </c>
    </row>
    <row r="35" spans="1:2" x14ac:dyDescent="0.35">
      <c r="B35" s="670" t="s">
        <v>405</v>
      </c>
    </row>
    <row r="36" spans="1:2" ht="18" x14ac:dyDescent="0.35">
      <c r="A36" s="97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Roman,Bold"&amp;9AS FILED</oddHeader>
    <oddFooter>&amp;CPage 11.1&amp;R&amp;F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1913-3D12-4C40-AAC3-4D57342CC3F1}">
  <sheetPr>
    <pageSetUpPr fitToPage="1"/>
  </sheetPr>
  <dimension ref="A1:H26"/>
  <sheetViews>
    <sheetView zoomScale="80" zoomScaleNormal="80" workbookViewId="0"/>
  </sheetViews>
  <sheetFormatPr defaultColWidth="8.81640625" defaultRowHeight="15.5" x14ac:dyDescent="0.35"/>
  <cols>
    <col min="1" max="1" width="5.1796875" style="749" bestFit="1" customWidth="1"/>
    <col min="2" max="2" width="78.81640625" style="86" customWidth="1"/>
    <col min="3" max="3" width="26.453125" style="86" customWidth="1"/>
    <col min="4" max="4" width="1.54296875" style="86" customWidth="1"/>
    <col min="5" max="5" width="16.81640625" style="86" customWidth="1"/>
    <col min="6" max="6" width="1.54296875" style="86" customWidth="1"/>
    <col min="7" max="7" width="41.1796875" style="86" customWidth="1"/>
    <col min="8" max="8" width="5.1796875" style="86" customWidth="1"/>
    <col min="9" max="9" width="8.81640625" style="86"/>
    <col min="10" max="10" width="20.453125" style="86" bestFit="1" customWidth="1"/>
    <col min="11" max="16384" width="8.81640625" style="86"/>
  </cols>
  <sheetData>
    <row r="1" spans="1:8" x14ac:dyDescent="0.35">
      <c r="E1" s="90"/>
      <c r="F1" s="90"/>
      <c r="G1" s="749"/>
      <c r="H1" s="749"/>
    </row>
    <row r="2" spans="1:8" x14ac:dyDescent="0.35">
      <c r="B2" s="870" t="s">
        <v>20</v>
      </c>
      <c r="C2" s="870"/>
      <c r="D2" s="870"/>
      <c r="E2" s="870"/>
      <c r="F2" s="870"/>
      <c r="G2" s="870"/>
      <c r="H2" s="749"/>
    </row>
    <row r="3" spans="1:8" x14ac:dyDescent="0.35">
      <c r="B3" s="870" t="s">
        <v>627</v>
      </c>
      <c r="C3" s="870"/>
      <c r="D3" s="870"/>
      <c r="E3" s="870"/>
      <c r="F3" s="870"/>
      <c r="G3" s="870"/>
      <c r="H3" s="749"/>
    </row>
    <row r="4" spans="1:8" x14ac:dyDescent="0.35">
      <c r="B4" s="870" t="s">
        <v>628</v>
      </c>
      <c r="C4" s="870"/>
      <c r="D4" s="870"/>
      <c r="E4" s="870"/>
      <c r="F4" s="870"/>
      <c r="G4" s="870"/>
      <c r="H4" s="749"/>
    </row>
    <row r="5" spans="1:8" x14ac:dyDescent="0.35">
      <c r="B5" s="872" t="s">
        <v>73</v>
      </c>
      <c r="C5" s="872"/>
      <c r="D5" s="872"/>
      <c r="E5" s="872"/>
      <c r="F5" s="872"/>
      <c r="G5" s="872"/>
      <c r="H5" s="749"/>
    </row>
    <row r="6" spans="1:8" x14ac:dyDescent="0.35">
      <c r="B6" s="873" t="s">
        <v>4</v>
      </c>
      <c r="C6" s="874"/>
      <c r="D6" s="874"/>
      <c r="E6" s="874"/>
      <c r="F6" s="874"/>
      <c r="G6" s="874"/>
      <c r="H6" s="749"/>
    </row>
    <row r="7" spans="1:8" x14ac:dyDescent="0.35">
      <c r="B7" s="749"/>
      <c r="C7" s="749"/>
      <c r="D7" s="749"/>
      <c r="E7" s="749"/>
      <c r="F7" s="749"/>
      <c r="G7" s="749"/>
      <c r="H7" s="749"/>
    </row>
    <row r="8" spans="1:8" x14ac:dyDescent="0.35">
      <c r="A8" s="749" t="s">
        <v>5</v>
      </c>
      <c r="C8" s="36" t="s">
        <v>199</v>
      </c>
      <c r="E8" s="749"/>
      <c r="F8" s="749"/>
      <c r="G8" s="749"/>
      <c r="H8" s="749" t="s">
        <v>5</v>
      </c>
    </row>
    <row r="9" spans="1:8" x14ac:dyDescent="0.35">
      <c r="A9" s="749" t="s">
        <v>6</v>
      </c>
      <c r="B9" s="86" t="s">
        <v>233</v>
      </c>
      <c r="C9" s="701" t="s">
        <v>200</v>
      </c>
      <c r="E9" s="736" t="s">
        <v>8</v>
      </c>
      <c r="F9" s="737"/>
      <c r="G9" s="736" t="s">
        <v>9</v>
      </c>
      <c r="H9" s="749" t="s">
        <v>6</v>
      </c>
    </row>
    <row r="10" spans="1:8" x14ac:dyDescent="0.35">
      <c r="E10" s="90"/>
      <c r="F10" s="90"/>
      <c r="G10" s="749"/>
      <c r="H10" s="749"/>
    </row>
    <row r="11" spans="1:8" x14ac:dyDescent="0.35">
      <c r="A11" s="749">
        <f>+A10+1</f>
        <v>1</v>
      </c>
      <c r="B11" s="86" t="s">
        <v>629</v>
      </c>
      <c r="C11" s="36" t="s">
        <v>630</v>
      </c>
      <c r="E11" s="704">
        <v>-264.76299999999998</v>
      </c>
      <c r="F11" s="737"/>
      <c r="G11" s="737"/>
      <c r="H11" s="749">
        <f>A11</f>
        <v>1</v>
      </c>
    </row>
    <row r="12" spans="1:8" x14ac:dyDescent="0.35">
      <c r="A12" s="749">
        <f>+A11+1</f>
        <v>2</v>
      </c>
      <c r="C12" s="207"/>
      <c r="E12" s="90"/>
      <c r="F12" s="90"/>
      <c r="G12" s="737"/>
      <c r="H12" s="749">
        <f>+H11+1</f>
        <v>2</v>
      </c>
    </row>
    <row r="13" spans="1:8" x14ac:dyDescent="0.35">
      <c r="A13" s="749">
        <f t="shared" ref="A13:A21" si="0">+A12+1</f>
        <v>3</v>
      </c>
      <c r="B13" s="86" t="s">
        <v>631</v>
      </c>
      <c r="C13" s="207"/>
      <c r="E13" s="90"/>
      <c r="F13" s="90"/>
      <c r="G13" s="737"/>
      <c r="H13" s="749">
        <f t="shared" ref="H13:H21" si="1">+H12+1</f>
        <v>3</v>
      </c>
    </row>
    <row r="14" spans="1:8" x14ac:dyDescent="0.35">
      <c r="A14" s="749">
        <f t="shared" si="0"/>
        <v>4</v>
      </c>
      <c r="B14" s="96" t="s">
        <v>632</v>
      </c>
      <c r="C14" s="36" t="s">
        <v>633</v>
      </c>
      <c r="E14" s="100">
        <f>'Pg 12.2 Rev AR-1'!G17+'Pg 12.2 Rev AR-1'!G33</f>
        <v>1981.5858348702313</v>
      </c>
      <c r="F14" s="90"/>
      <c r="G14" s="749" t="s">
        <v>667</v>
      </c>
      <c r="H14" s="749">
        <f t="shared" si="1"/>
        <v>4</v>
      </c>
    </row>
    <row r="15" spans="1:8" x14ac:dyDescent="0.35">
      <c r="A15" s="749">
        <f t="shared" si="0"/>
        <v>5</v>
      </c>
      <c r="B15" s="96" t="s">
        <v>634</v>
      </c>
      <c r="C15" s="36" t="s">
        <v>635</v>
      </c>
      <c r="E15" s="757">
        <f>'Pg 12.2 Rev AR-1'!G22+'Pg 12.2 Rev AR-1'!G38</f>
        <v>-5118.3425104422577</v>
      </c>
      <c r="F15" s="25" t="s">
        <v>34</v>
      </c>
      <c r="G15" s="749" t="s">
        <v>668</v>
      </c>
      <c r="H15" s="749">
        <f t="shared" si="1"/>
        <v>5</v>
      </c>
    </row>
    <row r="16" spans="1:8" x14ac:dyDescent="0.35">
      <c r="A16" s="749">
        <f t="shared" si="0"/>
        <v>6</v>
      </c>
      <c r="B16" s="96" t="s">
        <v>636</v>
      </c>
      <c r="C16" s="36" t="s">
        <v>637</v>
      </c>
      <c r="E16" s="738">
        <f>'Pg 12.2 Rev AR-1'!G27+'Pg 12.2 Rev AR-1'!G43</f>
        <v>0</v>
      </c>
      <c r="F16" s="90"/>
      <c r="G16" s="749" t="s">
        <v>669</v>
      </c>
      <c r="H16" s="749">
        <f t="shared" si="1"/>
        <v>6</v>
      </c>
    </row>
    <row r="17" spans="1:8" x14ac:dyDescent="0.35">
      <c r="A17" s="749">
        <f t="shared" si="0"/>
        <v>7</v>
      </c>
      <c r="B17" s="96" t="s">
        <v>638</v>
      </c>
      <c r="C17" s="36"/>
      <c r="E17" s="78">
        <f>SUM(E14:E16)</f>
        <v>-3136.7566755720263</v>
      </c>
      <c r="F17" s="25" t="s">
        <v>34</v>
      </c>
      <c r="G17" s="749" t="str">
        <f>"Sum Lines "&amp;A14&amp;" thru "&amp;A16</f>
        <v>Sum Lines 4 thru 6</v>
      </c>
      <c r="H17" s="749">
        <f t="shared" si="1"/>
        <v>7</v>
      </c>
    </row>
    <row r="18" spans="1:8" x14ac:dyDescent="0.35">
      <c r="A18" s="749">
        <f t="shared" si="0"/>
        <v>8</v>
      </c>
      <c r="B18" s="96"/>
      <c r="C18" s="36"/>
      <c r="E18" s="90"/>
      <c r="F18" s="737"/>
      <c r="G18" s="737"/>
      <c r="H18" s="749">
        <f t="shared" si="1"/>
        <v>8</v>
      </c>
    </row>
    <row r="19" spans="1:8" x14ac:dyDescent="0.35">
      <c r="A19" s="749">
        <f t="shared" si="0"/>
        <v>9</v>
      </c>
      <c r="B19" s="86" t="s">
        <v>639</v>
      </c>
      <c r="C19" s="36"/>
      <c r="E19" s="738">
        <v>0</v>
      </c>
      <c r="F19" s="737"/>
      <c r="G19" s="749" t="s">
        <v>245</v>
      </c>
      <c r="H19" s="749">
        <f t="shared" si="1"/>
        <v>9</v>
      </c>
    </row>
    <row r="20" spans="1:8" x14ac:dyDescent="0.35">
      <c r="A20" s="749">
        <f t="shared" si="0"/>
        <v>10</v>
      </c>
      <c r="C20" s="207"/>
      <c r="E20" s="737"/>
      <c r="F20" s="737"/>
      <c r="G20" s="737"/>
      <c r="H20" s="749">
        <f t="shared" si="1"/>
        <v>10</v>
      </c>
    </row>
    <row r="21" spans="1:8" ht="18.5" thickBot="1" x14ac:dyDescent="0.4">
      <c r="A21" s="749">
        <f t="shared" si="0"/>
        <v>11</v>
      </c>
      <c r="B21" s="86" t="s">
        <v>640</v>
      </c>
      <c r="E21" s="758">
        <f>E11+E17+E19</f>
        <v>-3401.5196755720262</v>
      </c>
      <c r="F21" s="25" t="s">
        <v>34</v>
      </c>
      <c r="G21" s="749" t="str">
        <f>"Sum Lines "&amp;A11&amp;", "&amp;A17&amp;", "&amp;A19</f>
        <v>Sum Lines 1, 7, 9</v>
      </c>
      <c r="H21" s="749">
        <f t="shared" si="1"/>
        <v>11</v>
      </c>
    </row>
    <row r="22" spans="1:8" ht="16" thickTop="1" x14ac:dyDescent="0.35">
      <c r="H22" s="749"/>
    </row>
    <row r="23" spans="1:8" x14ac:dyDescent="0.35">
      <c r="H23" s="749"/>
    </row>
    <row r="24" spans="1:8" x14ac:dyDescent="0.35">
      <c r="A24" s="25" t="s">
        <v>34</v>
      </c>
      <c r="B24" s="23" t="s">
        <v>710</v>
      </c>
      <c r="H24" s="749"/>
    </row>
    <row r="25" spans="1:8" x14ac:dyDescent="0.35">
      <c r="A25" s="36"/>
      <c r="B25" s="747" t="s">
        <v>711</v>
      </c>
      <c r="H25" s="749"/>
    </row>
    <row r="26" spans="1:8" ht="18" x14ac:dyDescent="0.35">
      <c r="A26" s="322">
        <v>1</v>
      </c>
      <c r="B26" s="18" t="s">
        <v>670</v>
      </c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Roman,Bold"&amp;9REVISED</oddHeader>
    <oddFooter>&amp;CPage 12&amp;R&amp;F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FBF7-5615-4297-8158-D25FC2D693AD}">
  <sheetPr>
    <pageSetUpPr fitToPage="1"/>
  </sheetPr>
  <dimension ref="A1:H25"/>
  <sheetViews>
    <sheetView zoomScale="80" zoomScaleNormal="80" workbookViewId="0"/>
  </sheetViews>
  <sheetFormatPr defaultColWidth="8.81640625" defaultRowHeight="15.5" x14ac:dyDescent="0.35"/>
  <cols>
    <col min="1" max="1" width="5.1796875" style="700" bestFit="1" customWidth="1"/>
    <col min="2" max="2" width="68.81640625" style="86" customWidth="1"/>
    <col min="3" max="3" width="24" style="86" customWidth="1"/>
    <col min="4" max="4" width="1.54296875" style="86" customWidth="1"/>
    <col min="5" max="5" width="16.81640625" style="86" customWidth="1"/>
    <col min="6" max="6" width="1.54296875" style="86" customWidth="1"/>
    <col min="7" max="7" width="34.54296875" style="86" customWidth="1"/>
    <col min="8" max="8" width="5.1796875" style="86" customWidth="1"/>
    <col min="9" max="9" width="8.81640625" style="86"/>
    <col min="10" max="10" width="20.453125" style="86" bestFit="1" customWidth="1"/>
    <col min="11" max="16384" width="8.81640625" style="86"/>
  </cols>
  <sheetData>
    <row r="1" spans="1:8" x14ac:dyDescent="0.35">
      <c r="A1" s="720" t="s">
        <v>650</v>
      </c>
    </row>
    <row r="2" spans="1:8" x14ac:dyDescent="0.35">
      <c r="E2" s="90"/>
      <c r="F2" s="90"/>
      <c r="G2" s="700"/>
      <c r="H2" s="700"/>
    </row>
    <row r="3" spans="1:8" x14ac:dyDescent="0.35">
      <c r="B3" s="870" t="s">
        <v>20</v>
      </c>
      <c r="C3" s="870"/>
      <c r="D3" s="870"/>
      <c r="E3" s="870"/>
      <c r="F3" s="870"/>
      <c r="G3" s="870"/>
      <c r="H3" s="700"/>
    </row>
    <row r="4" spans="1:8" x14ac:dyDescent="0.35">
      <c r="B4" s="870" t="s">
        <v>627</v>
      </c>
      <c r="C4" s="870"/>
      <c r="D4" s="870"/>
      <c r="E4" s="870"/>
      <c r="F4" s="870"/>
      <c r="G4" s="870"/>
      <c r="H4" s="700"/>
    </row>
    <row r="5" spans="1:8" x14ac:dyDescent="0.35">
      <c r="B5" s="870" t="s">
        <v>628</v>
      </c>
      <c r="C5" s="870"/>
      <c r="D5" s="870"/>
      <c r="E5" s="870"/>
      <c r="F5" s="870"/>
      <c r="G5" s="870"/>
      <c r="H5" s="700"/>
    </row>
    <row r="6" spans="1:8" x14ac:dyDescent="0.35">
      <c r="B6" s="872" t="s">
        <v>73</v>
      </c>
      <c r="C6" s="872"/>
      <c r="D6" s="872"/>
      <c r="E6" s="872"/>
      <c r="F6" s="872"/>
      <c r="G6" s="872"/>
      <c r="H6" s="700"/>
    </row>
    <row r="7" spans="1:8" x14ac:dyDescent="0.35">
      <c r="B7" s="873" t="s">
        <v>4</v>
      </c>
      <c r="C7" s="874"/>
      <c r="D7" s="874"/>
      <c r="E7" s="874"/>
      <c r="F7" s="874"/>
      <c r="G7" s="874"/>
      <c r="H7" s="700"/>
    </row>
    <row r="8" spans="1:8" x14ac:dyDescent="0.35">
      <c r="B8" s="700"/>
      <c r="C8" s="700"/>
      <c r="D8" s="700"/>
      <c r="E8" s="700"/>
      <c r="F8" s="700"/>
      <c r="G8" s="700"/>
      <c r="H8" s="700"/>
    </row>
    <row r="9" spans="1:8" x14ac:dyDescent="0.35">
      <c r="A9" s="700" t="s">
        <v>5</v>
      </c>
      <c r="C9" s="36" t="s">
        <v>199</v>
      </c>
      <c r="E9" s="700"/>
      <c r="F9" s="700"/>
      <c r="G9" s="700"/>
      <c r="H9" s="700" t="s">
        <v>5</v>
      </c>
    </row>
    <row r="10" spans="1:8" x14ac:dyDescent="0.35">
      <c r="A10" s="700" t="s">
        <v>6</v>
      </c>
      <c r="B10" s="86" t="s">
        <v>233</v>
      </c>
      <c r="C10" s="701" t="s">
        <v>200</v>
      </c>
      <c r="E10" s="736" t="s">
        <v>8</v>
      </c>
      <c r="F10" s="737"/>
      <c r="G10" s="736" t="s">
        <v>9</v>
      </c>
      <c r="H10" s="700" t="s">
        <v>6</v>
      </c>
    </row>
    <row r="11" spans="1:8" x14ac:dyDescent="0.35">
      <c r="E11" s="90"/>
      <c r="F11" s="90"/>
      <c r="G11" s="700"/>
      <c r="H11" s="700"/>
    </row>
    <row r="12" spans="1:8" x14ac:dyDescent="0.35">
      <c r="A12" s="700">
        <f>+A11+1</f>
        <v>1</v>
      </c>
      <c r="B12" s="86" t="s">
        <v>629</v>
      </c>
      <c r="C12" s="36" t="s">
        <v>630</v>
      </c>
      <c r="E12" s="704">
        <v>-264.76299999999998</v>
      </c>
      <c r="F12" s="737"/>
      <c r="G12" s="737"/>
      <c r="H12" s="700">
        <f>A12</f>
        <v>1</v>
      </c>
    </row>
    <row r="13" spans="1:8" x14ac:dyDescent="0.35">
      <c r="A13" s="700">
        <f>+A12+1</f>
        <v>2</v>
      </c>
      <c r="C13" s="207"/>
      <c r="E13" s="90"/>
      <c r="F13" s="90"/>
      <c r="G13" s="737"/>
      <c r="H13" s="700">
        <f>+H12+1</f>
        <v>2</v>
      </c>
    </row>
    <row r="14" spans="1:8" x14ac:dyDescent="0.35">
      <c r="A14" s="700">
        <f t="shared" ref="A14:A22" si="0">+A13+1</f>
        <v>3</v>
      </c>
      <c r="B14" s="86" t="s">
        <v>631</v>
      </c>
      <c r="C14" s="207"/>
      <c r="E14" s="90"/>
      <c r="F14" s="90"/>
      <c r="G14" s="737"/>
      <c r="H14" s="700">
        <f t="shared" ref="H14:H22" si="1">+H13+1</f>
        <v>3</v>
      </c>
    </row>
    <row r="15" spans="1:8" x14ac:dyDescent="0.35">
      <c r="A15" s="700">
        <f t="shared" si="0"/>
        <v>4</v>
      </c>
      <c r="B15" s="96" t="s">
        <v>632</v>
      </c>
      <c r="C15" s="36" t="s">
        <v>633</v>
      </c>
      <c r="E15" s="100">
        <f>'Pg12.2A As Filed AR-1'!G18+'Pg12.2A As Filed AR-1'!G34</f>
        <v>1981.5858348702313</v>
      </c>
      <c r="F15" s="90"/>
      <c r="G15" s="700" t="s">
        <v>667</v>
      </c>
      <c r="H15" s="700">
        <f t="shared" si="1"/>
        <v>4</v>
      </c>
    </row>
    <row r="16" spans="1:8" x14ac:dyDescent="0.35">
      <c r="A16" s="700">
        <f t="shared" si="0"/>
        <v>5</v>
      </c>
      <c r="B16" s="96" t="s">
        <v>634</v>
      </c>
      <c r="C16" s="36" t="s">
        <v>635</v>
      </c>
      <c r="E16" s="100">
        <f>'Pg12.2A As Filed AR-1'!G23+'Pg12.2A As Filed AR-1'!G39</f>
        <v>-4490.3875104422577</v>
      </c>
      <c r="F16" s="90"/>
      <c r="G16" s="700" t="s">
        <v>668</v>
      </c>
      <c r="H16" s="700">
        <f t="shared" si="1"/>
        <v>5</v>
      </c>
    </row>
    <row r="17" spans="1:8" x14ac:dyDescent="0.35">
      <c r="A17" s="700">
        <f t="shared" si="0"/>
        <v>6</v>
      </c>
      <c r="B17" s="96" t="s">
        <v>636</v>
      </c>
      <c r="C17" s="36" t="s">
        <v>637</v>
      </c>
      <c r="E17" s="738">
        <f>'Pg12.2A As Filed AR-1'!G28+'Pg12.2A As Filed AR-1'!G44</f>
        <v>0</v>
      </c>
      <c r="F17" s="90"/>
      <c r="G17" s="700" t="s">
        <v>669</v>
      </c>
      <c r="H17" s="700">
        <f t="shared" si="1"/>
        <v>6</v>
      </c>
    </row>
    <row r="18" spans="1:8" x14ac:dyDescent="0.35">
      <c r="A18" s="700">
        <f t="shared" si="0"/>
        <v>7</v>
      </c>
      <c r="B18" s="96" t="s">
        <v>638</v>
      </c>
      <c r="C18" s="36"/>
      <c r="E18" s="34">
        <f>SUM(E15:E17)</f>
        <v>-2508.8016755720264</v>
      </c>
      <c r="F18" s="737"/>
      <c r="G18" s="700" t="str">
        <f>"Sum Lines "&amp;A15&amp;" thru "&amp;A17</f>
        <v>Sum Lines 4 thru 6</v>
      </c>
      <c r="H18" s="700">
        <f t="shared" si="1"/>
        <v>7</v>
      </c>
    </row>
    <row r="19" spans="1:8" x14ac:dyDescent="0.35">
      <c r="A19" s="700">
        <f t="shared" si="0"/>
        <v>8</v>
      </c>
      <c r="B19" s="96"/>
      <c r="C19" s="36"/>
      <c r="E19" s="90"/>
      <c r="F19" s="737"/>
      <c r="G19" s="737"/>
      <c r="H19" s="700">
        <f t="shared" si="1"/>
        <v>8</v>
      </c>
    </row>
    <row r="20" spans="1:8" x14ac:dyDescent="0.35">
      <c r="A20" s="700">
        <f t="shared" si="0"/>
        <v>9</v>
      </c>
      <c r="B20" s="86" t="s">
        <v>639</v>
      </c>
      <c r="C20" s="36"/>
      <c r="E20" s="738">
        <v>0</v>
      </c>
      <c r="F20" s="737"/>
      <c r="G20" s="700" t="s">
        <v>245</v>
      </c>
      <c r="H20" s="700">
        <f t="shared" si="1"/>
        <v>9</v>
      </c>
    </row>
    <row r="21" spans="1:8" x14ac:dyDescent="0.35">
      <c r="A21" s="700">
        <f t="shared" si="0"/>
        <v>10</v>
      </c>
      <c r="C21" s="207"/>
      <c r="E21" s="737"/>
      <c r="F21" s="737"/>
      <c r="G21" s="737"/>
      <c r="H21" s="700">
        <f t="shared" si="1"/>
        <v>10</v>
      </c>
    </row>
    <row r="22" spans="1:8" ht="18.5" thickBot="1" x14ac:dyDescent="0.4">
      <c r="A22" s="700">
        <f t="shared" si="0"/>
        <v>11</v>
      </c>
      <c r="B22" s="86" t="s">
        <v>640</v>
      </c>
      <c r="E22" s="739">
        <f>E12+E18+E20</f>
        <v>-2773.5646755720263</v>
      </c>
      <c r="F22" s="330"/>
      <c r="G22" s="700" t="str">
        <f>"Sum Lines "&amp;A12&amp;", "&amp;A18&amp;", "&amp;A20</f>
        <v>Sum Lines 1, 7, 9</v>
      </c>
      <c r="H22" s="700">
        <f t="shared" si="1"/>
        <v>11</v>
      </c>
    </row>
    <row r="23" spans="1:8" ht="16" thickTop="1" x14ac:dyDescent="0.35">
      <c r="H23" s="700"/>
    </row>
    <row r="24" spans="1:8" x14ac:dyDescent="0.35">
      <c r="H24" s="700"/>
    </row>
    <row r="25" spans="1:8" ht="18" x14ac:dyDescent="0.35">
      <c r="A25" s="322">
        <v>1</v>
      </c>
      <c r="B25" s="18" t="s">
        <v>670</v>
      </c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64" orientation="portrait" r:id="rId1"/>
  <headerFooter scaleWithDoc="0" alignWithMargins="0">
    <oddHeader>&amp;C&amp;"Times New Roman,Bold"&amp;8AS FILED</oddHeader>
    <oddFooter>&amp;CPage 12.1&amp;R&amp;F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4B49-E183-446A-AE9B-BAFD0346C968}">
  <sheetPr>
    <pageSetUpPr fitToPage="1"/>
  </sheetPr>
  <dimension ref="A1:K47"/>
  <sheetViews>
    <sheetView zoomScale="80" zoomScaleNormal="80" workbookViewId="0"/>
  </sheetViews>
  <sheetFormatPr defaultColWidth="8.81640625" defaultRowHeight="15.5" x14ac:dyDescent="0.35"/>
  <cols>
    <col min="1" max="1" width="5.1796875" style="36" customWidth="1"/>
    <col min="2" max="2" width="50.81640625" style="37" customWidth="1"/>
    <col min="3" max="3" width="16.81640625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23.453125" style="37" bestFit="1" customWidth="1"/>
    <col min="8" max="8" width="2.1796875" style="37" bestFit="1" customWidth="1"/>
    <col min="9" max="9" width="61" style="37" customWidth="1"/>
    <col min="10" max="10" width="5.1796875" style="36" customWidth="1"/>
    <col min="11" max="16384" width="8.81640625" style="37"/>
  </cols>
  <sheetData>
    <row r="1" spans="1:10" x14ac:dyDescent="0.35">
      <c r="A1" s="720"/>
    </row>
    <row r="2" spans="1:10" x14ac:dyDescent="0.35">
      <c r="B2" s="863" t="s">
        <v>20</v>
      </c>
      <c r="C2" s="863"/>
      <c r="D2" s="863"/>
      <c r="E2" s="863"/>
      <c r="F2" s="863"/>
      <c r="G2" s="863"/>
      <c r="H2" s="863"/>
      <c r="I2" s="863"/>
    </row>
    <row r="3" spans="1:10" x14ac:dyDescent="0.35">
      <c r="B3" s="863" t="s">
        <v>641</v>
      </c>
      <c r="C3" s="863"/>
      <c r="D3" s="863"/>
      <c r="E3" s="863"/>
      <c r="F3" s="863"/>
      <c r="G3" s="863"/>
      <c r="H3" s="863"/>
      <c r="I3" s="863"/>
    </row>
    <row r="4" spans="1:10" x14ac:dyDescent="0.35">
      <c r="B4" s="863" t="s">
        <v>642</v>
      </c>
      <c r="C4" s="863"/>
      <c r="D4" s="863"/>
      <c r="E4" s="863"/>
      <c r="F4" s="863"/>
      <c r="G4" s="863"/>
      <c r="H4" s="863"/>
      <c r="I4" s="863"/>
    </row>
    <row r="5" spans="1:10" x14ac:dyDescent="0.35">
      <c r="B5" s="863" t="s">
        <v>664</v>
      </c>
      <c r="C5" s="863"/>
      <c r="D5" s="863"/>
      <c r="E5" s="863"/>
      <c r="F5" s="863"/>
      <c r="G5" s="863"/>
      <c r="H5" s="863"/>
      <c r="I5" s="863"/>
    </row>
    <row r="6" spans="1:10" ht="15.75" customHeight="1" x14ac:dyDescent="0.35">
      <c r="B6" s="865" t="s">
        <v>4</v>
      </c>
      <c r="C6" s="865"/>
      <c r="D6" s="865"/>
      <c r="E6" s="865"/>
      <c r="F6" s="865"/>
      <c r="G6" s="865"/>
      <c r="H6" s="865"/>
      <c r="I6" s="865"/>
    </row>
    <row r="8" spans="1:10" x14ac:dyDescent="0.35">
      <c r="B8" s="747"/>
      <c r="C8" s="746" t="s">
        <v>293</v>
      </c>
      <c r="D8" s="746"/>
      <c r="E8" s="746" t="s">
        <v>294</v>
      </c>
      <c r="F8" s="746"/>
      <c r="G8" s="746" t="s">
        <v>643</v>
      </c>
      <c r="H8" s="746"/>
      <c r="I8" s="746"/>
    </row>
    <row r="9" spans="1:10" x14ac:dyDescent="0.35">
      <c r="A9" s="36" t="s">
        <v>5</v>
      </c>
      <c r="B9" s="747"/>
      <c r="C9" s="746" t="s">
        <v>609</v>
      </c>
      <c r="D9" s="746"/>
      <c r="E9" s="746" t="s">
        <v>609</v>
      </c>
      <c r="F9" s="746"/>
      <c r="G9" s="746"/>
      <c r="H9" s="746"/>
      <c r="I9" s="746"/>
      <c r="J9" s="36" t="s">
        <v>5</v>
      </c>
    </row>
    <row r="10" spans="1:10" x14ac:dyDescent="0.35">
      <c r="A10" s="36" t="s">
        <v>6</v>
      </c>
      <c r="B10" s="721" t="s">
        <v>7</v>
      </c>
      <c r="C10" s="722" t="s">
        <v>611</v>
      </c>
      <c r="D10" s="722"/>
      <c r="E10" s="722" t="s">
        <v>612</v>
      </c>
      <c r="F10" s="722"/>
      <c r="G10" s="721" t="s">
        <v>299</v>
      </c>
      <c r="H10" s="721"/>
      <c r="I10" s="721" t="s">
        <v>9</v>
      </c>
      <c r="J10" s="36" t="s">
        <v>6</v>
      </c>
    </row>
    <row r="11" spans="1:10" x14ac:dyDescent="0.35">
      <c r="B11" s="747"/>
      <c r="C11" s="723"/>
      <c r="D11" s="723"/>
      <c r="E11" s="723"/>
      <c r="F11" s="723"/>
      <c r="G11" s="48"/>
      <c r="H11" s="48"/>
      <c r="I11" s="48"/>
    </row>
    <row r="12" spans="1:10" x14ac:dyDescent="0.35">
      <c r="A12" s="36">
        <v>1</v>
      </c>
      <c r="B12" s="43" t="s">
        <v>613</v>
      </c>
      <c r="C12" s="724"/>
      <c r="D12" s="724"/>
      <c r="E12" s="724"/>
      <c r="F12" s="724"/>
      <c r="G12" s="48"/>
      <c r="H12" s="48"/>
      <c r="I12" s="48"/>
      <c r="J12" s="36">
        <f>A12</f>
        <v>1</v>
      </c>
    </row>
    <row r="13" spans="1:10" x14ac:dyDescent="0.35">
      <c r="A13" s="36">
        <f>A12+1</f>
        <v>2</v>
      </c>
      <c r="B13" s="43" t="s">
        <v>614</v>
      </c>
      <c r="C13" s="60">
        <v>0</v>
      </c>
      <c r="D13" s="60"/>
      <c r="E13" s="60">
        <v>0</v>
      </c>
      <c r="F13" s="725"/>
      <c r="G13" s="705">
        <f>SUM(C13:E13)</f>
        <v>0</v>
      </c>
      <c r="H13" s="705"/>
      <c r="I13" s="8" t="s">
        <v>644</v>
      </c>
      <c r="J13" s="36">
        <f>J12+1</f>
        <v>2</v>
      </c>
    </row>
    <row r="14" spans="1:10" x14ac:dyDescent="0.35">
      <c r="A14" s="36">
        <f t="shared" ref="A14:A43" si="0">A13+1</f>
        <v>3</v>
      </c>
      <c r="B14" s="43" t="s">
        <v>615</v>
      </c>
      <c r="C14" s="116">
        <v>0</v>
      </c>
      <c r="D14" s="116"/>
      <c r="E14" s="116">
        <v>374.29460583790154</v>
      </c>
      <c r="F14" s="116"/>
      <c r="G14" s="35">
        <f>SUM(C14:E14)</f>
        <v>374.29460583790154</v>
      </c>
      <c r="H14" s="35"/>
      <c r="I14" s="8" t="s">
        <v>644</v>
      </c>
      <c r="J14" s="36">
        <f t="shared" ref="J14:J43" si="1">J13+1</f>
        <v>3</v>
      </c>
    </row>
    <row r="15" spans="1:10" x14ac:dyDescent="0.35">
      <c r="A15" s="36">
        <f t="shared" si="0"/>
        <v>4</v>
      </c>
      <c r="B15" s="43" t="s">
        <v>709</v>
      </c>
      <c r="C15" s="116">
        <v>1528.5180985906402</v>
      </c>
      <c r="D15" s="116"/>
      <c r="E15" s="116">
        <v>0</v>
      </c>
      <c r="F15" s="116"/>
      <c r="G15" s="35">
        <f>SUM(C15:E15)</f>
        <v>1528.5180985906402</v>
      </c>
      <c r="H15" s="35"/>
      <c r="I15" s="8" t="s">
        <v>644</v>
      </c>
      <c r="J15" s="36">
        <f t="shared" si="1"/>
        <v>4</v>
      </c>
    </row>
    <row r="16" spans="1:10" x14ac:dyDescent="0.35">
      <c r="A16" s="36">
        <f t="shared" si="0"/>
        <v>5</v>
      </c>
      <c r="C16" s="35"/>
      <c r="D16" s="35"/>
      <c r="E16" s="35"/>
      <c r="F16" s="35"/>
      <c r="G16" s="35"/>
      <c r="H16" s="35"/>
      <c r="I16" s="35"/>
      <c r="J16" s="36">
        <f t="shared" si="1"/>
        <v>5</v>
      </c>
    </row>
    <row r="17" spans="1:11" ht="16" thickBot="1" x14ac:dyDescent="0.4">
      <c r="A17" s="36">
        <f t="shared" si="0"/>
        <v>6</v>
      </c>
      <c r="B17" s="53" t="s">
        <v>617</v>
      </c>
      <c r="C17" s="62">
        <f>SUM(C13:C16)</f>
        <v>1528.5180985906402</v>
      </c>
      <c r="D17" s="95"/>
      <c r="E17" s="62">
        <f>SUM(E13:E16)</f>
        <v>374.29460583790154</v>
      </c>
      <c r="F17" s="35"/>
      <c r="G17" s="62">
        <f>SUM(G13:G16)</f>
        <v>1902.8127044285418</v>
      </c>
      <c r="H17" s="95"/>
      <c r="I17" s="579" t="str">
        <f>"Sum Lines "&amp;A13&amp;" thru "&amp;A16</f>
        <v>Sum Lines 2 thru 5</v>
      </c>
      <c r="J17" s="36">
        <f t="shared" si="1"/>
        <v>6</v>
      </c>
    </row>
    <row r="18" spans="1:11" ht="16" thickTop="1" x14ac:dyDescent="0.35">
      <c r="A18" s="36">
        <f t="shared" si="0"/>
        <v>7</v>
      </c>
      <c r="C18" s="727"/>
      <c r="D18" s="727"/>
      <c r="E18" s="727"/>
      <c r="F18" s="727"/>
      <c r="G18" s="727"/>
      <c r="H18" s="727"/>
      <c r="I18" s="727"/>
      <c r="J18" s="36">
        <f t="shared" si="1"/>
        <v>7</v>
      </c>
    </row>
    <row r="19" spans="1:11" x14ac:dyDescent="0.35">
      <c r="A19" s="36">
        <f t="shared" si="0"/>
        <v>8</v>
      </c>
      <c r="B19" s="43" t="s">
        <v>618</v>
      </c>
      <c r="C19" s="724"/>
      <c r="D19" s="724"/>
      <c r="E19" s="724"/>
      <c r="F19" s="724"/>
      <c r="G19" s="48"/>
      <c r="H19" s="48"/>
      <c r="I19" s="48"/>
      <c r="J19" s="36">
        <f t="shared" si="1"/>
        <v>8</v>
      </c>
      <c r="K19" s="50"/>
    </row>
    <row r="20" spans="1:11" x14ac:dyDescent="0.35">
      <c r="A20" s="36">
        <f t="shared" si="0"/>
        <v>9</v>
      </c>
      <c r="B20" s="728" t="s">
        <v>619</v>
      </c>
      <c r="C20" s="751">
        <v>-3306.5344712430701</v>
      </c>
      <c r="D20" s="25" t="s">
        <v>34</v>
      </c>
      <c r="E20" s="705">
        <v>-1630.981692260412</v>
      </c>
      <c r="F20" s="705"/>
      <c r="G20" s="751">
        <f>SUM(C20:E20)</f>
        <v>-4937.5161635034819</v>
      </c>
      <c r="H20" s="25" t="s">
        <v>34</v>
      </c>
      <c r="I20" s="645" t="s">
        <v>645</v>
      </c>
      <c r="J20" s="36">
        <f t="shared" si="1"/>
        <v>9</v>
      </c>
    </row>
    <row r="21" spans="1:11" x14ac:dyDescent="0.35">
      <c r="A21" s="36">
        <f t="shared" si="0"/>
        <v>10</v>
      </c>
      <c r="C21" s="35"/>
      <c r="D21" s="35"/>
      <c r="E21" s="35"/>
      <c r="F21" s="35"/>
      <c r="G21" s="35"/>
      <c r="H21" s="35"/>
      <c r="I21" s="35"/>
      <c r="J21" s="36">
        <f t="shared" si="1"/>
        <v>10</v>
      </c>
    </row>
    <row r="22" spans="1:11" ht="16" thickBot="1" x14ac:dyDescent="0.4">
      <c r="A22" s="36">
        <f t="shared" si="0"/>
        <v>11</v>
      </c>
      <c r="B22" s="53" t="s">
        <v>620</v>
      </c>
      <c r="C22" s="726">
        <f>SUM(C20:C21)</f>
        <v>-3306.5344712430701</v>
      </c>
      <c r="D22" s="25" t="s">
        <v>34</v>
      </c>
      <c r="E22" s="62">
        <f>SUM(E20:E21)</f>
        <v>-1630.981692260412</v>
      </c>
      <c r="F22" s="35"/>
      <c r="G22" s="726">
        <f>SUM(G20:G21)</f>
        <v>-4937.5161635034819</v>
      </c>
      <c r="H22" s="25" t="s">
        <v>34</v>
      </c>
      <c r="I22" s="579" t="str">
        <f>"Sum Lines "&amp;A20&amp;" thru "&amp;A21</f>
        <v>Sum Lines 9 thru 10</v>
      </c>
      <c r="J22" s="36">
        <f t="shared" si="1"/>
        <v>11</v>
      </c>
      <c r="K22" s="50"/>
    </row>
    <row r="23" spans="1:11" ht="16" thickTop="1" x14ac:dyDescent="0.35">
      <c r="A23" s="36">
        <f t="shared" si="0"/>
        <v>12</v>
      </c>
      <c r="J23" s="36">
        <f t="shared" si="1"/>
        <v>12</v>
      </c>
    </row>
    <row r="24" spans="1:11" x14ac:dyDescent="0.35">
      <c r="A24" s="36">
        <f t="shared" si="0"/>
        <v>13</v>
      </c>
      <c r="B24" s="43" t="s">
        <v>621</v>
      </c>
      <c r="C24" s="724"/>
      <c r="D24" s="724"/>
      <c r="E24" s="724"/>
      <c r="F24" s="724"/>
      <c r="G24" s="48"/>
      <c r="H24" s="48"/>
      <c r="I24" s="36"/>
      <c r="J24" s="36">
        <f t="shared" si="1"/>
        <v>13</v>
      </c>
    </row>
    <row r="25" spans="1:11" x14ac:dyDescent="0.35">
      <c r="A25" s="36">
        <f t="shared" si="0"/>
        <v>14</v>
      </c>
      <c r="B25" s="43" t="s">
        <v>622</v>
      </c>
      <c r="C25" s="60">
        <v>0</v>
      </c>
      <c r="D25" s="60"/>
      <c r="E25" s="60">
        <v>0</v>
      </c>
      <c r="F25" s="725"/>
      <c r="G25" s="705">
        <f>SUM(C25:E25)</f>
        <v>0</v>
      </c>
      <c r="H25" s="705"/>
      <c r="I25" s="8" t="s">
        <v>245</v>
      </c>
      <c r="J25" s="36">
        <f t="shared" si="1"/>
        <v>14</v>
      </c>
    </row>
    <row r="26" spans="1:11" x14ac:dyDescent="0.35">
      <c r="A26" s="36">
        <f t="shared" si="0"/>
        <v>15</v>
      </c>
      <c r="B26" s="43"/>
      <c r="C26" s="35"/>
      <c r="D26" s="35"/>
      <c r="E26" s="35"/>
      <c r="F26" s="35"/>
      <c r="G26" s="35"/>
      <c r="H26" s="35"/>
      <c r="I26" s="35"/>
      <c r="J26" s="36">
        <f t="shared" si="1"/>
        <v>15</v>
      </c>
    </row>
    <row r="27" spans="1:11" ht="16" thickBot="1" x14ac:dyDescent="0.4">
      <c r="A27" s="36">
        <f t="shared" si="0"/>
        <v>16</v>
      </c>
      <c r="B27" s="53" t="s">
        <v>623</v>
      </c>
      <c r="C27" s="726">
        <f>SUM(C25:C26)</f>
        <v>0</v>
      </c>
      <c r="D27" s="592"/>
      <c r="E27" s="726">
        <f>SUM(E25:E26)</f>
        <v>0</v>
      </c>
      <c r="F27" s="35"/>
      <c r="G27" s="726">
        <f>SUM(G25:G26)</f>
        <v>0</v>
      </c>
      <c r="H27" s="592"/>
      <c r="I27" s="579" t="str">
        <f>"Sum Lines "&amp;A25&amp;" thru "&amp;A26</f>
        <v>Sum Lines 14 thru 15</v>
      </c>
      <c r="J27" s="36">
        <f t="shared" si="1"/>
        <v>16</v>
      </c>
    </row>
    <row r="28" spans="1:11" ht="16.5" thickTop="1" thickBot="1" x14ac:dyDescent="0.4">
      <c r="A28" s="36">
        <f t="shared" si="0"/>
        <v>17</v>
      </c>
      <c r="B28" s="83"/>
      <c r="C28" s="83"/>
      <c r="D28" s="83"/>
      <c r="E28" s="83"/>
      <c r="F28" s="83"/>
      <c r="G28" s="83"/>
      <c r="H28" s="83"/>
      <c r="I28" s="83"/>
      <c r="J28" s="36">
        <f t="shared" si="1"/>
        <v>17</v>
      </c>
    </row>
    <row r="29" spans="1:11" x14ac:dyDescent="0.35">
      <c r="A29" s="36">
        <f t="shared" si="0"/>
        <v>18</v>
      </c>
      <c r="J29" s="36">
        <f t="shared" si="1"/>
        <v>18</v>
      </c>
    </row>
    <row r="30" spans="1:11" x14ac:dyDescent="0.35">
      <c r="A30" s="36">
        <f t="shared" si="0"/>
        <v>19</v>
      </c>
      <c r="B30" s="43" t="s">
        <v>646</v>
      </c>
      <c r="C30" s="740"/>
      <c r="E30" s="740"/>
      <c r="G30" s="740"/>
      <c r="H30" s="740"/>
      <c r="J30" s="36">
        <f t="shared" si="1"/>
        <v>19</v>
      </c>
    </row>
    <row r="31" spans="1:11" x14ac:dyDescent="0.35">
      <c r="A31" s="36">
        <f t="shared" si="0"/>
        <v>20</v>
      </c>
      <c r="B31" s="43" t="s">
        <v>709</v>
      </c>
      <c r="C31" s="705">
        <v>78.773130441689574</v>
      </c>
      <c r="E31" s="740">
        <v>0</v>
      </c>
      <c r="G31" s="705">
        <f>SUM(C31:E31)</f>
        <v>78.773130441689574</v>
      </c>
      <c r="H31" s="705"/>
      <c r="I31" s="645" t="s">
        <v>647</v>
      </c>
      <c r="J31" s="36">
        <f t="shared" si="1"/>
        <v>20</v>
      </c>
    </row>
    <row r="32" spans="1:11" x14ac:dyDescent="0.35">
      <c r="A32" s="36">
        <f t="shared" si="0"/>
        <v>21</v>
      </c>
      <c r="C32" s="559"/>
      <c r="D32" s="559"/>
      <c r="E32" s="559"/>
      <c r="G32" s="559"/>
      <c r="H32" s="559"/>
      <c r="J32" s="36">
        <f t="shared" si="1"/>
        <v>21</v>
      </c>
    </row>
    <row r="33" spans="1:10" ht="16" thickBot="1" x14ac:dyDescent="0.4">
      <c r="A33" s="36">
        <f t="shared" si="0"/>
        <v>22</v>
      </c>
      <c r="B33" s="53" t="s">
        <v>617</v>
      </c>
      <c r="C33" s="118">
        <f>SUM(C30:C32)</f>
        <v>78.773130441689574</v>
      </c>
      <c r="E33" s="756">
        <f>SUM(E30:E32)</f>
        <v>0</v>
      </c>
      <c r="G33" s="118">
        <f>SUM(G30:G32)</f>
        <v>78.773130441689574</v>
      </c>
      <c r="H33" s="754"/>
      <c r="I33" s="36" t="str">
        <f>"Sum Lines "&amp;A31&amp;" thru "&amp;A32</f>
        <v>Sum Lines 20 thru 21</v>
      </c>
      <c r="J33" s="36">
        <f t="shared" si="1"/>
        <v>22</v>
      </c>
    </row>
    <row r="34" spans="1:10" ht="16" thickTop="1" x14ac:dyDescent="0.35">
      <c r="A34" s="36">
        <f t="shared" si="0"/>
        <v>23</v>
      </c>
      <c r="J34" s="36">
        <f t="shared" si="1"/>
        <v>23</v>
      </c>
    </row>
    <row r="35" spans="1:10" x14ac:dyDescent="0.35">
      <c r="A35" s="36">
        <f t="shared" si="0"/>
        <v>24</v>
      </c>
      <c r="B35" s="43" t="s">
        <v>648</v>
      </c>
      <c r="J35" s="36">
        <f t="shared" si="1"/>
        <v>24</v>
      </c>
    </row>
    <row r="36" spans="1:10" x14ac:dyDescent="0.35">
      <c r="A36" s="36">
        <f t="shared" si="0"/>
        <v>25</v>
      </c>
      <c r="B36" s="728" t="s">
        <v>619</v>
      </c>
      <c r="C36" s="705">
        <v>-180.82634693877586</v>
      </c>
      <c r="E36" s="740">
        <v>0</v>
      </c>
      <c r="G36" s="705">
        <f>SUM(C36:E36)</f>
        <v>-180.82634693877586</v>
      </c>
      <c r="H36" s="705"/>
      <c r="I36" s="645" t="s">
        <v>645</v>
      </c>
      <c r="J36" s="36">
        <f t="shared" si="1"/>
        <v>25</v>
      </c>
    </row>
    <row r="37" spans="1:10" x14ac:dyDescent="0.35">
      <c r="A37" s="36">
        <f t="shared" si="0"/>
        <v>26</v>
      </c>
      <c r="C37" s="559"/>
      <c r="E37" s="559"/>
      <c r="G37" s="50"/>
      <c r="H37" s="50"/>
      <c r="J37" s="36">
        <f t="shared" si="1"/>
        <v>26</v>
      </c>
    </row>
    <row r="38" spans="1:10" ht="16" thickBot="1" x14ac:dyDescent="0.4">
      <c r="A38" s="36">
        <f t="shared" si="0"/>
        <v>27</v>
      </c>
      <c r="B38" s="53" t="s">
        <v>620</v>
      </c>
      <c r="C38" s="118">
        <f>SUM(C36:C37)</f>
        <v>-180.82634693877586</v>
      </c>
      <c r="E38" s="756">
        <f>SUM(E36:E37)</f>
        <v>0</v>
      </c>
      <c r="G38" s="118">
        <f>SUM(G36:G37)</f>
        <v>-180.82634693877586</v>
      </c>
      <c r="H38" s="754"/>
      <c r="I38" s="36" t="str">
        <f>"Sum Lines "&amp;A36&amp;" thru "&amp;A37</f>
        <v>Sum Lines 25 thru 26</v>
      </c>
      <c r="J38" s="36">
        <f t="shared" si="1"/>
        <v>27</v>
      </c>
    </row>
    <row r="39" spans="1:10" ht="16" thickTop="1" x14ac:dyDescent="0.35">
      <c r="A39" s="36">
        <f t="shared" si="0"/>
        <v>28</v>
      </c>
      <c r="J39" s="36">
        <f t="shared" si="1"/>
        <v>28</v>
      </c>
    </row>
    <row r="40" spans="1:10" x14ac:dyDescent="0.35">
      <c r="A40" s="36">
        <f t="shared" si="0"/>
        <v>29</v>
      </c>
      <c r="B40" s="43" t="s">
        <v>649</v>
      </c>
      <c r="J40" s="36">
        <f t="shared" si="1"/>
        <v>29</v>
      </c>
    </row>
    <row r="41" spans="1:10" x14ac:dyDescent="0.35">
      <c r="A41" s="36">
        <f t="shared" si="0"/>
        <v>30</v>
      </c>
      <c r="B41" s="43"/>
      <c r="C41" s="740">
        <v>0</v>
      </c>
      <c r="E41" s="740">
        <v>0</v>
      </c>
      <c r="G41" s="740">
        <f>SUM(C41:E41)</f>
        <v>0</v>
      </c>
      <c r="H41" s="740"/>
      <c r="I41" s="645" t="s">
        <v>245</v>
      </c>
      <c r="J41" s="36">
        <f t="shared" si="1"/>
        <v>30</v>
      </c>
    </row>
    <row r="42" spans="1:10" x14ac:dyDescent="0.35">
      <c r="A42" s="36">
        <f t="shared" si="0"/>
        <v>31</v>
      </c>
      <c r="C42" s="559"/>
      <c r="E42" s="559"/>
      <c r="G42" s="668"/>
      <c r="H42" s="668"/>
      <c r="J42" s="36">
        <f t="shared" si="1"/>
        <v>31</v>
      </c>
    </row>
    <row r="43" spans="1:10" ht="16" thickBot="1" x14ac:dyDescent="0.4">
      <c r="A43" s="36">
        <f t="shared" si="0"/>
        <v>32</v>
      </c>
      <c r="B43" s="53" t="s">
        <v>623</v>
      </c>
      <c r="C43" s="756">
        <f>SUM(C41:C42)</f>
        <v>0</v>
      </c>
      <c r="E43" s="756">
        <f>SUM(E41:E42)</f>
        <v>0</v>
      </c>
      <c r="G43" s="756">
        <f>SUM(G41:G42)</f>
        <v>0</v>
      </c>
      <c r="H43" s="755"/>
      <c r="I43" s="36" t="str">
        <f>"Sum Lines "&amp;A41&amp;" thru "&amp;A42</f>
        <v>Sum Lines 30 thru 31</v>
      </c>
      <c r="J43" s="36">
        <f t="shared" si="1"/>
        <v>32</v>
      </c>
    </row>
    <row r="44" spans="1:10" ht="16" thickTop="1" x14ac:dyDescent="0.35"/>
    <row r="46" spans="1:10" x14ac:dyDescent="0.35">
      <c r="A46" s="25" t="s">
        <v>34</v>
      </c>
      <c r="B46" s="23" t="s">
        <v>710</v>
      </c>
    </row>
    <row r="47" spans="1:10" x14ac:dyDescent="0.35">
      <c r="B47" s="747" t="s">
        <v>711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72" orientation="landscape" r:id="rId1"/>
  <headerFooter scaleWithDoc="0" alignWithMargins="0">
    <oddHeader>&amp;C&amp;"Times New Roman,Bold"&amp;9REVISED</oddHeader>
    <oddFooter>&amp;CPage 12.2&amp;R&amp;F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2D8C-A011-41B4-A5C0-F35ED7356C5E}">
  <sheetPr>
    <pageSetUpPr fitToPage="1"/>
  </sheetPr>
  <dimension ref="A1:J48"/>
  <sheetViews>
    <sheetView zoomScale="80" zoomScaleNormal="80" workbookViewId="0"/>
  </sheetViews>
  <sheetFormatPr defaultColWidth="8.81640625" defaultRowHeight="15.5" x14ac:dyDescent="0.35"/>
  <cols>
    <col min="1" max="1" width="5.1796875" style="36" customWidth="1"/>
    <col min="2" max="2" width="50.81640625" style="37" customWidth="1"/>
    <col min="3" max="3" width="16.81640625" style="37" customWidth="1"/>
    <col min="4" max="4" width="1.54296875" style="37" customWidth="1"/>
    <col min="5" max="5" width="16.81640625" style="37" customWidth="1"/>
    <col min="6" max="6" width="1.54296875" style="37" customWidth="1"/>
    <col min="7" max="7" width="23.453125" style="37" bestFit="1" customWidth="1"/>
    <col min="8" max="8" width="62.54296875" style="37" customWidth="1"/>
    <col min="9" max="9" width="5.1796875" style="36" customWidth="1"/>
    <col min="10" max="16384" width="8.81640625" style="37"/>
  </cols>
  <sheetData>
    <row r="1" spans="1:9" x14ac:dyDescent="0.35">
      <c r="A1" s="720" t="s">
        <v>650</v>
      </c>
    </row>
    <row r="2" spans="1:9" x14ac:dyDescent="0.35">
      <c r="A2" s="720"/>
    </row>
    <row r="3" spans="1:9" x14ac:dyDescent="0.35">
      <c r="B3" s="863" t="s">
        <v>20</v>
      </c>
      <c r="C3" s="863"/>
      <c r="D3" s="863"/>
      <c r="E3" s="863"/>
      <c r="F3" s="863"/>
      <c r="G3" s="863"/>
      <c r="H3" s="863"/>
    </row>
    <row r="4" spans="1:9" x14ac:dyDescent="0.35">
      <c r="B4" s="863" t="s">
        <v>641</v>
      </c>
      <c r="C4" s="863"/>
      <c r="D4" s="863"/>
      <c r="E4" s="863"/>
      <c r="F4" s="863"/>
      <c r="G4" s="863"/>
      <c r="H4" s="863"/>
    </row>
    <row r="5" spans="1:9" x14ac:dyDescent="0.35">
      <c r="B5" s="863" t="s">
        <v>642</v>
      </c>
      <c r="C5" s="863"/>
      <c r="D5" s="863"/>
      <c r="E5" s="863"/>
      <c r="F5" s="863"/>
      <c r="G5" s="863"/>
      <c r="H5" s="863"/>
    </row>
    <row r="6" spans="1:9" x14ac:dyDescent="0.35">
      <c r="B6" s="863" t="s">
        <v>664</v>
      </c>
      <c r="C6" s="863"/>
      <c r="D6" s="863"/>
      <c r="E6" s="863"/>
      <c r="F6" s="863"/>
      <c r="G6" s="863"/>
      <c r="H6" s="863"/>
    </row>
    <row r="7" spans="1:9" ht="15.75" customHeight="1" x14ac:dyDescent="0.35">
      <c r="B7" s="865" t="s">
        <v>4</v>
      </c>
      <c r="C7" s="865"/>
      <c r="D7" s="865"/>
      <c r="E7" s="865"/>
      <c r="F7" s="865"/>
      <c r="G7" s="865"/>
      <c r="H7" s="865"/>
    </row>
    <row r="9" spans="1:9" x14ac:dyDescent="0.35">
      <c r="B9" s="698"/>
      <c r="C9" s="697" t="s">
        <v>293</v>
      </c>
      <c r="D9" s="697"/>
      <c r="E9" s="697" t="s">
        <v>294</v>
      </c>
      <c r="F9" s="697"/>
      <c r="G9" s="697" t="s">
        <v>643</v>
      </c>
      <c r="H9" s="697"/>
    </row>
    <row r="10" spans="1:9" x14ac:dyDescent="0.35">
      <c r="A10" s="36" t="s">
        <v>5</v>
      </c>
      <c r="B10" s="698"/>
      <c r="C10" s="697" t="s">
        <v>609</v>
      </c>
      <c r="D10" s="697"/>
      <c r="E10" s="697" t="s">
        <v>609</v>
      </c>
      <c r="F10" s="697"/>
      <c r="G10" s="697"/>
      <c r="H10" s="697"/>
      <c r="I10" s="36" t="s">
        <v>5</v>
      </c>
    </row>
    <row r="11" spans="1:9" x14ac:dyDescent="0.35">
      <c r="A11" s="36" t="s">
        <v>6</v>
      </c>
      <c r="B11" s="721" t="s">
        <v>7</v>
      </c>
      <c r="C11" s="722" t="s">
        <v>611</v>
      </c>
      <c r="D11" s="722"/>
      <c r="E11" s="722" t="s">
        <v>612</v>
      </c>
      <c r="F11" s="722"/>
      <c r="G11" s="721" t="s">
        <v>299</v>
      </c>
      <c r="H11" s="721" t="s">
        <v>9</v>
      </c>
      <c r="I11" s="36" t="s">
        <v>6</v>
      </c>
    </row>
    <row r="12" spans="1:9" x14ac:dyDescent="0.35">
      <c r="B12" s="698"/>
      <c r="C12" s="723"/>
      <c r="D12" s="723"/>
      <c r="E12" s="723"/>
      <c r="F12" s="723"/>
      <c r="G12" s="48"/>
      <c r="H12" s="48"/>
    </row>
    <row r="13" spans="1:9" x14ac:dyDescent="0.35">
      <c r="A13" s="36">
        <v>1</v>
      </c>
      <c r="B13" s="43" t="s">
        <v>613</v>
      </c>
      <c r="C13" s="724"/>
      <c r="D13" s="724"/>
      <c r="E13" s="724"/>
      <c r="F13" s="724"/>
      <c r="G13" s="48"/>
      <c r="H13" s="48"/>
      <c r="I13" s="36">
        <f>A13</f>
        <v>1</v>
      </c>
    </row>
    <row r="14" spans="1:9" x14ac:dyDescent="0.35">
      <c r="A14" s="36">
        <f>A13+1</f>
        <v>2</v>
      </c>
      <c r="B14" s="43" t="s">
        <v>614</v>
      </c>
      <c r="C14" s="60">
        <v>0</v>
      </c>
      <c r="D14" s="60"/>
      <c r="E14" s="60">
        <v>0</v>
      </c>
      <c r="F14" s="725"/>
      <c r="G14" s="705">
        <f>SUM(C14:E14)</f>
        <v>0</v>
      </c>
      <c r="H14" s="8" t="s">
        <v>644</v>
      </c>
      <c r="I14" s="36">
        <f>I13+1</f>
        <v>2</v>
      </c>
    </row>
    <row r="15" spans="1:9" x14ac:dyDescent="0.35">
      <c r="A15" s="36">
        <f t="shared" ref="A15:A44" si="0">A14+1</f>
        <v>3</v>
      </c>
      <c r="B15" s="43" t="s">
        <v>615</v>
      </c>
      <c r="C15" s="116">
        <v>0</v>
      </c>
      <c r="D15" s="116"/>
      <c r="E15" s="116">
        <v>374.29460583790154</v>
      </c>
      <c r="F15" s="116"/>
      <c r="G15" s="35">
        <f>SUM(C15:E15)</f>
        <v>374.29460583790154</v>
      </c>
      <c r="H15" s="8" t="s">
        <v>644</v>
      </c>
      <c r="I15" s="36">
        <f t="shared" ref="I15:I44" si="1">I14+1</f>
        <v>3</v>
      </c>
    </row>
    <row r="16" spans="1:9" x14ac:dyDescent="0.35">
      <c r="A16" s="36">
        <f t="shared" si="0"/>
        <v>4</v>
      </c>
      <c r="B16" s="43" t="s">
        <v>709</v>
      </c>
      <c r="C16" s="116">
        <v>1528.5180985906402</v>
      </c>
      <c r="D16" s="116"/>
      <c r="E16" s="116">
        <v>0</v>
      </c>
      <c r="F16" s="116"/>
      <c r="G16" s="35">
        <f>SUM(C16:E16)</f>
        <v>1528.5180985906402</v>
      </c>
      <c r="H16" s="8" t="s">
        <v>644</v>
      </c>
      <c r="I16" s="36">
        <f t="shared" si="1"/>
        <v>4</v>
      </c>
    </row>
    <row r="17" spans="1:10" x14ac:dyDescent="0.35">
      <c r="A17" s="36">
        <f t="shared" si="0"/>
        <v>5</v>
      </c>
      <c r="C17" s="35"/>
      <c r="D17" s="35"/>
      <c r="E17" s="35"/>
      <c r="F17" s="35"/>
      <c r="G17" s="35"/>
      <c r="H17" s="35"/>
      <c r="I17" s="36">
        <f t="shared" si="1"/>
        <v>5</v>
      </c>
    </row>
    <row r="18" spans="1:10" ht="16" thickBot="1" x14ac:dyDescent="0.4">
      <c r="A18" s="36">
        <f t="shared" si="0"/>
        <v>6</v>
      </c>
      <c r="B18" s="53" t="s">
        <v>617</v>
      </c>
      <c r="C18" s="726">
        <f>SUM(C14:C17)</f>
        <v>1528.5180985906402</v>
      </c>
      <c r="D18" s="592"/>
      <c r="E18" s="726">
        <f>SUM(E14:E17)</f>
        <v>374.29460583790154</v>
      </c>
      <c r="F18" s="35"/>
      <c r="G18" s="726">
        <f>SUM(G14:G17)</f>
        <v>1902.8127044285418</v>
      </c>
      <c r="H18" s="579" t="str">
        <f>"Sum Lines "&amp;A14&amp;" thru "&amp;A17</f>
        <v>Sum Lines 2 thru 5</v>
      </c>
      <c r="I18" s="36">
        <f t="shared" si="1"/>
        <v>6</v>
      </c>
    </row>
    <row r="19" spans="1:10" ht="16" thickTop="1" x14ac:dyDescent="0.35">
      <c r="A19" s="36">
        <f t="shared" si="0"/>
        <v>7</v>
      </c>
      <c r="C19" s="727"/>
      <c r="D19" s="727"/>
      <c r="E19" s="727"/>
      <c r="F19" s="727"/>
      <c r="G19" s="727"/>
      <c r="H19" s="727"/>
      <c r="I19" s="36">
        <f t="shared" si="1"/>
        <v>7</v>
      </c>
    </row>
    <row r="20" spans="1:10" x14ac:dyDescent="0.35">
      <c r="A20" s="36">
        <f t="shared" si="0"/>
        <v>8</v>
      </c>
      <c r="B20" s="43" t="s">
        <v>618</v>
      </c>
      <c r="C20" s="724"/>
      <c r="D20" s="724"/>
      <c r="E20" s="724"/>
      <c r="F20" s="724"/>
      <c r="G20" s="48"/>
      <c r="H20" s="48"/>
      <c r="I20" s="36">
        <f t="shared" si="1"/>
        <v>8</v>
      </c>
      <c r="J20" s="50"/>
    </row>
    <row r="21" spans="1:10" x14ac:dyDescent="0.35">
      <c r="A21" s="36">
        <f t="shared" si="0"/>
        <v>9</v>
      </c>
      <c r="B21" s="728" t="s">
        <v>619</v>
      </c>
      <c r="C21" s="705">
        <v>-2678.5794712430697</v>
      </c>
      <c r="D21" s="705"/>
      <c r="E21" s="705">
        <v>-1630.981692260412</v>
      </c>
      <c r="F21" s="705"/>
      <c r="G21" s="705">
        <f>SUM(C21:E21)</f>
        <v>-4309.561163503482</v>
      </c>
      <c r="H21" s="645" t="s">
        <v>645</v>
      </c>
      <c r="I21" s="36">
        <f t="shared" si="1"/>
        <v>9</v>
      </c>
    </row>
    <row r="22" spans="1:10" x14ac:dyDescent="0.35">
      <c r="A22" s="36">
        <f t="shared" si="0"/>
        <v>10</v>
      </c>
      <c r="C22" s="35"/>
      <c r="D22" s="35"/>
      <c r="E22" s="35"/>
      <c r="F22" s="35"/>
      <c r="G22" s="35"/>
      <c r="H22" s="35"/>
      <c r="I22" s="36">
        <f t="shared" si="1"/>
        <v>10</v>
      </c>
    </row>
    <row r="23" spans="1:10" ht="16" thickBot="1" x14ac:dyDescent="0.4">
      <c r="A23" s="36">
        <f t="shared" si="0"/>
        <v>11</v>
      </c>
      <c r="B23" s="53" t="s">
        <v>620</v>
      </c>
      <c r="C23" s="726">
        <f>SUM(C21:C22)</f>
        <v>-2678.5794712430697</v>
      </c>
      <c r="D23" s="592"/>
      <c r="E23" s="726">
        <f>SUM(E21:E22)</f>
        <v>-1630.981692260412</v>
      </c>
      <c r="F23" s="35"/>
      <c r="G23" s="726">
        <f>SUM(G21:G22)</f>
        <v>-4309.561163503482</v>
      </c>
      <c r="H23" s="579" t="str">
        <f>"Sum Lines "&amp;A21&amp;" thru "&amp;A22</f>
        <v>Sum Lines 9 thru 10</v>
      </c>
      <c r="I23" s="36">
        <f t="shared" si="1"/>
        <v>11</v>
      </c>
      <c r="J23" s="50"/>
    </row>
    <row r="24" spans="1:10" ht="16" thickTop="1" x14ac:dyDescent="0.35">
      <c r="A24" s="36">
        <f t="shared" si="0"/>
        <v>12</v>
      </c>
      <c r="I24" s="36">
        <f t="shared" si="1"/>
        <v>12</v>
      </c>
    </row>
    <row r="25" spans="1:10" x14ac:dyDescent="0.35">
      <c r="A25" s="36">
        <f t="shared" si="0"/>
        <v>13</v>
      </c>
      <c r="B25" s="43" t="s">
        <v>621</v>
      </c>
      <c r="C25" s="724"/>
      <c r="D25" s="724"/>
      <c r="E25" s="724"/>
      <c r="F25" s="724"/>
      <c r="G25" s="48"/>
      <c r="H25" s="36"/>
      <c r="I25" s="36">
        <f t="shared" si="1"/>
        <v>13</v>
      </c>
    </row>
    <row r="26" spans="1:10" x14ac:dyDescent="0.35">
      <c r="A26" s="36">
        <f t="shared" si="0"/>
        <v>14</v>
      </c>
      <c r="B26" s="43" t="s">
        <v>622</v>
      </c>
      <c r="C26" s="60">
        <v>0</v>
      </c>
      <c r="D26" s="60"/>
      <c r="E26" s="60">
        <v>0</v>
      </c>
      <c r="F26" s="725"/>
      <c r="G26" s="705">
        <f>SUM(C26:E26)</f>
        <v>0</v>
      </c>
      <c r="H26" s="8" t="s">
        <v>245</v>
      </c>
      <c r="I26" s="36">
        <f t="shared" si="1"/>
        <v>14</v>
      </c>
    </row>
    <row r="27" spans="1:10" x14ac:dyDescent="0.35">
      <c r="A27" s="36">
        <f t="shared" si="0"/>
        <v>15</v>
      </c>
      <c r="B27" s="43"/>
      <c r="C27" s="35"/>
      <c r="D27" s="35"/>
      <c r="E27" s="35"/>
      <c r="F27" s="35"/>
      <c r="G27" s="35"/>
      <c r="H27" s="35"/>
      <c r="I27" s="36">
        <f t="shared" si="1"/>
        <v>15</v>
      </c>
    </row>
    <row r="28" spans="1:10" ht="16" thickBot="1" x14ac:dyDescent="0.4">
      <c r="A28" s="36">
        <f t="shared" si="0"/>
        <v>16</v>
      </c>
      <c r="B28" s="53" t="s">
        <v>623</v>
      </c>
      <c r="C28" s="726">
        <f>SUM(C26:C27)</f>
        <v>0</v>
      </c>
      <c r="D28" s="592"/>
      <c r="E28" s="726">
        <f>SUM(E26:E27)</f>
        <v>0</v>
      </c>
      <c r="F28" s="35"/>
      <c r="G28" s="726">
        <f>SUM(G26:G27)</f>
        <v>0</v>
      </c>
      <c r="H28" s="579" t="str">
        <f>"Sum Lines "&amp;A26&amp;" thru "&amp;A27</f>
        <v>Sum Lines 14 thru 15</v>
      </c>
      <c r="I28" s="36">
        <f t="shared" si="1"/>
        <v>16</v>
      </c>
    </row>
    <row r="29" spans="1:10" ht="16.5" thickTop="1" thickBot="1" x14ac:dyDescent="0.4">
      <c r="A29" s="36">
        <f t="shared" si="0"/>
        <v>17</v>
      </c>
      <c r="B29" s="83"/>
      <c r="C29" s="83"/>
      <c r="D29" s="83"/>
      <c r="E29" s="83"/>
      <c r="F29" s="83"/>
      <c r="G29" s="83"/>
      <c r="H29" s="83"/>
      <c r="I29" s="36">
        <f t="shared" si="1"/>
        <v>17</v>
      </c>
    </row>
    <row r="30" spans="1:10" x14ac:dyDescent="0.35">
      <c r="A30" s="36">
        <f t="shared" si="0"/>
        <v>18</v>
      </c>
      <c r="I30" s="36">
        <f t="shared" si="1"/>
        <v>18</v>
      </c>
    </row>
    <row r="31" spans="1:10" x14ac:dyDescent="0.35">
      <c r="A31" s="36">
        <f t="shared" si="0"/>
        <v>19</v>
      </c>
      <c r="B31" s="43" t="s">
        <v>646</v>
      </c>
      <c r="C31" s="740"/>
      <c r="E31" s="740"/>
      <c r="G31" s="740"/>
      <c r="I31" s="36">
        <f t="shared" si="1"/>
        <v>19</v>
      </c>
    </row>
    <row r="32" spans="1:10" x14ac:dyDescent="0.35">
      <c r="A32" s="36">
        <f t="shared" si="0"/>
        <v>20</v>
      </c>
      <c r="B32" s="43" t="s">
        <v>709</v>
      </c>
      <c r="C32" s="705">
        <v>78.773130441689574</v>
      </c>
      <c r="E32" s="740">
        <v>0</v>
      </c>
      <c r="G32" s="705">
        <f>SUM(C32:E32)</f>
        <v>78.773130441689574</v>
      </c>
      <c r="H32" s="645" t="s">
        <v>647</v>
      </c>
      <c r="I32" s="36">
        <f t="shared" si="1"/>
        <v>20</v>
      </c>
    </row>
    <row r="33" spans="1:9" x14ac:dyDescent="0.35">
      <c r="A33" s="36">
        <f t="shared" si="0"/>
        <v>21</v>
      </c>
      <c r="C33" s="559"/>
      <c r="D33" s="559"/>
      <c r="E33" s="559"/>
      <c r="G33" s="559"/>
      <c r="I33" s="36">
        <f t="shared" si="1"/>
        <v>21</v>
      </c>
    </row>
    <row r="34" spans="1:9" ht="16" thickBot="1" x14ac:dyDescent="0.4">
      <c r="A34" s="36">
        <f t="shared" si="0"/>
        <v>22</v>
      </c>
      <c r="B34" s="53" t="s">
        <v>617</v>
      </c>
      <c r="C34" s="741">
        <f>SUM(C31:C33)</f>
        <v>78.773130441689574</v>
      </c>
      <c r="D34" s="698"/>
      <c r="E34" s="742">
        <f>SUM(E31:E33)</f>
        <v>0</v>
      </c>
      <c r="F34" s="698"/>
      <c r="G34" s="741">
        <f>SUM(G31:G33)</f>
        <v>78.773130441689574</v>
      </c>
      <c r="H34" s="36" t="str">
        <f>"Sum Lines "&amp;A32&amp;" thru "&amp;A33</f>
        <v>Sum Lines 20 thru 21</v>
      </c>
      <c r="I34" s="36">
        <f t="shared" si="1"/>
        <v>22</v>
      </c>
    </row>
    <row r="35" spans="1:9" ht="16" thickTop="1" x14ac:dyDescent="0.35">
      <c r="A35" s="36">
        <f t="shared" si="0"/>
        <v>23</v>
      </c>
      <c r="I35" s="36">
        <f t="shared" si="1"/>
        <v>23</v>
      </c>
    </row>
    <row r="36" spans="1:9" x14ac:dyDescent="0.35">
      <c r="A36" s="36">
        <f t="shared" si="0"/>
        <v>24</v>
      </c>
      <c r="B36" s="43" t="s">
        <v>648</v>
      </c>
      <c r="I36" s="36">
        <f t="shared" si="1"/>
        <v>24</v>
      </c>
    </row>
    <row r="37" spans="1:9" x14ac:dyDescent="0.35">
      <c r="A37" s="36">
        <f t="shared" si="0"/>
        <v>25</v>
      </c>
      <c r="B37" s="728" t="s">
        <v>619</v>
      </c>
      <c r="C37" s="705">
        <v>-180.82634693877586</v>
      </c>
      <c r="E37" s="740">
        <v>0</v>
      </c>
      <c r="G37" s="705">
        <f>SUM(C37:E37)</f>
        <v>-180.82634693877586</v>
      </c>
      <c r="H37" s="645" t="s">
        <v>645</v>
      </c>
      <c r="I37" s="36">
        <f t="shared" si="1"/>
        <v>25</v>
      </c>
    </row>
    <row r="38" spans="1:9" x14ac:dyDescent="0.35">
      <c r="A38" s="36">
        <f t="shared" si="0"/>
        <v>26</v>
      </c>
      <c r="C38" s="559"/>
      <c r="E38" s="559"/>
      <c r="G38" s="50"/>
      <c r="I38" s="36">
        <f t="shared" si="1"/>
        <v>26</v>
      </c>
    </row>
    <row r="39" spans="1:9" ht="16" thickBot="1" x14ac:dyDescent="0.4">
      <c r="A39" s="36">
        <f t="shared" si="0"/>
        <v>27</v>
      </c>
      <c r="B39" s="53" t="s">
        <v>620</v>
      </c>
      <c r="C39" s="741">
        <f>SUM(C37:C38)</f>
        <v>-180.82634693877586</v>
      </c>
      <c r="D39" s="698"/>
      <c r="E39" s="742">
        <f>SUM(E37:E38)</f>
        <v>0</v>
      </c>
      <c r="F39" s="698"/>
      <c r="G39" s="741">
        <f>SUM(G37:G38)</f>
        <v>-180.82634693877586</v>
      </c>
      <c r="H39" s="36" t="str">
        <f>"Sum Lines "&amp;A37&amp;" thru "&amp;A38</f>
        <v>Sum Lines 25 thru 26</v>
      </c>
      <c r="I39" s="36">
        <f t="shared" si="1"/>
        <v>27</v>
      </c>
    </row>
    <row r="40" spans="1:9" ht="16" thickTop="1" x14ac:dyDescent="0.35">
      <c r="A40" s="36">
        <f t="shared" si="0"/>
        <v>28</v>
      </c>
      <c r="I40" s="36">
        <f t="shared" si="1"/>
        <v>28</v>
      </c>
    </row>
    <row r="41" spans="1:9" x14ac:dyDescent="0.35">
      <c r="A41" s="36">
        <f t="shared" si="0"/>
        <v>29</v>
      </c>
      <c r="B41" s="43" t="s">
        <v>649</v>
      </c>
      <c r="I41" s="36">
        <f t="shared" si="1"/>
        <v>29</v>
      </c>
    </row>
    <row r="42" spans="1:9" x14ac:dyDescent="0.35">
      <c r="A42" s="36">
        <f t="shared" si="0"/>
        <v>30</v>
      </c>
      <c r="B42" s="43"/>
      <c r="C42" s="740">
        <v>0</v>
      </c>
      <c r="E42" s="740">
        <v>0</v>
      </c>
      <c r="G42" s="740">
        <f>SUM(C42:E42)</f>
        <v>0</v>
      </c>
      <c r="H42" s="645" t="s">
        <v>245</v>
      </c>
      <c r="I42" s="36">
        <f t="shared" si="1"/>
        <v>30</v>
      </c>
    </row>
    <row r="43" spans="1:9" x14ac:dyDescent="0.35">
      <c r="A43" s="36">
        <f t="shared" si="0"/>
        <v>31</v>
      </c>
      <c r="C43" s="559"/>
      <c r="E43" s="559"/>
      <c r="G43" s="668"/>
      <c r="I43" s="36">
        <f t="shared" si="1"/>
        <v>31</v>
      </c>
    </row>
    <row r="44" spans="1:9" ht="16" thickBot="1" x14ac:dyDescent="0.4">
      <c r="A44" s="36">
        <f t="shared" si="0"/>
        <v>32</v>
      </c>
      <c r="B44" s="53" t="s">
        <v>623</v>
      </c>
      <c r="C44" s="742">
        <f>SUM(C42:C43)</f>
        <v>0</v>
      </c>
      <c r="D44" s="698"/>
      <c r="E44" s="742">
        <f>SUM(E42:E43)</f>
        <v>0</v>
      </c>
      <c r="F44" s="698"/>
      <c r="G44" s="742">
        <f>SUM(G42:G43)</f>
        <v>0</v>
      </c>
      <c r="H44" s="36" t="str">
        <f>"Sum Lines "&amp;A42&amp;" thru "&amp;A43</f>
        <v>Sum Lines 30 thru 31</v>
      </c>
      <c r="I44" s="36">
        <f t="shared" si="1"/>
        <v>32</v>
      </c>
    </row>
    <row r="45" spans="1:9" ht="16" thickTop="1" x14ac:dyDescent="0.35"/>
    <row r="47" spans="1:9" ht="18.5" x14ac:dyDescent="0.35">
      <c r="A47" s="743"/>
      <c r="B47" s="86"/>
    </row>
    <row r="48" spans="1:9" x14ac:dyDescent="0.35">
      <c r="B48" s="86"/>
    </row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25" footer="0.25"/>
  <pageSetup scale="72" orientation="landscape" r:id="rId1"/>
  <headerFooter scaleWithDoc="0" alignWithMargins="0">
    <oddHeader>&amp;C&amp;"Times New Roman,Bold"&amp;9AS FILED</oddHeader>
    <oddFooter>&amp;CPage 12.2A&amp;R&amp;F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zoomScale="80" zoomScaleNormal="80" workbookViewId="0"/>
  </sheetViews>
  <sheetFormatPr defaultColWidth="8.81640625" defaultRowHeight="15.5" x14ac:dyDescent="0.35"/>
  <cols>
    <col min="1" max="1" width="5.1796875" style="36" customWidth="1"/>
    <col min="2" max="2" width="55.453125" style="37" customWidth="1"/>
    <col min="3" max="5" width="15.54296875" style="37" customWidth="1"/>
    <col min="6" max="6" width="1.54296875" style="37" customWidth="1"/>
    <col min="7" max="7" width="16.81640625" style="37" customWidth="1"/>
    <col min="8" max="8" width="1.54296875" style="37" customWidth="1"/>
    <col min="9" max="9" width="38.81640625" style="98" customWidth="1"/>
    <col min="10" max="10" width="5.1796875" style="37" customWidth="1"/>
    <col min="11" max="11" width="27" style="37" bestFit="1" customWidth="1"/>
    <col min="12" max="12" width="15" style="37" bestFit="1" customWidth="1"/>
    <col min="13" max="13" width="10.453125" style="37" bestFit="1" customWidth="1"/>
    <col min="14" max="16384" width="8.81640625" style="37"/>
  </cols>
  <sheetData>
    <row r="1" spans="1:10" x14ac:dyDescent="0.35">
      <c r="A1" s="341"/>
      <c r="G1" s="63"/>
      <c r="H1" s="63"/>
      <c r="I1" s="122"/>
      <c r="J1" s="36"/>
    </row>
    <row r="2" spans="1:10" x14ac:dyDescent="0.35">
      <c r="B2" s="863" t="s">
        <v>406</v>
      </c>
      <c r="C2" s="863"/>
      <c r="D2" s="863"/>
      <c r="E2" s="863"/>
      <c r="F2" s="863"/>
      <c r="G2" s="863"/>
      <c r="H2" s="863"/>
      <c r="I2" s="863"/>
      <c r="J2" s="36"/>
    </row>
    <row r="3" spans="1:10" x14ac:dyDescent="0.35">
      <c r="B3" s="863" t="s">
        <v>407</v>
      </c>
      <c r="C3" s="863"/>
      <c r="D3" s="863"/>
      <c r="E3" s="863"/>
      <c r="F3" s="863"/>
      <c r="G3" s="863"/>
      <c r="H3" s="863"/>
      <c r="I3" s="863"/>
      <c r="J3" s="36"/>
    </row>
    <row r="4" spans="1:10" x14ac:dyDescent="0.35">
      <c r="B4" s="863" t="s">
        <v>408</v>
      </c>
      <c r="C4" s="863"/>
      <c r="D4" s="863"/>
      <c r="E4" s="863"/>
      <c r="F4" s="863"/>
      <c r="G4" s="863"/>
      <c r="H4" s="863"/>
      <c r="I4" s="863"/>
      <c r="J4" s="36"/>
    </row>
    <row r="5" spans="1:10" x14ac:dyDescent="0.35">
      <c r="B5" s="866" t="s">
        <v>73</v>
      </c>
      <c r="C5" s="866"/>
      <c r="D5" s="866"/>
      <c r="E5" s="866"/>
      <c r="F5" s="866"/>
      <c r="G5" s="866"/>
      <c r="H5" s="866"/>
      <c r="I5" s="866"/>
      <c r="J5" s="36"/>
    </row>
    <row r="6" spans="1:10" x14ac:dyDescent="0.35">
      <c r="B6" s="865" t="s">
        <v>4</v>
      </c>
      <c r="C6" s="867"/>
      <c r="D6" s="867"/>
      <c r="E6" s="867"/>
      <c r="F6" s="867"/>
      <c r="G6" s="867"/>
      <c r="H6" s="867"/>
      <c r="I6" s="867"/>
      <c r="J6" s="36"/>
    </row>
    <row r="7" spans="1:10" x14ac:dyDescent="0.35">
      <c r="B7" s="36"/>
      <c r="C7" s="36"/>
      <c r="D7" s="36"/>
      <c r="E7" s="36"/>
      <c r="F7" s="36"/>
      <c r="G7" s="36"/>
      <c r="H7" s="36"/>
      <c r="I7" s="48"/>
      <c r="J7" s="36"/>
    </row>
    <row r="8" spans="1:10" x14ac:dyDescent="0.35">
      <c r="A8" s="36" t="s">
        <v>5</v>
      </c>
      <c r="B8" s="364"/>
      <c r="C8" s="364"/>
      <c r="D8" s="364"/>
      <c r="E8" s="36" t="s">
        <v>199</v>
      </c>
      <c r="F8" s="364"/>
      <c r="G8" s="364"/>
      <c r="H8" s="364"/>
      <c r="I8" s="48"/>
      <c r="J8" s="36" t="s">
        <v>5</v>
      </c>
    </row>
    <row r="9" spans="1:10" x14ac:dyDescent="0.35">
      <c r="A9" s="36" t="s">
        <v>6</v>
      </c>
      <c r="B9" s="36"/>
      <c r="C9" s="36"/>
      <c r="D9" s="36"/>
      <c r="E9" s="307" t="s">
        <v>200</v>
      </c>
      <c r="F9" s="36"/>
      <c r="G9" s="308" t="s">
        <v>8</v>
      </c>
      <c r="H9" s="364"/>
      <c r="I9" s="342" t="s">
        <v>9</v>
      </c>
      <c r="J9" s="36" t="s">
        <v>6</v>
      </c>
    </row>
    <row r="10" spans="1:10" x14ac:dyDescent="0.35">
      <c r="B10" s="36"/>
      <c r="C10" s="36"/>
      <c r="D10" s="36"/>
      <c r="E10" s="36"/>
      <c r="F10" s="36"/>
      <c r="G10" s="36"/>
      <c r="H10" s="36"/>
      <c r="I10" s="48"/>
      <c r="J10" s="36"/>
    </row>
    <row r="11" spans="1:10" x14ac:dyDescent="0.35">
      <c r="A11" s="36">
        <v>1</v>
      </c>
      <c r="B11" s="41" t="s">
        <v>409</v>
      </c>
      <c r="I11" s="48"/>
      <c r="J11" s="36">
        <f>A11</f>
        <v>1</v>
      </c>
    </row>
    <row r="12" spans="1:10" x14ac:dyDescent="0.35">
      <c r="A12" s="36">
        <f>A11+1</f>
        <v>2</v>
      </c>
      <c r="B12" s="37" t="s">
        <v>410</v>
      </c>
      <c r="E12" s="36" t="s">
        <v>411</v>
      </c>
      <c r="G12" s="99">
        <v>6053573</v>
      </c>
      <c r="H12" s="364"/>
      <c r="I12" s="102"/>
      <c r="J12" s="36">
        <f>J11+1</f>
        <v>2</v>
      </c>
    </row>
    <row r="13" spans="1:10" x14ac:dyDescent="0.35">
      <c r="A13" s="36">
        <f t="shared" ref="A13:A65" si="0">A12+1</f>
        <v>3</v>
      </c>
      <c r="B13" s="37" t="s">
        <v>412</v>
      </c>
      <c r="E13" s="36" t="s">
        <v>413</v>
      </c>
      <c r="G13" s="100">
        <v>0</v>
      </c>
      <c r="H13" s="364"/>
      <c r="I13" s="102"/>
      <c r="J13" s="36">
        <f t="shared" ref="J13:J65" si="1">J12+1</f>
        <v>3</v>
      </c>
    </row>
    <row r="14" spans="1:10" x14ac:dyDescent="0.35">
      <c r="A14" s="36">
        <f t="shared" si="0"/>
        <v>4</v>
      </c>
      <c r="B14" s="37" t="s">
        <v>414</v>
      </c>
      <c r="E14" s="36" t="s">
        <v>415</v>
      </c>
      <c r="G14" s="100">
        <v>0</v>
      </c>
      <c r="H14" s="364"/>
      <c r="I14" s="102"/>
      <c r="J14" s="36">
        <f t="shared" si="1"/>
        <v>4</v>
      </c>
    </row>
    <row r="15" spans="1:10" x14ac:dyDescent="0.35">
      <c r="A15" s="36">
        <f t="shared" si="0"/>
        <v>5</v>
      </c>
      <c r="B15" s="37" t="s">
        <v>416</v>
      </c>
      <c r="E15" s="36" t="s">
        <v>417</v>
      </c>
      <c r="G15" s="100">
        <v>0</v>
      </c>
      <c r="H15" s="364"/>
      <c r="I15" s="102"/>
      <c r="J15" s="36">
        <f t="shared" si="1"/>
        <v>5</v>
      </c>
    </row>
    <row r="16" spans="1:10" x14ac:dyDescent="0.35">
      <c r="A16" s="36">
        <f t="shared" si="0"/>
        <v>6</v>
      </c>
      <c r="B16" s="37" t="s">
        <v>418</v>
      </c>
      <c r="E16" s="36" t="s">
        <v>419</v>
      </c>
      <c r="G16" s="100">
        <v>-13172.642</v>
      </c>
      <c r="H16" s="364"/>
      <c r="I16" s="102"/>
      <c r="J16" s="36">
        <f t="shared" si="1"/>
        <v>6</v>
      </c>
    </row>
    <row r="17" spans="1:10" x14ac:dyDescent="0.35">
      <c r="A17" s="36">
        <f t="shared" si="0"/>
        <v>7</v>
      </c>
      <c r="B17" s="37" t="s">
        <v>420</v>
      </c>
      <c r="G17" s="101">
        <f>SUM(G12:G16)</f>
        <v>6040400.358</v>
      </c>
      <c r="H17" s="95"/>
      <c r="I17" s="48" t="str">
        <f>"Sum Lines "&amp;A12&amp;" thru "&amp;A16</f>
        <v>Sum Lines 2 thru 6</v>
      </c>
      <c r="J17" s="36">
        <f t="shared" si="1"/>
        <v>7</v>
      </c>
    </row>
    <row r="18" spans="1:10" x14ac:dyDescent="0.35">
      <c r="A18" s="36">
        <f t="shared" si="0"/>
        <v>8</v>
      </c>
      <c r="I18" s="48"/>
      <c r="J18" s="36">
        <f t="shared" si="1"/>
        <v>8</v>
      </c>
    </row>
    <row r="19" spans="1:10" x14ac:dyDescent="0.35">
      <c r="A19" s="36">
        <f t="shared" si="0"/>
        <v>9</v>
      </c>
      <c r="B19" s="41" t="s">
        <v>421</v>
      </c>
      <c r="G19" s="35"/>
      <c r="H19" s="35"/>
      <c r="I19" s="48"/>
      <c r="J19" s="36">
        <f t="shared" si="1"/>
        <v>9</v>
      </c>
    </row>
    <row r="20" spans="1:10" x14ac:dyDescent="0.35">
      <c r="A20" s="36">
        <f t="shared" si="0"/>
        <v>10</v>
      </c>
      <c r="B20" s="37" t="s">
        <v>422</v>
      </c>
      <c r="E20" s="36" t="s">
        <v>423</v>
      </c>
      <c r="G20" s="99">
        <v>233778.584</v>
      </c>
      <c r="H20" s="364"/>
      <c r="I20" s="102"/>
      <c r="J20" s="36">
        <f t="shared" si="1"/>
        <v>10</v>
      </c>
    </row>
    <row r="21" spans="1:10" x14ac:dyDescent="0.35">
      <c r="A21" s="36">
        <f t="shared" si="0"/>
        <v>11</v>
      </c>
      <c r="B21" s="37" t="s">
        <v>424</v>
      </c>
      <c r="E21" s="36" t="s">
        <v>425</v>
      </c>
      <c r="G21" s="100">
        <v>4107.085</v>
      </c>
      <c r="H21" s="364"/>
      <c r="I21" s="102"/>
      <c r="J21" s="36">
        <f t="shared" si="1"/>
        <v>11</v>
      </c>
    </row>
    <row r="22" spans="1:10" x14ac:dyDescent="0.35">
      <c r="A22" s="36">
        <f t="shared" si="0"/>
        <v>12</v>
      </c>
      <c r="B22" s="37" t="s">
        <v>426</v>
      </c>
      <c r="E22" s="36" t="s">
        <v>427</v>
      </c>
      <c r="G22" s="100">
        <v>1449.7840000000001</v>
      </c>
      <c r="H22" s="364"/>
      <c r="I22" s="102"/>
      <c r="J22" s="36">
        <f t="shared" si="1"/>
        <v>12</v>
      </c>
    </row>
    <row r="23" spans="1:10" x14ac:dyDescent="0.35">
      <c r="A23" s="36">
        <f t="shared" si="0"/>
        <v>13</v>
      </c>
      <c r="B23" s="37" t="s">
        <v>428</v>
      </c>
      <c r="E23" s="36" t="s">
        <v>429</v>
      </c>
      <c r="G23" s="100">
        <v>0</v>
      </c>
      <c r="H23" s="364"/>
      <c r="I23" s="102"/>
      <c r="J23" s="36">
        <f t="shared" si="1"/>
        <v>13</v>
      </c>
    </row>
    <row r="24" spans="1:10" x14ac:dyDescent="0.35">
      <c r="A24" s="36">
        <f t="shared" si="0"/>
        <v>14</v>
      </c>
      <c r="B24" s="37" t="s">
        <v>430</v>
      </c>
      <c r="E24" s="36" t="s">
        <v>431</v>
      </c>
      <c r="G24" s="100">
        <v>0</v>
      </c>
      <c r="H24" s="364"/>
      <c r="I24" s="102"/>
      <c r="J24" s="36">
        <f t="shared" si="1"/>
        <v>14</v>
      </c>
    </row>
    <row r="25" spans="1:10" x14ac:dyDescent="0.35">
      <c r="A25" s="36">
        <f t="shared" si="0"/>
        <v>15</v>
      </c>
      <c r="B25" s="37" t="s">
        <v>432</v>
      </c>
      <c r="G25" s="103">
        <f>SUM(G20:G24)</f>
        <v>239335.45300000001</v>
      </c>
      <c r="H25" s="104"/>
      <c r="I25" s="48" t="str">
        <f>"Sum Lines "&amp;A20&amp;" thru "&amp;A24</f>
        <v>Sum Lines 10 thru 14</v>
      </c>
      <c r="J25" s="36">
        <f t="shared" si="1"/>
        <v>15</v>
      </c>
    </row>
    <row r="26" spans="1:10" x14ac:dyDescent="0.35">
      <c r="A26" s="36">
        <f t="shared" si="0"/>
        <v>16</v>
      </c>
      <c r="I26" s="48"/>
      <c r="J26" s="36">
        <f t="shared" si="1"/>
        <v>16</v>
      </c>
    </row>
    <row r="27" spans="1:10" ht="16" thickBot="1" x14ac:dyDescent="0.4">
      <c r="A27" s="36">
        <f t="shared" si="0"/>
        <v>17</v>
      </c>
      <c r="B27" s="41" t="s">
        <v>433</v>
      </c>
      <c r="G27" s="105">
        <f>G25/G17</f>
        <v>3.9622448648295373E-2</v>
      </c>
      <c r="H27" s="106"/>
      <c r="I27" s="48" t="str">
        <f>"Line "&amp;A25&amp;" / Line "&amp;A17</f>
        <v>Line 15 / Line 7</v>
      </c>
      <c r="J27" s="36">
        <f t="shared" si="1"/>
        <v>17</v>
      </c>
    </row>
    <row r="28" spans="1:10" ht="16" thickTop="1" x14ac:dyDescent="0.35">
      <c r="A28" s="36">
        <f t="shared" si="0"/>
        <v>18</v>
      </c>
      <c r="I28" s="48"/>
      <c r="J28" s="36">
        <f t="shared" si="1"/>
        <v>18</v>
      </c>
    </row>
    <row r="29" spans="1:10" x14ac:dyDescent="0.35">
      <c r="A29" s="36">
        <f t="shared" si="0"/>
        <v>19</v>
      </c>
      <c r="B29" s="41" t="s">
        <v>434</v>
      </c>
      <c r="I29" s="48"/>
      <c r="J29" s="36">
        <f t="shared" si="1"/>
        <v>19</v>
      </c>
    </row>
    <row r="30" spans="1:10" x14ac:dyDescent="0.35">
      <c r="A30" s="36">
        <f t="shared" si="0"/>
        <v>20</v>
      </c>
      <c r="B30" s="37" t="s">
        <v>435</v>
      </c>
      <c r="E30" s="36" t="s">
        <v>436</v>
      </c>
      <c r="G30" s="99">
        <v>0</v>
      </c>
      <c r="H30" s="364"/>
      <c r="I30" s="102"/>
      <c r="J30" s="36">
        <f t="shared" si="1"/>
        <v>20</v>
      </c>
    </row>
    <row r="31" spans="1:10" x14ac:dyDescent="0.35">
      <c r="A31" s="36">
        <f t="shared" si="0"/>
        <v>21</v>
      </c>
      <c r="B31" s="37" t="s">
        <v>437</v>
      </c>
      <c r="E31" s="36" t="s">
        <v>438</v>
      </c>
      <c r="G31" s="343">
        <v>0</v>
      </c>
      <c r="H31" s="364"/>
      <c r="I31" s="102"/>
      <c r="J31" s="36">
        <f t="shared" si="1"/>
        <v>21</v>
      </c>
    </row>
    <row r="32" spans="1:10" ht="16" thickBot="1" x14ac:dyDescent="0.4">
      <c r="A32" s="36">
        <f t="shared" si="0"/>
        <v>22</v>
      </c>
      <c r="B32" s="37" t="s">
        <v>439</v>
      </c>
      <c r="G32" s="105">
        <f>IFERROR((G31/G30),0)</f>
        <v>0</v>
      </c>
      <c r="H32" s="106"/>
      <c r="I32" s="48" t="str">
        <f>"Line "&amp;A31&amp;" / Line "&amp;A30</f>
        <v>Line 21 / Line 20</v>
      </c>
      <c r="J32" s="36">
        <f t="shared" si="1"/>
        <v>22</v>
      </c>
    </row>
    <row r="33" spans="1:12" ht="16" thickTop="1" x14ac:dyDescent="0.35">
      <c r="A33" s="36">
        <f t="shared" si="0"/>
        <v>23</v>
      </c>
      <c r="I33" s="48"/>
      <c r="J33" s="36">
        <f t="shared" si="1"/>
        <v>23</v>
      </c>
    </row>
    <row r="34" spans="1:12" x14ac:dyDescent="0.35">
      <c r="A34" s="36">
        <f t="shared" si="0"/>
        <v>24</v>
      </c>
      <c r="B34" s="41" t="s">
        <v>440</v>
      </c>
      <c r="I34" s="48"/>
      <c r="J34" s="36">
        <f t="shared" si="1"/>
        <v>24</v>
      </c>
    </row>
    <row r="35" spans="1:12" x14ac:dyDescent="0.35">
      <c r="A35" s="36">
        <f t="shared" si="0"/>
        <v>25</v>
      </c>
      <c r="B35" s="37" t="s">
        <v>441</v>
      </c>
      <c r="E35" s="36" t="s">
        <v>442</v>
      </c>
      <c r="G35" s="99">
        <v>7729413.6809999999</v>
      </c>
      <c r="H35" s="364"/>
      <c r="I35" s="102"/>
      <c r="J35" s="36">
        <f t="shared" si="1"/>
        <v>25</v>
      </c>
      <c r="K35" s="44"/>
      <c r="L35" s="344"/>
    </row>
    <row r="36" spans="1:12" x14ac:dyDescent="0.35">
      <c r="A36" s="36">
        <f t="shared" si="0"/>
        <v>26</v>
      </c>
      <c r="B36" s="37" t="s">
        <v>443</v>
      </c>
      <c r="E36" s="36" t="s">
        <v>436</v>
      </c>
      <c r="G36" s="107">
        <v>0</v>
      </c>
      <c r="H36" s="107"/>
      <c r="I36" s="48" t="str">
        <f>"Negative of Line "&amp;A30&amp;" Above"</f>
        <v>Negative of Line 20 Above</v>
      </c>
      <c r="J36" s="36">
        <f t="shared" si="1"/>
        <v>26</v>
      </c>
    </row>
    <row r="37" spans="1:12" x14ac:dyDescent="0.35">
      <c r="A37" s="36">
        <f t="shared" si="0"/>
        <v>27</v>
      </c>
      <c r="B37" s="37" t="s">
        <v>444</v>
      </c>
      <c r="E37" s="36" t="s">
        <v>445</v>
      </c>
      <c r="G37" s="100">
        <v>0</v>
      </c>
      <c r="H37" s="364"/>
      <c r="I37" s="102"/>
      <c r="J37" s="36">
        <f t="shared" si="1"/>
        <v>27</v>
      </c>
    </row>
    <row r="38" spans="1:12" x14ac:dyDescent="0.35">
      <c r="A38" s="36">
        <f t="shared" si="0"/>
        <v>28</v>
      </c>
      <c r="B38" s="37" t="s">
        <v>446</v>
      </c>
      <c r="E38" s="36" t="s">
        <v>447</v>
      </c>
      <c r="G38" s="100">
        <v>10034.102000000001</v>
      </c>
      <c r="H38" s="364"/>
      <c r="I38" s="102"/>
      <c r="J38" s="36">
        <f t="shared" si="1"/>
        <v>28</v>
      </c>
    </row>
    <row r="39" spans="1:12" ht="16" thickBot="1" x14ac:dyDescent="0.4">
      <c r="A39" s="36">
        <f t="shared" si="0"/>
        <v>29</v>
      </c>
      <c r="B39" s="37" t="s">
        <v>448</v>
      </c>
      <c r="G39" s="108">
        <f>SUM(G35:G38)</f>
        <v>7739447.7829999998</v>
      </c>
      <c r="H39" s="109"/>
      <c r="I39" s="48" t="str">
        <f>"Sum Lines "&amp;A35&amp;" thru "&amp;A38</f>
        <v>Sum Lines 25 thru 28</v>
      </c>
      <c r="J39" s="36">
        <f t="shared" si="1"/>
        <v>29</v>
      </c>
    </row>
    <row r="40" spans="1:12" ht="16.5" thickTop="1" thickBot="1" x14ac:dyDescent="0.4">
      <c r="A40" s="110">
        <f t="shared" si="0"/>
        <v>30</v>
      </c>
      <c r="B40" s="83"/>
      <c r="C40" s="83"/>
      <c r="D40" s="83"/>
      <c r="E40" s="83"/>
      <c r="F40" s="83"/>
      <c r="G40" s="83"/>
      <c r="H40" s="83"/>
      <c r="I40" s="111"/>
      <c r="J40" s="110">
        <f t="shared" si="1"/>
        <v>30</v>
      </c>
    </row>
    <row r="41" spans="1:12" x14ac:dyDescent="0.35">
      <c r="A41" s="36">
        <f>A40+1</f>
        <v>31</v>
      </c>
      <c r="I41" s="48"/>
      <c r="J41" s="36">
        <f>J40+1</f>
        <v>31</v>
      </c>
    </row>
    <row r="42" spans="1:12" ht="16" thickBot="1" x14ac:dyDescent="0.4">
      <c r="A42" s="36">
        <f>A41+1</f>
        <v>32</v>
      </c>
      <c r="B42" s="41" t="s">
        <v>449</v>
      </c>
      <c r="G42" s="112">
        <v>0.106</v>
      </c>
      <c r="H42" s="364"/>
      <c r="I42" s="36" t="s">
        <v>450</v>
      </c>
      <c r="J42" s="36">
        <f>J41+1</f>
        <v>32</v>
      </c>
    </row>
    <row r="43" spans="1:12" ht="16" thickTop="1" x14ac:dyDescent="0.35">
      <c r="A43" s="36">
        <f t="shared" si="0"/>
        <v>33</v>
      </c>
      <c r="C43" s="68" t="s">
        <v>293</v>
      </c>
      <c r="D43" s="68" t="s">
        <v>294</v>
      </c>
      <c r="E43" s="68" t="s">
        <v>451</v>
      </c>
      <c r="F43" s="68"/>
      <c r="G43" s="68" t="s">
        <v>452</v>
      </c>
      <c r="H43" s="68"/>
      <c r="I43" s="48"/>
      <c r="J43" s="36">
        <f t="shared" si="1"/>
        <v>33</v>
      </c>
    </row>
    <row r="44" spans="1:12" x14ac:dyDescent="0.35">
      <c r="A44" s="36">
        <f t="shared" si="0"/>
        <v>34</v>
      </c>
      <c r="D44" s="36" t="s">
        <v>453</v>
      </c>
      <c r="E44" s="36" t="s">
        <v>454</v>
      </c>
      <c r="F44" s="36"/>
      <c r="G44" s="36" t="s">
        <v>455</v>
      </c>
      <c r="H44" s="36"/>
      <c r="I44" s="48"/>
      <c r="J44" s="36">
        <f t="shared" si="1"/>
        <v>34</v>
      </c>
    </row>
    <row r="45" spans="1:12" ht="18" x14ac:dyDescent="0.35">
      <c r="A45" s="36">
        <f t="shared" si="0"/>
        <v>35</v>
      </c>
      <c r="B45" s="41" t="s">
        <v>456</v>
      </c>
      <c r="C45" s="307" t="s">
        <v>457</v>
      </c>
      <c r="D45" s="307" t="s">
        <v>458</v>
      </c>
      <c r="E45" s="307" t="s">
        <v>459</v>
      </c>
      <c r="F45" s="307"/>
      <c r="G45" s="307" t="s">
        <v>460</v>
      </c>
      <c r="H45" s="36"/>
      <c r="I45" s="48"/>
      <c r="J45" s="36">
        <f t="shared" si="1"/>
        <v>35</v>
      </c>
    </row>
    <row r="46" spans="1:12" x14ac:dyDescent="0.35">
      <c r="A46" s="36">
        <f t="shared" si="0"/>
        <v>36</v>
      </c>
      <c r="I46" s="48"/>
      <c r="J46" s="36">
        <f t="shared" si="1"/>
        <v>36</v>
      </c>
    </row>
    <row r="47" spans="1:12" x14ac:dyDescent="0.35">
      <c r="A47" s="36">
        <f t="shared" si="0"/>
        <v>37</v>
      </c>
      <c r="B47" s="37" t="s">
        <v>461</v>
      </c>
      <c r="C47" s="60">
        <f>G17</f>
        <v>6040400.358</v>
      </c>
      <c r="D47" s="113">
        <f>C47/C$50</f>
        <v>0.43835028486472494</v>
      </c>
      <c r="E47" s="114">
        <f>G27</f>
        <v>3.9622448648295373E-2</v>
      </c>
      <c r="G47" s="115">
        <f>D47*E47</f>
        <v>1.7368511652018213E-2</v>
      </c>
      <c r="H47" s="115"/>
      <c r="I47" s="48" t="str">
        <f>"Col. c = Line "&amp;A27&amp;" Above"</f>
        <v>Col. c = Line 17 Above</v>
      </c>
      <c r="J47" s="36">
        <f t="shared" si="1"/>
        <v>37</v>
      </c>
    </row>
    <row r="48" spans="1:12" x14ac:dyDescent="0.35">
      <c r="A48" s="36">
        <f t="shared" si="0"/>
        <v>38</v>
      </c>
      <c r="B48" s="37" t="s">
        <v>462</v>
      </c>
      <c r="C48" s="116">
        <f>G30</f>
        <v>0</v>
      </c>
      <c r="D48" s="113">
        <f>C48/C$50</f>
        <v>0</v>
      </c>
      <c r="E48" s="114">
        <f>G32</f>
        <v>0</v>
      </c>
      <c r="G48" s="115">
        <f>D48*E48</f>
        <v>0</v>
      </c>
      <c r="H48" s="115"/>
      <c r="I48" s="48" t="str">
        <f>"Col. c = Line "&amp;A32&amp;" Above"</f>
        <v>Col. c = Line 22 Above</v>
      </c>
      <c r="J48" s="36">
        <f t="shared" si="1"/>
        <v>38</v>
      </c>
    </row>
    <row r="49" spans="1:10" x14ac:dyDescent="0.35">
      <c r="A49" s="36">
        <f t="shared" si="0"/>
        <v>39</v>
      </c>
      <c r="B49" s="37" t="s">
        <v>463</v>
      </c>
      <c r="C49" s="116">
        <f>G39</f>
        <v>7739447.7829999998</v>
      </c>
      <c r="D49" s="345">
        <f>C49/C$50</f>
        <v>0.56164971513527517</v>
      </c>
      <c r="E49" s="117">
        <f>G42</f>
        <v>0.106</v>
      </c>
      <c r="G49" s="346">
        <f>D49*E49</f>
        <v>5.9534869804339169E-2</v>
      </c>
      <c r="H49" s="106"/>
      <c r="I49" s="48" t="str">
        <f>"Col. c = Line "&amp;A42&amp;" Above"</f>
        <v>Col. c = Line 32 Above</v>
      </c>
      <c r="J49" s="36">
        <f t="shared" si="1"/>
        <v>39</v>
      </c>
    </row>
    <row r="50" spans="1:10" ht="16" thickBot="1" x14ac:dyDescent="0.4">
      <c r="A50" s="36">
        <f t="shared" si="0"/>
        <v>40</v>
      </c>
      <c r="B50" s="37" t="s">
        <v>464</v>
      </c>
      <c r="C50" s="118">
        <f>SUM(C47:C49)</f>
        <v>13779848.140999999</v>
      </c>
      <c r="D50" s="119">
        <f>SUM(D47:D49)</f>
        <v>1</v>
      </c>
      <c r="G50" s="105">
        <f>SUM(G47:G49)</f>
        <v>7.6903381456357389E-2</v>
      </c>
      <c r="H50" s="106"/>
      <c r="I50" s="48" t="str">
        <f>"Sum Lines "&amp;A47&amp;" thru "&amp;A49</f>
        <v>Sum Lines 37 thru 39</v>
      </c>
      <c r="J50" s="36">
        <f t="shared" si="1"/>
        <v>40</v>
      </c>
    </row>
    <row r="51" spans="1:10" ht="16" thickTop="1" x14ac:dyDescent="0.35">
      <c r="A51" s="36">
        <f t="shared" si="0"/>
        <v>41</v>
      </c>
      <c r="I51" s="48"/>
      <c r="J51" s="36">
        <f t="shared" si="1"/>
        <v>41</v>
      </c>
    </row>
    <row r="52" spans="1:10" ht="16" thickBot="1" x14ac:dyDescent="0.4">
      <c r="A52" s="36">
        <f t="shared" si="0"/>
        <v>42</v>
      </c>
      <c r="B52" s="41" t="s">
        <v>465</v>
      </c>
      <c r="G52" s="105">
        <f>G48+G49</f>
        <v>5.9534869804339169E-2</v>
      </c>
      <c r="H52" s="106"/>
      <c r="I52" s="48" t="str">
        <f>"Line "&amp;A48&amp;" + Line "&amp;A49&amp;"; Col. d"</f>
        <v>Line 38 + Line 39; Col. d</v>
      </c>
      <c r="J52" s="36">
        <f t="shared" si="1"/>
        <v>42</v>
      </c>
    </row>
    <row r="53" spans="1:10" ht="16.5" thickTop="1" thickBot="1" x14ac:dyDescent="0.4">
      <c r="A53" s="110">
        <f t="shared" si="0"/>
        <v>43</v>
      </c>
      <c r="B53" s="123"/>
      <c r="C53" s="83"/>
      <c r="D53" s="83"/>
      <c r="E53" s="83"/>
      <c r="F53" s="83"/>
      <c r="G53" s="347"/>
      <c r="H53" s="347"/>
      <c r="I53" s="111"/>
      <c r="J53" s="110">
        <f t="shared" si="1"/>
        <v>43</v>
      </c>
    </row>
    <row r="54" spans="1:10" x14ac:dyDescent="0.35">
      <c r="A54" s="36">
        <f t="shared" si="0"/>
        <v>44</v>
      </c>
      <c r="B54" s="41"/>
      <c r="G54" s="117"/>
      <c r="H54" s="117"/>
      <c r="I54" s="48"/>
      <c r="J54" s="36">
        <f t="shared" si="1"/>
        <v>44</v>
      </c>
    </row>
    <row r="55" spans="1:10" ht="16" thickBot="1" x14ac:dyDescent="0.4">
      <c r="A55" s="36">
        <f t="shared" si="0"/>
        <v>45</v>
      </c>
      <c r="B55" s="41" t="s">
        <v>466</v>
      </c>
      <c r="G55" s="348">
        <v>0</v>
      </c>
      <c r="H55" s="117"/>
      <c r="I55" s="48" t="s">
        <v>270</v>
      </c>
      <c r="J55" s="36">
        <f t="shared" si="1"/>
        <v>45</v>
      </c>
    </row>
    <row r="56" spans="1:10" ht="16" thickTop="1" x14ac:dyDescent="0.35">
      <c r="A56" s="36">
        <f t="shared" si="0"/>
        <v>46</v>
      </c>
      <c r="C56" s="68" t="s">
        <v>293</v>
      </c>
      <c r="D56" s="68" t="s">
        <v>294</v>
      </c>
      <c r="E56" s="68" t="s">
        <v>451</v>
      </c>
      <c r="F56" s="68"/>
      <c r="G56" s="68" t="s">
        <v>452</v>
      </c>
      <c r="H56" s="117"/>
      <c r="I56" s="48"/>
      <c r="J56" s="36">
        <f t="shared" si="1"/>
        <v>46</v>
      </c>
    </row>
    <row r="57" spans="1:10" x14ac:dyDescent="0.35">
      <c r="A57" s="36">
        <f t="shared" si="0"/>
        <v>47</v>
      </c>
      <c r="D57" s="36" t="s">
        <v>453</v>
      </c>
      <c r="E57" s="36" t="s">
        <v>454</v>
      </c>
      <c r="F57" s="36"/>
      <c r="G57" s="36" t="s">
        <v>455</v>
      </c>
      <c r="H57" s="117"/>
      <c r="I57" s="48"/>
      <c r="J57" s="36">
        <f t="shared" si="1"/>
        <v>47</v>
      </c>
    </row>
    <row r="58" spans="1:10" ht="18" x14ac:dyDescent="0.35">
      <c r="A58" s="36">
        <f t="shared" si="0"/>
        <v>48</v>
      </c>
      <c r="B58" s="41" t="s">
        <v>467</v>
      </c>
      <c r="C58" s="307" t="s">
        <v>457</v>
      </c>
      <c r="D58" s="307" t="s">
        <v>458</v>
      </c>
      <c r="E58" s="307" t="s">
        <v>459</v>
      </c>
      <c r="F58" s="307"/>
      <c r="G58" s="307" t="s">
        <v>460</v>
      </c>
      <c r="H58" s="117"/>
      <c r="I58" s="48"/>
      <c r="J58" s="36">
        <f t="shared" si="1"/>
        <v>48</v>
      </c>
    </row>
    <row r="59" spans="1:10" x14ac:dyDescent="0.35">
      <c r="A59" s="36">
        <f t="shared" si="0"/>
        <v>49</v>
      </c>
      <c r="G59" s="117"/>
      <c r="H59" s="117"/>
      <c r="I59" s="48"/>
      <c r="J59" s="36">
        <f t="shared" si="1"/>
        <v>49</v>
      </c>
    </row>
    <row r="60" spans="1:10" x14ac:dyDescent="0.35">
      <c r="A60" s="36">
        <f t="shared" si="0"/>
        <v>50</v>
      </c>
      <c r="B60" s="37" t="s">
        <v>461</v>
      </c>
      <c r="C60" s="349">
        <v>0</v>
      </c>
      <c r="D60" s="350">
        <v>0</v>
      </c>
      <c r="E60" s="120">
        <v>0</v>
      </c>
      <c r="G60" s="115">
        <f>D60*E60</f>
        <v>0</v>
      </c>
      <c r="H60" s="117"/>
      <c r="I60" s="48" t="s">
        <v>270</v>
      </c>
      <c r="J60" s="36">
        <f t="shared" si="1"/>
        <v>50</v>
      </c>
    </row>
    <row r="61" spans="1:10" x14ac:dyDescent="0.35">
      <c r="A61" s="36">
        <f t="shared" si="0"/>
        <v>51</v>
      </c>
      <c r="B61" s="37" t="s">
        <v>462</v>
      </c>
      <c r="C61" s="351">
        <v>0</v>
      </c>
      <c r="D61" s="350">
        <v>0</v>
      </c>
      <c r="E61" s="120">
        <v>0</v>
      </c>
      <c r="G61" s="115">
        <f>D61*E61</f>
        <v>0</v>
      </c>
      <c r="H61" s="117"/>
      <c r="I61" s="48" t="s">
        <v>270</v>
      </c>
      <c r="J61" s="36">
        <f t="shared" si="1"/>
        <v>51</v>
      </c>
    </row>
    <row r="62" spans="1:10" x14ac:dyDescent="0.35">
      <c r="A62" s="36">
        <f t="shared" si="0"/>
        <v>52</v>
      </c>
      <c r="B62" s="37" t="s">
        <v>463</v>
      </c>
      <c r="C62" s="351">
        <v>0</v>
      </c>
      <c r="D62" s="352">
        <v>0</v>
      </c>
      <c r="E62" s="353">
        <v>0</v>
      </c>
      <c r="G62" s="346">
        <f>D62*E62</f>
        <v>0</v>
      </c>
      <c r="H62" s="117"/>
      <c r="I62" s="48" t="s">
        <v>270</v>
      </c>
      <c r="J62" s="36">
        <f t="shared" si="1"/>
        <v>52</v>
      </c>
    </row>
    <row r="63" spans="1:10" ht="16" thickBot="1" x14ac:dyDescent="0.4">
      <c r="A63" s="36">
        <f t="shared" si="0"/>
        <v>53</v>
      </c>
      <c r="B63" s="37" t="s">
        <v>464</v>
      </c>
      <c r="C63" s="118">
        <f>SUM(C60:C62)</f>
        <v>0</v>
      </c>
      <c r="D63" s="105">
        <f>SUM(D60:D62)</f>
        <v>0</v>
      </c>
      <c r="G63" s="105">
        <f>SUM(G60:G62)</f>
        <v>0</v>
      </c>
      <c r="H63" s="117"/>
      <c r="I63" s="48" t="str">
        <f>"Sum Lines "&amp;A60&amp;" thru "&amp;A62</f>
        <v>Sum Lines 50 thru 52</v>
      </c>
      <c r="J63" s="36">
        <f t="shared" si="1"/>
        <v>53</v>
      </c>
    </row>
    <row r="64" spans="1:10" ht="16" thickTop="1" x14ac:dyDescent="0.35">
      <c r="A64" s="36">
        <f t="shared" si="0"/>
        <v>54</v>
      </c>
      <c r="H64" s="117"/>
      <c r="I64" s="48"/>
      <c r="J64" s="36">
        <f t="shared" si="1"/>
        <v>54</v>
      </c>
    </row>
    <row r="65" spans="1:10" ht="16" thickBot="1" x14ac:dyDescent="0.4">
      <c r="A65" s="36">
        <f t="shared" si="0"/>
        <v>55</v>
      </c>
      <c r="B65" s="41" t="s">
        <v>468</v>
      </c>
      <c r="G65" s="105">
        <f>G61+G62</f>
        <v>0</v>
      </c>
      <c r="H65" s="117"/>
      <c r="I65" s="48" t="str">
        <f>"Line "&amp;A61&amp;" + Line "&amp;A62&amp;"; Col. d"</f>
        <v>Line 51 + Line 52; Col. d</v>
      </c>
      <c r="J65" s="36">
        <f t="shared" si="1"/>
        <v>55</v>
      </c>
    </row>
    <row r="66" spans="1:10" ht="16" thickTop="1" x14ac:dyDescent="0.35">
      <c r="B66" s="41"/>
      <c r="G66" s="117"/>
      <c r="H66" s="117"/>
      <c r="I66" s="48"/>
      <c r="J66" s="36"/>
    </row>
    <row r="67" spans="1:10" x14ac:dyDescent="0.35">
      <c r="B67" s="41"/>
      <c r="G67" s="117"/>
      <c r="H67" s="117"/>
      <c r="I67" s="48"/>
      <c r="J67" s="36"/>
    </row>
    <row r="68" spans="1:10" ht="18" x14ac:dyDescent="0.35">
      <c r="A68" s="67">
        <v>1</v>
      </c>
      <c r="B68" s="18" t="s">
        <v>469</v>
      </c>
      <c r="G68" s="63"/>
      <c r="H68" s="63"/>
      <c r="J68" s="36" t="s">
        <v>233</v>
      </c>
    </row>
    <row r="69" spans="1:10" ht="18" x14ac:dyDescent="0.35">
      <c r="A69" s="67"/>
      <c r="B69" s="18"/>
      <c r="G69" s="63"/>
      <c r="H69" s="63"/>
      <c r="J69" s="36"/>
    </row>
    <row r="70" spans="1:10" ht="18" x14ac:dyDescent="0.35">
      <c r="A70" s="67"/>
      <c r="B70" s="18"/>
      <c r="D70" s="36"/>
      <c r="G70" s="63"/>
      <c r="H70" s="63"/>
      <c r="J70" s="36"/>
    </row>
    <row r="71" spans="1:10" x14ac:dyDescent="0.35">
      <c r="B71" s="863" t="s">
        <v>406</v>
      </c>
      <c r="C71" s="863"/>
      <c r="D71" s="863"/>
      <c r="E71" s="863"/>
      <c r="F71" s="863"/>
      <c r="G71" s="863"/>
      <c r="H71" s="863"/>
      <c r="I71" s="863"/>
      <c r="J71" s="36"/>
    </row>
    <row r="72" spans="1:10" x14ac:dyDescent="0.35">
      <c r="B72" s="863" t="s">
        <v>407</v>
      </c>
      <c r="C72" s="863"/>
      <c r="D72" s="863"/>
      <c r="E72" s="863"/>
      <c r="F72" s="863"/>
      <c r="G72" s="863"/>
      <c r="H72" s="863"/>
      <c r="I72" s="863"/>
      <c r="J72" s="36"/>
    </row>
    <row r="73" spans="1:10" x14ac:dyDescent="0.35">
      <c r="B73" s="863" t="s">
        <v>408</v>
      </c>
      <c r="C73" s="863"/>
      <c r="D73" s="863"/>
      <c r="E73" s="863"/>
      <c r="F73" s="863"/>
      <c r="G73" s="863"/>
      <c r="H73" s="863"/>
      <c r="I73" s="863"/>
      <c r="J73" s="36"/>
    </row>
    <row r="74" spans="1:10" x14ac:dyDescent="0.35">
      <c r="B74" s="866" t="str">
        <f>B5</f>
        <v>Base Period &amp; True-Up Period 12 - Months Ending December 31, 2020</v>
      </c>
      <c r="C74" s="866"/>
      <c r="D74" s="866"/>
      <c r="E74" s="866"/>
      <c r="F74" s="866"/>
      <c r="G74" s="866"/>
      <c r="H74" s="866"/>
      <c r="I74" s="866"/>
      <c r="J74" s="36"/>
    </row>
    <row r="75" spans="1:10" x14ac:dyDescent="0.35">
      <c r="B75" s="865" t="s">
        <v>4</v>
      </c>
      <c r="C75" s="867"/>
      <c r="D75" s="867"/>
      <c r="E75" s="867"/>
      <c r="F75" s="867"/>
      <c r="G75" s="867"/>
      <c r="H75" s="867"/>
      <c r="I75" s="867"/>
      <c r="J75" s="36"/>
    </row>
    <row r="76" spans="1:10" x14ac:dyDescent="0.35">
      <c r="B76" s="36"/>
      <c r="C76" s="36"/>
      <c r="D76" s="36"/>
      <c r="E76" s="36"/>
      <c r="F76" s="36"/>
      <c r="G76" s="36"/>
      <c r="H76" s="36"/>
      <c r="I76" s="48"/>
      <c r="J76" s="36"/>
    </row>
    <row r="77" spans="1:10" x14ac:dyDescent="0.35">
      <c r="A77" s="36" t="s">
        <v>5</v>
      </c>
      <c r="B77" s="364"/>
      <c r="C77" s="364"/>
      <c r="D77" s="364"/>
      <c r="E77" s="364"/>
      <c r="F77" s="364"/>
      <c r="G77" s="364"/>
      <c r="H77" s="364"/>
      <c r="I77" s="48"/>
      <c r="J77" s="36" t="s">
        <v>5</v>
      </c>
    </row>
    <row r="78" spans="1:10" x14ac:dyDescent="0.35">
      <c r="A78" s="36" t="s">
        <v>6</v>
      </c>
      <c r="B78" s="36"/>
      <c r="C78" s="36"/>
      <c r="D78" s="36"/>
      <c r="E78" s="36"/>
      <c r="F78" s="36"/>
      <c r="G78" s="307" t="s">
        <v>8</v>
      </c>
      <c r="H78" s="364"/>
      <c r="I78" s="342" t="s">
        <v>9</v>
      </c>
      <c r="J78" s="36" t="s">
        <v>6</v>
      </c>
    </row>
    <row r="79" spans="1:10" x14ac:dyDescent="0.35">
      <c r="G79" s="36"/>
      <c r="H79" s="36"/>
      <c r="I79" s="48"/>
      <c r="J79" s="36"/>
    </row>
    <row r="80" spans="1:10" ht="17.5" x14ac:dyDescent="0.35">
      <c r="A80" s="36">
        <v>1</v>
      </c>
      <c r="B80" s="41" t="s">
        <v>470</v>
      </c>
      <c r="E80" s="364"/>
      <c r="F80" s="364"/>
      <c r="G80" s="124"/>
      <c r="H80" s="124"/>
      <c r="I80" s="48"/>
      <c r="J80" s="36">
        <v>1</v>
      </c>
    </row>
    <row r="81" spans="1:13" x14ac:dyDescent="0.35">
      <c r="A81" s="36">
        <f>A80+1</f>
        <v>2</v>
      </c>
      <c r="B81" s="125"/>
      <c r="E81" s="364"/>
      <c r="F81" s="364"/>
      <c r="G81" s="124"/>
      <c r="H81" s="124"/>
      <c r="I81" s="48"/>
      <c r="J81" s="36">
        <f>J80+1</f>
        <v>2</v>
      </c>
    </row>
    <row r="82" spans="1:13" x14ac:dyDescent="0.35">
      <c r="A82" s="36">
        <f>A81+1</f>
        <v>3</v>
      </c>
      <c r="B82" s="41" t="s">
        <v>471</v>
      </c>
      <c r="E82" s="364"/>
      <c r="F82" s="364"/>
      <c r="G82" s="124"/>
      <c r="H82" s="124"/>
      <c r="I82" s="48"/>
      <c r="J82" s="36">
        <f>J81+1</f>
        <v>3</v>
      </c>
    </row>
    <row r="83" spans="1:13" x14ac:dyDescent="0.35">
      <c r="A83" s="36">
        <f>A82+1</f>
        <v>4</v>
      </c>
      <c r="B83" s="364"/>
      <c r="C83" s="364"/>
      <c r="D83" s="364"/>
      <c r="E83" s="364"/>
      <c r="F83" s="364"/>
      <c r="G83" s="124"/>
      <c r="H83" s="124"/>
      <c r="I83" s="48"/>
      <c r="J83" s="36">
        <f>J82+1</f>
        <v>4</v>
      </c>
    </row>
    <row r="84" spans="1:13" x14ac:dyDescent="0.35">
      <c r="A84" s="36">
        <f t="shared" ref="A84:A110" si="2">A83+1</f>
        <v>5</v>
      </c>
      <c r="B84" s="43" t="s">
        <v>472</v>
      </c>
      <c r="C84" s="364"/>
      <c r="D84" s="364"/>
      <c r="E84" s="364"/>
      <c r="F84" s="364"/>
      <c r="G84" s="124"/>
      <c r="H84" s="124"/>
      <c r="I84" s="126"/>
      <c r="J84" s="36">
        <f t="shared" ref="J84:J110" si="3">J83+1</f>
        <v>5</v>
      </c>
    </row>
    <row r="85" spans="1:13" x14ac:dyDescent="0.35">
      <c r="A85" s="36">
        <f t="shared" si="2"/>
        <v>6</v>
      </c>
      <c r="B85" s="37" t="s">
        <v>473</v>
      </c>
      <c r="D85" s="364"/>
      <c r="E85" s="364"/>
      <c r="F85" s="364"/>
      <c r="G85" s="127">
        <f>G52</f>
        <v>5.9534869804339169E-2</v>
      </c>
      <c r="H85" s="364"/>
      <c r="I85" s="48" t="s">
        <v>474</v>
      </c>
      <c r="J85" s="36">
        <f t="shared" si="3"/>
        <v>6</v>
      </c>
      <c r="L85" s="36"/>
    </row>
    <row r="86" spans="1:13" x14ac:dyDescent="0.35">
      <c r="A86" s="36">
        <f t="shared" si="2"/>
        <v>7</v>
      </c>
      <c r="B86" s="37" t="s">
        <v>475</v>
      </c>
      <c r="D86" s="364"/>
      <c r="E86" s="364"/>
      <c r="F86" s="364"/>
      <c r="G86" s="761">
        <f>-'Pg12 Rev Stmt AR'!E21</f>
        <v>3401.5196755720262</v>
      </c>
      <c r="H86" s="25" t="s">
        <v>34</v>
      </c>
      <c r="I86" s="48" t="s">
        <v>476</v>
      </c>
      <c r="J86" s="36">
        <f t="shared" si="3"/>
        <v>7</v>
      </c>
      <c r="L86" s="36"/>
    </row>
    <row r="87" spans="1:13" ht="18" x14ac:dyDescent="0.35">
      <c r="A87" s="36">
        <f t="shared" si="2"/>
        <v>8</v>
      </c>
      <c r="B87" s="37" t="s">
        <v>477</v>
      </c>
      <c r="D87" s="364"/>
      <c r="E87" s="364"/>
      <c r="F87" s="364"/>
      <c r="G87" s="129">
        <v>8264.7629899999993</v>
      </c>
      <c r="H87" s="364"/>
      <c r="I87" s="122" t="s">
        <v>478</v>
      </c>
      <c r="J87" s="36">
        <f t="shared" si="3"/>
        <v>8</v>
      </c>
      <c r="L87" s="364"/>
    </row>
    <row r="88" spans="1:13" x14ac:dyDescent="0.35">
      <c r="A88" s="36">
        <f t="shared" si="2"/>
        <v>9</v>
      </c>
      <c r="B88" s="37" t="s">
        <v>479</v>
      </c>
      <c r="D88" s="364"/>
      <c r="E88" s="130"/>
      <c r="F88" s="364"/>
      <c r="G88" s="131">
        <f>'Pg15 Rev AV-4'!C36</f>
        <v>4556080.4008445432</v>
      </c>
      <c r="H88" s="25" t="s">
        <v>34</v>
      </c>
      <c r="I88" s="122" t="s">
        <v>480</v>
      </c>
      <c r="J88" s="36">
        <f t="shared" si="3"/>
        <v>9</v>
      </c>
    </row>
    <row r="89" spans="1:13" x14ac:dyDescent="0.35">
      <c r="A89" s="36">
        <f t="shared" si="2"/>
        <v>10</v>
      </c>
      <c r="B89" s="37" t="s">
        <v>481</v>
      </c>
      <c r="D89" s="132"/>
      <c r="E89" s="364"/>
      <c r="F89" s="364"/>
      <c r="G89" s="354">
        <v>0.21</v>
      </c>
      <c r="H89" s="364"/>
      <c r="I89" s="48" t="s">
        <v>482</v>
      </c>
      <c r="J89" s="36">
        <f t="shared" si="3"/>
        <v>10</v>
      </c>
      <c r="M89" s="133"/>
    </row>
    <row r="90" spans="1:13" x14ac:dyDescent="0.35">
      <c r="A90" s="36">
        <f t="shared" si="2"/>
        <v>11</v>
      </c>
      <c r="G90" s="36"/>
      <c r="H90" s="36"/>
      <c r="J90" s="36">
        <f t="shared" si="3"/>
        <v>11</v>
      </c>
    </row>
    <row r="91" spans="1:13" x14ac:dyDescent="0.35">
      <c r="A91" s="36">
        <f t="shared" si="2"/>
        <v>12</v>
      </c>
      <c r="B91" s="37" t="s">
        <v>483</v>
      </c>
      <c r="D91" s="364"/>
      <c r="E91" s="364"/>
      <c r="F91" s="364"/>
      <c r="G91" s="762">
        <f>(((G85)+(G87/G88))*G89-(G86/G88))/(1-G89)</f>
        <v>1.5362879937068941E-2</v>
      </c>
      <c r="H91" s="25" t="s">
        <v>34</v>
      </c>
      <c r="I91" s="48" t="s">
        <v>484</v>
      </c>
      <c r="J91" s="36">
        <f t="shared" si="3"/>
        <v>12</v>
      </c>
      <c r="M91" s="135"/>
    </row>
    <row r="92" spans="1:13" x14ac:dyDescent="0.35">
      <c r="A92" s="36">
        <f t="shared" si="2"/>
        <v>13</v>
      </c>
      <c r="B92" s="136" t="s">
        <v>485</v>
      </c>
      <c r="G92" s="36"/>
      <c r="H92" s="36"/>
      <c r="J92" s="36">
        <f t="shared" si="3"/>
        <v>13</v>
      </c>
    </row>
    <row r="93" spans="1:13" x14ac:dyDescent="0.35">
      <c r="A93" s="36">
        <f t="shared" si="2"/>
        <v>14</v>
      </c>
      <c r="G93" s="36"/>
      <c r="H93" s="36"/>
      <c r="J93" s="36">
        <f t="shared" si="3"/>
        <v>14</v>
      </c>
    </row>
    <row r="94" spans="1:13" x14ac:dyDescent="0.35">
      <c r="A94" s="36">
        <f t="shared" si="2"/>
        <v>15</v>
      </c>
      <c r="B94" s="41" t="s">
        <v>486</v>
      </c>
      <c r="C94" s="364"/>
      <c r="D94" s="364"/>
      <c r="E94" s="364"/>
      <c r="F94" s="364"/>
      <c r="G94" s="137"/>
      <c r="H94" s="137"/>
      <c r="I94" s="138"/>
      <c r="J94" s="36">
        <f t="shared" si="3"/>
        <v>15</v>
      </c>
      <c r="L94" s="139"/>
    </row>
    <row r="95" spans="1:13" x14ac:dyDescent="0.35">
      <c r="A95" s="36">
        <f t="shared" si="2"/>
        <v>16</v>
      </c>
      <c r="B95" s="53"/>
      <c r="C95" s="364"/>
      <c r="D95" s="364"/>
      <c r="E95" s="364"/>
      <c r="F95" s="364"/>
      <c r="G95" s="137"/>
      <c r="H95" s="137"/>
      <c r="I95" s="140"/>
      <c r="J95" s="36">
        <f t="shared" si="3"/>
        <v>16</v>
      </c>
      <c r="L95" s="364"/>
    </row>
    <row r="96" spans="1:13" x14ac:dyDescent="0.35">
      <c r="A96" s="36">
        <f t="shared" si="2"/>
        <v>17</v>
      </c>
      <c r="B96" s="43" t="s">
        <v>472</v>
      </c>
      <c r="C96" s="364"/>
      <c r="D96" s="364"/>
      <c r="E96" s="364"/>
      <c r="F96" s="364"/>
      <c r="G96" s="137"/>
      <c r="H96" s="137"/>
      <c r="I96" s="140"/>
      <c r="J96" s="36">
        <f t="shared" si="3"/>
        <v>17</v>
      </c>
      <c r="L96" s="364"/>
    </row>
    <row r="97" spans="1:13" x14ac:dyDescent="0.35">
      <c r="A97" s="36">
        <f t="shared" si="2"/>
        <v>18</v>
      </c>
      <c r="B97" s="37" t="s">
        <v>473</v>
      </c>
      <c r="D97" s="364"/>
      <c r="E97" s="364"/>
      <c r="F97" s="364"/>
      <c r="G97" s="113">
        <f>G85</f>
        <v>5.9534869804339169E-2</v>
      </c>
      <c r="H97" s="113"/>
      <c r="I97" s="48" t="str">
        <f>"Line "&amp;A85&amp;" Above"</f>
        <v>Line 6 Above</v>
      </c>
      <c r="J97" s="36">
        <f t="shared" si="3"/>
        <v>18</v>
      </c>
      <c r="L97" s="36"/>
    </row>
    <row r="98" spans="1:13" x14ac:dyDescent="0.35">
      <c r="A98" s="36">
        <f t="shared" si="2"/>
        <v>19</v>
      </c>
      <c r="B98" s="37" t="s">
        <v>487</v>
      </c>
      <c r="D98" s="364"/>
      <c r="E98" s="364"/>
      <c r="F98" s="364"/>
      <c r="G98" s="141">
        <f>G87</f>
        <v>8264.7629899999993</v>
      </c>
      <c r="H98" s="141"/>
      <c r="I98" s="48" t="str">
        <f>"Line "&amp;A87&amp;" Above"</f>
        <v>Line 8 Above</v>
      </c>
      <c r="J98" s="36">
        <f t="shared" si="3"/>
        <v>19</v>
      </c>
      <c r="L98" s="36"/>
    </row>
    <row r="99" spans="1:13" x14ac:dyDescent="0.35">
      <c r="A99" s="36">
        <f t="shared" si="2"/>
        <v>20</v>
      </c>
      <c r="B99" s="37" t="s">
        <v>488</v>
      </c>
      <c r="D99" s="364"/>
      <c r="E99" s="364"/>
      <c r="F99" s="364"/>
      <c r="G99" s="142">
        <f>G88</f>
        <v>4556080.4008445432</v>
      </c>
      <c r="H99" s="25" t="s">
        <v>34</v>
      </c>
      <c r="I99" s="48" t="str">
        <f>"Line "&amp;A88&amp;" Above"</f>
        <v>Line 9 Above</v>
      </c>
      <c r="J99" s="36">
        <f t="shared" si="3"/>
        <v>20</v>
      </c>
      <c r="L99" s="36"/>
    </row>
    <row r="100" spans="1:13" x14ac:dyDescent="0.35">
      <c r="A100" s="36">
        <f t="shared" si="2"/>
        <v>21</v>
      </c>
      <c r="B100" s="37" t="s">
        <v>489</v>
      </c>
      <c r="D100" s="364"/>
      <c r="E100" s="364"/>
      <c r="F100" s="364"/>
      <c r="G100" s="763">
        <f>G91</f>
        <v>1.5362879937068941E-2</v>
      </c>
      <c r="H100" s="25" t="s">
        <v>34</v>
      </c>
      <c r="I100" s="48" t="str">
        <f>"Line "&amp;A91&amp;" Above"</f>
        <v>Line 12 Above</v>
      </c>
      <c r="J100" s="36">
        <f t="shared" si="3"/>
        <v>21</v>
      </c>
    </row>
    <row r="101" spans="1:13" x14ac:dyDescent="0.35">
      <c r="A101" s="36">
        <f t="shared" si="2"/>
        <v>22</v>
      </c>
      <c r="B101" s="37" t="s">
        <v>490</v>
      </c>
      <c r="D101" s="364"/>
      <c r="E101" s="364"/>
      <c r="F101" s="364"/>
      <c r="G101" s="380">
        <v>8.8400000000000006E-2</v>
      </c>
      <c r="H101" s="364"/>
      <c r="I101" s="48" t="s">
        <v>491</v>
      </c>
      <c r="J101" s="36">
        <f t="shared" si="3"/>
        <v>22</v>
      </c>
    </row>
    <row r="102" spans="1:13" x14ac:dyDescent="0.35">
      <c r="A102" s="36">
        <f t="shared" si="2"/>
        <v>23</v>
      </c>
      <c r="B102" s="601"/>
      <c r="D102" s="364"/>
      <c r="E102" s="364"/>
      <c r="F102" s="364"/>
      <c r="G102" s="144"/>
      <c r="H102" s="144"/>
      <c r="I102" s="140"/>
      <c r="J102" s="36">
        <f t="shared" si="3"/>
        <v>23</v>
      </c>
    </row>
    <row r="103" spans="1:13" x14ac:dyDescent="0.35">
      <c r="A103" s="36">
        <f t="shared" si="2"/>
        <v>24</v>
      </c>
      <c r="B103" s="37" t="s">
        <v>492</v>
      </c>
      <c r="C103" s="36"/>
      <c r="D103" s="36"/>
      <c r="E103" s="364"/>
      <c r="F103" s="364"/>
      <c r="G103" s="764">
        <f>((G97)+(G98/G99)+G91)*G101/(1-G101)</f>
        <v>7.4389198334792695E-3</v>
      </c>
      <c r="H103" s="25" t="s">
        <v>34</v>
      </c>
      <c r="I103" s="48" t="s">
        <v>493</v>
      </c>
      <c r="J103" s="36">
        <f t="shared" si="3"/>
        <v>24</v>
      </c>
    </row>
    <row r="104" spans="1:13" x14ac:dyDescent="0.35">
      <c r="A104" s="36">
        <f t="shared" si="2"/>
        <v>25</v>
      </c>
      <c r="B104" s="136" t="s">
        <v>494</v>
      </c>
      <c r="G104" s="36"/>
      <c r="H104" s="36"/>
      <c r="I104" s="48"/>
      <c r="J104" s="36">
        <f t="shared" si="3"/>
        <v>25</v>
      </c>
      <c r="L104" s="36"/>
    </row>
    <row r="105" spans="1:13" x14ac:dyDescent="0.35">
      <c r="A105" s="36">
        <f t="shared" si="2"/>
        <v>26</v>
      </c>
      <c r="G105" s="36"/>
      <c r="H105" s="36"/>
      <c r="I105" s="48"/>
      <c r="J105" s="36">
        <f t="shared" si="3"/>
        <v>26</v>
      </c>
      <c r="L105" s="36"/>
    </row>
    <row r="106" spans="1:13" x14ac:dyDescent="0.35">
      <c r="A106" s="36">
        <f t="shared" si="2"/>
        <v>27</v>
      </c>
      <c r="B106" s="41" t="s">
        <v>495</v>
      </c>
      <c r="G106" s="762">
        <f>G103+G91</f>
        <v>2.280179977054821E-2</v>
      </c>
      <c r="H106" s="25" t="s">
        <v>34</v>
      </c>
      <c r="I106" s="48" t="str">
        <f>"Line "&amp;A91&amp;" + Line "&amp;A103</f>
        <v>Line 12 + Line 24</v>
      </c>
      <c r="J106" s="36">
        <f t="shared" si="3"/>
        <v>27</v>
      </c>
      <c r="L106" s="36"/>
    </row>
    <row r="107" spans="1:13" x14ac:dyDescent="0.35">
      <c r="A107" s="36">
        <f t="shared" si="2"/>
        <v>28</v>
      </c>
      <c r="G107" s="36"/>
      <c r="H107" s="36"/>
      <c r="I107" s="48"/>
      <c r="J107" s="36">
        <f t="shared" si="3"/>
        <v>28</v>
      </c>
      <c r="L107" s="36"/>
    </row>
    <row r="108" spans="1:13" x14ac:dyDescent="0.35">
      <c r="A108" s="36">
        <f t="shared" si="2"/>
        <v>29</v>
      </c>
      <c r="B108" s="41" t="s">
        <v>496</v>
      </c>
      <c r="G108" s="356">
        <f>G50</f>
        <v>7.6903381456357389E-2</v>
      </c>
      <c r="H108" s="364"/>
      <c r="I108" s="48" t="str">
        <f>"AV1; Line "&amp;A50</f>
        <v>AV1; Line 40</v>
      </c>
      <c r="J108" s="36">
        <f t="shared" si="3"/>
        <v>29</v>
      </c>
      <c r="L108" s="36"/>
    </row>
    <row r="109" spans="1:13" x14ac:dyDescent="0.35">
      <c r="A109" s="36">
        <f t="shared" si="2"/>
        <v>30</v>
      </c>
      <c r="G109" s="113"/>
      <c r="H109" s="113"/>
      <c r="I109" s="48"/>
      <c r="J109" s="36">
        <f t="shared" si="3"/>
        <v>30</v>
      </c>
      <c r="L109" s="36"/>
    </row>
    <row r="110" spans="1:13" ht="18" thickBot="1" x14ac:dyDescent="0.4">
      <c r="A110" s="36">
        <f t="shared" si="2"/>
        <v>31</v>
      </c>
      <c r="B110" s="41" t="s">
        <v>497</v>
      </c>
      <c r="G110" s="765">
        <f>G106+G108</f>
        <v>9.9705181226905595E-2</v>
      </c>
      <c r="H110" s="25" t="s">
        <v>34</v>
      </c>
      <c r="I110" s="48" t="str">
        <f>"Line "&amp;A106&amp;" + Line "&amp;A108</f>
        <v>Line 27 + Line 29</v>
      </c>
      <c r="J110" s="36">
        <f t="shared" si="3"/>
        <v>31</v>
      </c>
      <c r="L110" s="147"/>
      <c r="M110" s="135"/>
    </row>
    <row r="111" spans="1:13" ht="16" thickTop="1" x14ac:dyDescent="0.35">
      <c r="B111" s="41"/>
      <c r="G111" s="145"/>
      <c r="H111" s="145"/>
      <c r="I111" s="48"/>
      <c r="J111" s="36"/>
      <c r="L111" s="147"/>
      <c r="M111" s="135"/>
    </row>
    <row r="112" spans="1:13" x14ac:dyDescent="0.35">
      <c r="B112" s="41"/>
      <c r="G112" s="149"/>
      <c r="H112" s="149"/>
      <c r="I112" s="48"/>
      <c r="J112" s="36"/>
      <c r="L112" s="147"/>
      <c r="M112" s="135"/>
    </row>
    <row r="113" spans="1:13" x14ac:dyDescent="0.35">
      <c r="A113" s="25" t="s">
        <v>34</v>
      </c>
      <c r="B113" s="23" t="str">
        <f>'Pg2 Appendix X C10 Comparison'!B56</f>
        <v xml:space="preserve">Items in BOLD have changed due to A&amp;G adjustments and removal of CIAC related ADIT per SDG&amp;E's TO5 Cycle 4 Letter Order determination in ER22-527 as compared </v>
      </c>
      <c r="G113" s="149"/>
      <c r="H113" s="149"/>
      <c r="I113" s="48"/>
      <c r="J113" s="36"/>
      <c r="L113" s="147"/>
      <c r="M113" s="135"/>
    </row>
    <row r="114" spans="1:13" x14ac:dyDescent="0.35">
      <c r="A114" s="25"/>
      <c r="B114" s="23" t="str">
        <f>'Pg2 Appendix X C10 Comparison'!B57</f>
        <v>to the original Sunrise Appendix X Cycle 10 filing per ER22-139.</v>
      </c>
      <c r="G114" s="149"/>
      <c r="H114" s="149"/>
      <c r="I114" s="48"/>
      <c r="J114" s="36"/>
      <c r="L114" s="147"/>
      <c r="M114" s="135"/>
    </row>
    <row r="115" spans="1:13" ht="18.5" x14ac:dyDescent="0.35">
      <c r="A115" s="357">
        <v>1</v>
      </c>
      <c r="B115" s="18" t="s">
        <v>498</v>
      </c>
      <c r="G115" s="149"/>
      <c r="H115" s="149"/>
      <c r="I115" s="48"/>
      <c r="J115" s="36"/>
      <c r="L115" s="147"/>
      <c r="M115" s="135"/>
    </row>
    <row r="116" spans="1:13" ht="18.5" x14ac:dyDescent="0.35">
      <c r="A116" s="357"/>
      <c r="B116" s="18"/>
      <c r="G116" s="149"/>
      <c r="H116" s="149"/>
      <c r="I116" s="48"/>
      <c r="J116" s="36"/>
      <c r="L116" s="147"/>
      <c r="M116" s="135"/>
    </row>
    <row r="117" spans="1:13" x14ac:dyDescent="0.35">
      <c r="A117" s="150"/>
      <c r="B117" s="601"/>
      <c r="C117" s="38"/>
      <c r="D117" s="38"/>
      <c r="E117" s="38"/>
      <c r="F117" s="38"/>
      <c r="G117" s="151"/>
      <c r="H117" s="151"/>
      <c r="I117" s="358"/>
      <c r="J117" s="36"/>
    </row>
    <row r="118" spans="1:13" x14ac:dyDescent="0.35">
      <c r="B118" s="863" t="s">
        <v>20</v>
      </c>
      <c r="C118" s="863"/>
      <c r="D118" s="863"/>
      <c r="E118" s="863"/>
      <c r="F118" s="863"/>
      <c r="G118" s="863"/>
      <c r="H118" s="863"/>
      <c r="I118" s="863"/>
    </row>
    <row r="119" spans="1:13" x14ac:dyDescent="0.35">
      <c r="B119" s="863" t="s">
        <v>407</v>
      </c>
      <c r="C119" s="863"/>
      <c r="D119" s="863"/>
      <c r="E119" s="863"/>
      <c r="F119" s="863"/>
      <c r="G119" s="863"/>
      <c r="H119" s="863"/>
      <c r="I119" s="863"/>
    </row>
    <row r="120" spans="1:13" x14ac:dyDescent="0.35">
      <c r="B120" s="863" t="s">
        <v>408</v>
      </c>
      <c r="C120" s="863"/>
      <c r="D120" s="863"/>
      <c r="E120" s="863"/>
      <c r="F120" s="863"/>
      <c r="G120" s="863"/>
      <c r="H120" s="863"/>
      <c r="I120" s="863"/>
    </row>
    <row r="121" spans="1:13" x14ac:dyDescent="0.35">
      <c r="B121" s="866" t="str">
        <f>B5</f>
        <v>Base Period &amp; True-Up Period 12 - Months Ending December 31, 2020</v>
      </c>
      <c r="C121" s="866"/>
      <c r="D121" s="866"/>
      <c r="E121" s="866"/>
      <c r="F121" s="866"/>
      <c r="G121" s="866"/>
      <c r="H121" s="866"/>
      <c r="I121" s="866"/>
    </row>
    <row r="122" spans="1:13" x14ac:dyDescent="0.35">
      <c r="B122" s="865" t="s">
        <v>4</v>
      </c>
      <c r="C122" s="867"/>
      <c r="D122" s="867"/>
      <c r="E122" s="867"/>
      <c r="F122" s="867"/>
      <c r="G122" s="867"/>
      <c r="H122" s="867"/>
      <c r="I122" s="867"/>
    </row>
    <row r="124" spans="1:13" x14ac:dyDescent="0.35">
      <c r="A124" s="36" t="s">
        <v>5</v>
      </c>
      <c r="B124" s="364"/>
      <c r="C124" s="364"/>
      <c r="D124" s="364"/>
      <c r="E124" s="364"/>
      <c r="F124" s="364"/>
      <c r="G124" s="364"/>
      <c r="H124" s="364"/>
      <c r="I124" s="48"/>
      <c r="J124" s="36" t="s">
        <v>5</v>
      </c>
    </row>
    <row r="125" spans="1:13" x14ac:dyDescent="0.35">
      <c r="A125" s="36" t="s">
        <v>6</v>
      </c>
      <c r="B125" s="36"/>
      <c r="C125" s="36"/>
      <c r="D125" s="36"/>
      <c r="E125" s="36"/>
      <c r="F125" s="36"/>
      <c r="G125" s="307" t="s">
        <v>8</v>
      </c>
      <c r="H125" s="364"/>
      <c r="I125" s="342" t="s">
        <v>9</v>
      </c>
      <c r="J125" s="36" t="s">
        <v>6</v>
      </c>
    </row>
    <row r="127" spans="1:13" ht="17.5" x14ac:dyDescent="0.35">
      <c r="A127" s="36">
        <v>1</v>
      </c>
      <c r="B127" s="41" t="s">
        <v>499</v>
      </c>
      <c r="J127" s="36">
        <v>1</v>
      </c>
    </row>
    <row r="128" spans="1:13" x14ac:dyDescent="0.35">
      <c r="A128" s="36">
        <f>A127+1</f>
        <v>2</v>
      </c>
      <c r="B128" s="125"/>
      <c r="J128" s="36">
        <f>J127+1</f>
        <v>2</v>
      </c>
    </row>
    <row r="129" spans="1:10" x14ac:dyDescent="0.35">
      <c r="A129" s="36">
        <f>A128+1</f>
        <v>3</v>
      </c>
      <c r="B129" s="41" t="s">
        <v>471</v>
      </c>
      <c r="J129" s="36">
        <f>J128+1</f>
        <v>3</v>
      </c>
    </row>
    <row r="130" spans="1:10" x14ac:dyDescent="0.35">
      <c r="A130" s="36">
        <f>A129+1</f>
        <v>4</v>
      </c>
      <c r="B130" s="364"/>
      <c r="J130" s="36">
        <f>J129+1</f>
        <v>4</v>
      </c>
    </row>
    <row r="131" spans="1:10" x14ac:dyDescent="0.35">
      <c r="A131" s="36">
        <f t="shared" ref="A131:A157" si="4">A130+1</f>
        <v>5</v>
      </c>
      <c r="B131" s="43" t="s">
        <v>472</v>
      </c>
      <c r="J131" s="36">
        <f t="shared" ref="J131:J157" si="5">J130+1</f>
        <v>5</v>
      </c>
    </row>
    <row r="132" spans="1:10" x14ac:dyDescent="0.35">
      <c r="A132" s="36">
        <f t="shared" si="4"/>
        <v>6</v>
      </c>
      <c r="B132" s="37" t="str">
        <f>B85</f>
        <v xml:space="preserve">     A = Sum of Preferred Stock and Return on Equity Component</v>
      </c>
      <c r="G132" s="127">
        <f>G65</f>
        <v>0</v>
      </c>
      <c r="I132" s="48" t="str">
        <f>"AV1; Line "&amp;A65</f>
        <v>AV1; Line 55</v>
      </c>
      <c r="J132" s="36">
        <f t="shared" si="5"/>
        <v>6</v>
      </c>
    </row>
    <row r="133" spans="1:10" x14ac:dyDescent="0.35">
      <c r="A133" s="36">
        <f t="shared" si="4"/>
        <v>7</v>
      </c>
      <c r="B133" s="37" t="str">
        <f>B86</f>
        <v xml:space="preserve">     B = Transmission Total Federal Tax Adjustments</v>
      </c>
      <c r="G133" s="148">
        <v>0</v>
      </c>
      <c r="I133" s="122" t="s">
        <v>270</v>
      </c>
      <c r="J133" s="36">
        <f t="shared" si="5"/>
        <v>7</v>
      </c>
    </row>
    <row r="134" spans="1:10" x14ac:dyDescent="0.35">
      <c r="A134" s="36">
        <f t="shared" si="4"/>
        <v>8</v>
      </c>
      <c r="B134" s="37" t="s">
        <v>500</v>
      </c>
      <c r="G134" s="359">
        <v>0</v>
      </c>
      <c r="I134" s="122" t="s">
        <v>270</v>
      </c>
      <c r="J134" s="36">
        <f t="shared" si="5"/>
        <v>8</v>
      </c>
    </row>
    <row r="135" spans="1:10" x14ac:dyDescent="0.35">
      <c r="A135" s="36">
        <f t="shared" si="4"/>
        <v>9</v>
      </c>
      <c r="B135" s="37" t="s">
        <v>501</v>
      </c>
      <c r="G135" s="359">
        <v>0</v>
      </c>
      <c r="I135" s="122" t="s">
        <v>270</v>
      </c>
      <c r="J135" s="36">
        <f t="shared" si="5"/>
        <v>9</v>
      </c>
    </row>
    <row r="136" spans="1:10" x14ac:dyDescent="0.35">
      <c r="A136" s="36">
        <f t="shared" si="4"/>
        <v>10</v>
      </c>
      <c r="B136" s="37" t="str">
        <f>B89</f>
        <v xml:space="preserve">     FT = Federal Income Tax Rate for Rate Effective Period</v>
      </c>
      <c r="G136" s="360">
        <f>G89</f>
        <v>0.21</v>
      </c>
      <c r="I136" s="48" t="str">
        <f>"AV2; Line "&amp;A89</f>
        <v>AV2; Line 10</v>
      </c>
      <c r="J136" s="36">
        <f t="shared" si="5"/>
        <v>10</v>
      </c>
    </row>
    <row r="137" spans="1:10" x14ac:dyDescent="0.35">
      <c r="A137" s="36">
        <f t="shared" si="4"/>
        <v>11</v>
      </c>
      <c r="G137" s="36"/>
      <c r="J137" s="36">
        <f t="shared" si="5"/>
        <v>11</v>
      </c>
    </row>
    <row r="138" spans="1:10" x14ac:dyDescent="0.35">
      <c r="A138" s="36">
        <f t="shared" si="4"/>
        <v>12</v>
      </c>
      <c r="B138" s="37" t="s">
        <v>502</v>
      </c>
      <c r="G138" s="134">
        <f>IFERROR((((G132)+(G134/G135))*G136-(G133/G135))/(1-G136),0)</f>
        <v>0</v>
      </c>
      <c r="I138" s="48" t="s">
        <v>503</v>
      </c>
      <c r="J138" s="36">
        <f t="shared" si="5"/>
        <v>12</v>
      </c>
    </row>
    <row r="139" spans="1:10" x14ac:dyDescent="0.35">
      <c r="A139" s="36">
        <f t="shared" si="4"/>
        <v>13</v>
      </c>
      <c r="B139" s="136" t="s">
        <v>485</v>
      </c>
      <c r="G139" s="121"/>
      <c r="J139" s="36">
        <f t="shared" si="5"/>
        <v>13</v>
      </c>
    </row>
    <row r="140" spans="1:10" x14ac:dyDescent="0.35">
      <c r="A140" s="36">
        <f t="shared" si="4"/>
        <v>14</v>
      </c>
      <c r="G140" s="36"/>
      <c r="J140" s="36">
        <f t="shared" si="5"/>
        <v>14</v>
      </c>
    </row>
    <row r="141" spans="1:10" x14ac:dyDescent="0.35">
      <c r="A141" s="36">
        <f t="shared" si="4"/>
        <v>15</v>
      </c>
      <c r="B141" s="41" t="s">
        <v>486</v>
      </c>
      <c r="G141" s="137"/>
      <c r="I141" s="138"/>
      <c r="J141" s="36">
        <f t="shared" si="5"/>
        <v>15</v>
      </c>
    </row>
    <row r="142" spans="1:10" x14ac:dyDescent="0.35">
      <c r="A142" s="36">
        <f t="shared" si="4"/>
        <v>16</v>
      </c>
      <c r="B142" s="53"/>
      <c r="G142" s="137"/>
      <c r="I142" s="126"/>
      <c r="J142" s="36">
        <f t="shared" si="5"/>
        <v>16</v>
      </c>
    </row>
    <row r="143" spans="1:10" x14ac:dyDescent="0.35">
      <c r="A143" s="36">
        <f t="shared" si="4"/>
        <v>17</v>
      </c>
      <c r="B143" s="43" t="s">
        <v>472</v>
      </c>
      <c r="G143" s="137"/>
      <c r="I143" s="126"/>
      <c r="J143" s="36">
        <f t="shared" si="5"/>
        <v>17</v>
      </c>
    </row>
    <row r="144" spans="1:10" x14ac:dyDescent="0.35">
      <c r="A144" s="36">
        <f t="shared" si="4"/>
        <v>18</v>
      </c>
      <c r="B144" s="37" t="str">
        <f>B97</f>
        <v xml:space="preserve">     A = Sum of Preferred Stock and Return on Equity Component</v>
      </c>
      <c r="G144" s="113">
        <f>G132</f>
        <v>0</v>
      </c>
      <c r="I144" s="48" t="str">
        <f>"Line "&amp;A132&amp;" Above"</f>
        <v>Line 6 Above</v>
      </c>
      <c r="J144" s="36">
        <f t="shared" si="5"/>
        <v>18</v>
      </c>
    </row>
    <row r="145" spans="1:10" x14ac:dyDescent="0.35">
      <c r="A145" s="36">
        <f t="shared" si="4"/>
        <v>19</v>
      </c>
      <c r="B145" s="37" t="str">
        <f>B98</f>
        <v xml:space="preserve">     B = Equity AFUDC Component of Transmission Depreciation Expense</v>
      </c>
      <c r="G145" s="141">
        <f>G134</f>
        <v>0</v>
      </c>
      <c r="I145" s="48" t="str">
        <f>"Line "&amp;A134&amp;" Above"</f>
        <v>Line 8 Above</v>
      </c>
      <c r="J145" s="36">
        <f t="shared" si="5"/>
        <v>19</v>
      </c>
    </row>
    <row r="146" spans="1:10" x14ac:dyDescent="0.35">
      <c r="A146" s="36">
        <f t="shared" si="4"/>
        <v>20</v>
      </c>
      <c r="B146" s="37" t="s">
        <v>504</v>
      </c>
      <c r="G146" s="141">
        <f>G135</f>
        <v>0</v>
      </c>
      <c r="I146" s="48" t="str">
        <f>"Line "&amp;A135&amp;" Above"</f>
        <v>Line 9 Above</v>
      </c>
      <c r="J146" s="36">
        <f t="shared" si="5"/>
        <v>20</v>
      </c>
    </row>
    <row r="147" spans="1:10" x14ac:dyDescent="0.35">
      <c r="A147" s="36">
        <f t="shared" si="4"/>
        <v>21</v>
      </c>
      <c r="B147" s="37" t="str">
        <f>B100</f>
        <v xml:space="preserve">     FT = Federal Income Tax Expense</v>
      </c>
      <c r="G147" s="143">
        <f>G138</f>
        <v>0</v>
      </c>
      <c r="I147" s="48" t="str">
        <f>"Line "&amp;A138&amp;" Above"</f>
        <v>Line 12 Above</v>
      </c>
      <c r="J147" s="36">
        <f t="shared" si="5"/>
        <v>21</v>
      </c>
    </row>
    <row r="148" spans="1:10" x14ac:dyDescent="0.35">
      <c r="A148" s="36">
        <f t="shared" si="4"/>
        <v>22</v>
      </c>
      <c r="B148" s="37" t="str">
        <f>B101</f>
        <v xml:space="preserve">     ST = State Income Tax Rate for Rate Effective Period</v>
      </c>
      <c r="G148" s="361">
        <f>G101</f>
        <v>8.8400000000000006E-2</v>
      </c>
      <c r="I148" s="48" t="str">
        <f>"AV2; Line "&amp;A101</f>
        <v>AV2; Line 22</v>
      </c>
      <c r="J148" s="36">
        <f t="shared" si="5"/>
        <v>22</v>
      </c>
    </row>
    <row r="149" spans="1:10" x14ac:dyDescent="0.35">
      <c r="A149" s="36">
        <f t="shared" si="4"/>
        <v>23</v>
      </c>
      <c r="B149" s="601"/>
      <c r="G149" s="144"/>
      <c r="I149" s="140"/>
      <c r="J149" s="36">
        <f t="shared" si="5"/>
        <v>23</v>
      </c>
    </row>
    <row r="150" spans="1:10" x14ac:dyDescent="0.35">
      <c r="A150" s="36">
        <f t="shared" si="4"/>
        <v>24</v>
      </c>
      <c r="B150" s="37" t="s">
        <v>492</v>
      </c>
      <c r="G150" s="355">
        <f>IFERROR(((G144)+(G145/G146)+G138)*G148/(1-G148),0)</f>
        <v>0</v>
      </c>
      <c r="I150" s="48" t="s">
        <v>493</v>
      </c>
      <c r="J150" s="36">
        <f t="shared" si="5"/>
        <v>24</v>
      </c>
    </row>
    <row r="151" spans="1:10" x14ac:dyDescent="0.35">
      <c r="A151" s="36">
        <f t="shared" si="4"/>
        <v>25</v>
      </c>
      <c r="B151" s="136" t="s">
        <v>494</v>
      </c>
      <c r="G151" s="36"/>
      <c r="I151" s="48"/>
      <c r="J151" s="36">
        <f t="shared" si="5"/>
        <v>25</v>
      </c>
    </row>
    <row r="152" spans="1:10" x14ac:dyDescent="0.35">
      <c r="A152" s="36">
        <f t="shared" si="4"/>
        <v>26</v>
      </c>
      <c r="G152" s="36"/>
      <c r="I152" s="48"/>
      <c r="J152" s="36">
        <f t="shared" si="5"/>
        <v>26</v>
      </c>
    </row>
    <row r="153" spans="1:10" x14ac:dyDescent="0.35">
      <c r="A153" s="36">
        <f t="shared" si="4"/>
        <v>27</v>
      </c>
      <c r="B153" s="41" t="s">
        <v>495</v>
      </c>
      <c r="G153" s="134">
        <f>G150+G138</f>
        <v>0</v>
      </c>
      <c r="I153" s="48" t="str">
        <f>"Line "&amp;A138&amp;" + Line "&amp;A150</f>
        <v>Line 12 + Line 24</v>
      </c>
      <c r="J153" s="36">
        <f t="shared" si="5"/>
        <v>27</v>
      </c>
    </row>
    <row r="154" spans="1:10" x14ac:dyDescent="0.35">
      <c r="A154" s="36">
        <f t="shared" si="4"/>
        <v>28</v>
      </c>
      <c r="G154" s="36"/>
      <c r="I154" s="48"/>
      <c r="J154" s="36">
        <f t="shared" si="5"/>
        <v>28</v>
      </c>
    </row>
    <row r="155" spans="1:10" x14ac:dyDescent="0.35">
      <c r="A155" s="36">
        <f t="shared" si="4"/>
        <v>29</v>
      </c>
      <c r="B155" s="41" t="s">
        <v>505</v>
      </c>
      <c r="G155" s="362">
        <f>G63</f>
        <v>0</v>
      </c>
      <c r="I155" s="48" t="str">
        <f>"AV1; Line "&amp;A63</f>
        <v>AV1; Line 53</v>
      </c>
      <c r="J155" s="36">
        <f t="shared" si="5"/>
        <v>29</v>
      </c>
    </row>
    <row r="156" spans="1:10" x14ac:dyDescent="0.35">
      <c r="A156" s="36">
        <f t="shared" si="4"/>
        <v>30</v>
      </c>
      <c r="G156" s="36"/>
      <c r="I156" s="48"/>
      <c r="J156" s="36">
        <f t="shared" si="5"/>
        <v>30</v>
      </c>
    </row>
    <row r="157" spans="1:10" ht="18" thickBot="1" x14ac:dyDescent="0.4">
      <c r="A157" s="36">
        <f t="shared" si="4"/>
        <v>31</v>
      </c>
      <c r="B157" s="41" t="s">
        <v>506</v>
      </c>
      <c r="G157" s="152">
        <f>G153+G155</f>
        <v>0</v>
      </c>
      <c r="I157" s="48" t="str">
        <f>"Line "&amp;A153&amp;" + Line "&amp;A155</f>
        <v>Line 27 + Line 29</v>
      </c>
      <c r="J157" s="36">
        <f t="shared" si="5"/>
        <v>31</v>
      </c>
    </row>
    <row r="158" spans="1:10" ht="16" thickTop="1" x14ac:dyDescent="0.35"/>
    <row r="160" spans="1:10" ht="18" x14ac:dyDescent="0.35">
      <c r="A160" s="67"/>
      <c r="B160" s="18"/>
    </row>
  </sheetData>
  <mergeCells count="15">
    <mergeCell ref="B122:I122"/>
    <mergeCell ref="B74:I74"/>
    <mergeCell ref="B121:I121"/>
    <mergeCell ref="B2:I2"/>
    <mergeCell ref="B3:I3"/>
    <mergeCell ref="B4:I4"/>
    <mergeCell ref="B5:I5"/>
    <mergeCell ref="B6:I6"/>
    <mergeCell ref="B118:I118"/>
    <mergeCell ref="B119:I119"/>
    <mergeCell ref="B120:I120"/>
    <mergeCell ref="B71:I71"/>
    <mergeCell ref="B72:I72"/>
    <mergeCell ref="B73:I73"/>
    <mergeCell ref="B75:I75"/>
  </mergeCells>
  <printOptions horizontalCentered="1"/>
  <pageMargins left="0.25" right="0.25" top="0.5" bottom="0.5" header="0.35" footer="0.25"/>
  <pageSetup scale="52" orientation="portrait" r:id="rId1"/>
  <headerFooter scaleWithDoc="0" alignWithMargins="0">
    <oddHeader>&amp;C&amp;"Times New Roman,Bold"&amp;9REVISED</oddHeader>
    <oddFooter>&amp;CPage 13.&amp;P&amp;R&amp;F</oddFooter>
  </headerFooter>
  <rowBreaks count="2" manualBreakCount="2">
    <brk id="69" max="16383" man="1"/>
    <brk id="116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1A44-F0F2-4286-A8FD-31C5C49142C5}">
  <dimension ref="A1:M159"/>
  <sheetViews>
    <sheetView zoomScale="80" zoomScaleNormal="80" workbookViewId="0"/>
  </sheetViews>
  <sheetFormatPr defaultColWidth="8.81640625" defaultRowHeight="15.5" x14ac:dyDescent="0.35"/>
  <cols>
    <col min="1" max="1" width="5.1796875" style="36" customWidth="1"/>
    <col min="2" max="2" width="55.453125" style="37" customWidth="1"/>
    <col min="3" max="5" width="15.54296875" style="37" customWidth="1"/>
    <col min="6" max="6" width="1.54296875" style="37" customWidth="1"/>
    <col min="7" max="7" width="16.81640625" style="37" customWidth="1"/>
    <col min="8" max="8" width="1.54296875" style="37" customWidth="1"/>
    <col min="9" max="9" width="38.81640625" style="98" customWidth="1"/>
    <col min="10" max="10" width="5.1796875" style="37" customWidth="1"/>
    <col min="11" max="11" width="27" style="37" bestFit="1" customWidth="1"/>
    <col min="12" max="12" width="15" style="37" bestFit="1" customWidth="1"/>
    <col min="13" max="13" width="10.453125" style="37" bestFit="1" customWidth="1"/>
    <col min="14" max="16384" width="8.81640625" style="37"/>
  </cols>
  <sheetData>
    <row r="1" spans="1:10" x14ac:dyDescent="0.35">
      <c r="A1" s="831" t="s">
        <v>650</v>
      </c>
      <c r="G1" s="63"/>
      <c r="H1" s="63"/>
      <c r="I1" s="122"/>
      <c r="J1" s="36"/>
    </row>
    <row r="2" spans="1:10" x14ac:dyDescent="0.35">
      <c r="A2" s="831"/>
      <c r="G2" s="63"/>
      <c r="H2" s="63"/>
      <c r="I2" s="122"/>
      <c r="J2" s="36"/>
    </row>
    <row r="3" spans="1:10" x14ac:dyDescent="0.35">
      <c r="B3" s="863" t="s">
        <v>406</v>
      </c>
      <c r="C3" s="863"/>
      <c r="D3" s="863"/>
      <c r="E3" s="863"/>
      <c r="F3" s="863"/>
      <c r="G3" s="863"/>
      <c r="H3" s="863"/>
      <c r="I3" s="863"/>
      <c r="J3" s="36"/>
    </row>
    <row r="4" spans="1:10" x14ac:dyDescent="0.35">
      <c r="B4" s="863" t="s">
        <v>407</v>
      </c>
      <c r="C4" s="863"/>
      <c r="D4" s="863"/>
      <c r="E4" s="863"/>
      <c r="F4" s="863"/>
      <c r="G4" s="863"/>
      <c r="H4" s="863"/>
      <c r="I4" s="863"/>
      <c r="J4" s="36"/>
    </row>
    <row r="5" spans="1:10" x14ac:dyDescent="0.35">
      <c r="B5" s="863" t="s">
        <v>408</v>
      </c>
      <c r="C5" s="863"/>
      <c r="D5" s="863"/>
      <c r="E5" s="863"/>
      <c r="F5" s="863"/>
      <c r="G5" s="863"/>
      <c r="H5" s="863"/>
      <c r="I5" s="863"/>
      <c r="J5" s="36"/>
    </row>
    <row r="6" spans="1:10" x14ac:dyDescent="0.35">
      <c r="B6" s="866" t="s">
        <v>73</v>
      </c>
      <c r="C6" s="866"/>
      <c r="D6" s="866"/>
      <c r="E6" s="866"/>
      <c r="F6" s="866"/>
      <c r="G6" s="866"/>
      <c r="H6" s="866"/>
      <c r="I6" s="866"/>
      <c r="J6" s="36"/>
    </row>
    <row r="7" spans="1:10" x14ac:dyDescent="0.35">
      <c r="B7" s="865" t="s">
        <v>4</v>
      </c>
      <c r="C7" s="867"/>
      <c r="D7" s="867"/>
      <c r="E7" s="867"/>
      <c r="F7" s="867"/>
      <c r="G7" s="867"/>
      <c r="H7" s="867"/>
      <c r="I7" s="867"/>
      <c r="J7" s="36"/>
    </row>
    <row r="8" spans="1:10" x14ac:dyDescent="0.35">
      <c r="B8" s="36"/>
      <c r="C8" s="36"/>
      <c r="D8" s="36"/>
      <c r="E8" s="36"/>
      <c r="F8" s="36"/>
      <c r="G8" s="36"/>
      <c r="H8" s="36"/>
      <c r="I8" s="48"/>
      <c r="J8" s="36"/>
    </row>
    <row r="9" spans="1:10" x14ac:dyDescent="0.35">
      <c r="A9" s="36" t="s">
        <v>5</v>
      </c>
      <c r="B9" s="364"/>
      <c r="C9" s="364"/>
      <c r="D9" s="364"/>
      <c r="E9" s="36" t="s">
        <v>199</v>
      </c>
      <c r="F9" s="364"/>
      <c r="G9" s="364"/>
      <c r="H9" s="364"/>
      <c r="I9" s="48"/>
      <c r="J9" s="36" t="s">
        <v>5</v>
      </c>
    </row>
    <row r="10" spans="1:10" x14ac:dyDescent="0.35">
      <c r="A10" s="36" t="s">
        <v>6</v>
      </c>
      <c r="B10" s="36"/>
      <c r="C10" s="36"/>
      <c r="D10" s="36"/>
      <c r="E10" s="307" t="s">
        <v>200</v>
      </c>
      <c r="F10" s="36"/>
      <c r="G10" s="308" t="s">
        <v>8</v>
      </c>
      <c r="H10" s="364"/>
      <c r="I10" s="342" t="s">
        <v>9</v>
      </c>
      <c r="J10" s="36" t="s">
        <v>6</v>
      </c>
    </row>
    <row r="11" spans="1:10" x14ac:dyDescent="0.35">
      <c r="B11" s="36"/>
      <c r="C11" s="36"/>
      <c r="D11" s="36"/>
      <c r="E11" s="36"/>
      <c r="F11" s="36"/>
      <c r="G11" s="36"/>
      <c r="H11" s="36"/>
      <c r="I11" s="48"/>
      <c r="J11" s="36"/>
    </row>
    <row r="12" spans="1:10" x14ac:dyDescent="0.35">
      <c r="A12" s="36">
        <v>1</v>
      </c>
      <c r="B12" s="41" t="s">
        <v>409</v>
      </c>
      <c r="I12" s="48"/>
      <c r="J12" s="36">
        <f>A12</f>
        <v>1</v>
      </c>
    </row>
    <row r="13" spans="1:10" x14ac:dyDescent="0.35">
      <c r="A13" s="36">
        <f>A12+1</f>
        <v>2</v>
      </c>
      <c r="B13" s="37" t="s">
        <v>410</v>
      </c>
      <c r="E13" s="36" t="s">
        <v>411</v>
      </c>
      <c r="G13" s="99">
        <v>6053573</v>
      </c>
      <c r="H13" s="364"/>
      <c r="I13" s="102"/>
      <c r="J13" s="36">
        <f>J12+1</f>
        <v>2</v>
      </c>
    </row>
    <row r="14" spans="1:10" x14ac:dyDescent="0.35">
      <c r="A14" s="36">
        <f t="shared" ref="A14:A66" si="0">A13+1</f>
        <v>3</v>
      </c>
      <c r="B14" s="37" t="s">
        <v>412</v>
      </c>
      <c r="E14" s="36" t="s">
        <v>413</v>
      </c>
      <c r="G14" s="100">
        <v>0</v>
      </c>
      <c r="H14" s="364"/>
      <c r="I14" s="102"/>
      <c r="J14" s="36">
        <f t="shared" ref="J14:J66" si="1">J13+1</f>
        <v>3</v>
      </c>
    </row>
    <row r="15" spans="1:10" x14ac:dyDescent="0.35">
      <c r="A15" s="36">
        <f t="shared" si="0"/>
        <v>4</v>
      </c>
      <c r="B15" s="37" t="s">
        <v>414</v>
      </c>
      <c r="E15" s="36" t="s">
        <v>415</v>
      </c>
      <c r="G15" s="100">
        <v>0</v>
      </c>
      <c r="H15" s="364"/>
      <c r="I15" s="102"/>
      <c r="J15" s="36">
        <f t="shared" si="1"/>
        <v>4</v>
      </c>
    </row>
    <row r="16" spans="1:10" x14ac:dyDescent="0.35">
      <c r="A16" s="36">
        <f t="shared" si="0"/>
        <v>5</v>
      </c>
      <c r="B16" s="37" t="s">
        <v>416</v>
      </c>
      <c r="E16" s="36" t="s">
        <v>417</v>
      </c>
      <c r="G16" s="100">
        <v>0</v>
      </c>
      <c r="H16" s="364"/>
      <c r="I16" s="102"/>
      <c r="J16" s="36">
        <f t="shared" si="1"/>
        <v>5</v>
      </c>
    </row>
    <row r="17" spans="1:10" x14ac:dyDescent="0.35">
      <c r="A17" s="36">
        <f t="shared" si="0"/>
        <v>6</v>
      </c>
      <c r="B17" s="37" t="s">
        <v>418</v>
      </c>
      <c r="E17" s="36" t="s">
        <v>419</v>
      </c>
      <c r="G17" s="100">
        <v>-13172.642</v>
      </c>
      <c r="H17" s="364"/>
      <c r="I17" s="102"/>
      <c r="J17" s="36">
        <f t="shared" si="1"/>
        <v>6</v>
      </c>
    </row>
    <row r="18" spans="1:10" x14ac:dyDescent="0.35">
      <c r="A18" s="36">
        <f t="shared" si="0"/>
        <v>7</v>
      </c>
      <c r="B18" s="37" t="s">
        <v>420</v>
      </c>
      <c r="G18" s="101">
        <f>SUM(G13:G17)</f>
        <v>6040400.358</v>
      </c>
      <c r="H18" s="95"/>
      <c r="I18" s="48" t="str">
        <f>"Sum Lines "&amp;A13&amp;" thru "&amp;A17</f>
        <v>Sum Lines 2 thru 6</v>
      </c>
      <c r="J18" s="36">
        <f t="shared" si="1"/>
        <v>7</v>
      </c>
    </row>
    <row r="19" spans="1:10" x14ac:dyDescent="0.35">
      <c r="A19" s="36">
        <f t="shared" si="0"/>
        <v>8</v>
      </c>
      <c r="I19" s="48"/>
      <c r="J19" s="36">
        <f t="shared" si="1"/>
        <v>8</v>
      </c>
    </row>
    <row r="20" spans="1:10" x14ac:dyDescent="0.35">
      <c r="A20" s="36">
        <f t="shared" si="0"/>
        <v>9</v>
      </c>
      <c r="B20" s="41" t="s">
        <v>421</v>
      </c>
      <c r="G20" s="35"/>
      <c r="H20" s="35"/>
      <c r="I20" s="48"/>
      <c r="J20" s="36">
        <f t="shared" si="1"/>
        <v>9</v>
      </c>
    </row>
    <row r="21" spans="1:10" x14ac:dyDescent="0.35">
      <c r="A21" s="36">
        <f t="shared" si="0"/>
        <v>10</v>
      </c>
      <c r="B21" s="37" t="s">
        <v>422</v>
      </c>
      <c r="E21" s="36" t="s">
        <v>423</v>
      </c>
      <c r="G21" s="99">
        <v>233778.584</v>
      </c>
      <c r="H21" s="364"/>
      <c r="I21" s="102"/>
      <c r="J21" s="36">
        <f t="shared" si="1"/>
        <v>10</v>
      </c>
    </row>
    <row r="22" spans="1:10" x14ac:dyDescent="0.35">
      <c r="A22" s="36">
        <f t="shared" si="0"/>
        <v>11</v>
      </c>
      <c r="B22" s="37" t="s">
        <v>424</v>
      </c>
      <c r="E22" s="36" t="s">
        <v>425</v>
      </c>
      <c r="G22" s="100">
        <v>4107.085</v>
      </c>
      <c r="H22" s="364"/>
      <c r="I22" s="102"/>
      <c r="J22" s="36">
        <f t="shared" si="1"/>
        <v>11</v>
      </c>
    </row>
    <row r="23" spans="1:10" x14ac:dyDescent="0.35">
      <c r="A23" s="36">
        <f t="shared" si="0"/>
        <v>12</v>
      </c>
      <c r="B23" s="37" t="s">
        <v>426</v>
      </c>
      <c r="E23" s="36" t="s">
        <v>427</v>
      </c>
      <c r="G23" s="100">
        <v>1449.7840000000001</v>
      </c>
      <c r="H23" s="364"/>
      <c r="I23" s="102"/>
      <c r="J23" s="36">
        <f t="shared" si="1"/>
        <v>12</v>
      </c>
    </row>
    <row r="24" spans="1:10" x14ac:dyDescent="0.35">
      <c r="A24" s="36">
        <f t="shared" si="0"/>
        <v>13</v>
      </c>
      <c r="B24" s="37" t="s">
        <v>428</v>
      </c>
      <c r="E24" s="36" t="s">
        <v>429</v>
      </c>
      <c r="G24" s="100">
        <v>0</v>
      </c>
      <c r="H24" s="364"/>
      <c r="I24" s="102"/>
      <c r="J24" s="36">
        <f t="shared" si="1"/>
        <v>13</v>
      </c>
    </row>
    <row r="25" spans="1:10" x14ac:dyDescent="0.35">
      <c r="A25" s="36">
        <f t="shared" si="0"/>
        <v>14</v>
      </c>
      <c r="B25" s="37" t="s">
        <v>430</v>
      </c>
      <c r="E25" s="36" t="s">
        <v>431</v>
      </c>
      <c r="G25" s="100">
        <v>0</v>
      </c>
      <c r="H25" s="364"/>
      <c r="I25" s="102"/>
      <c r="J25" s="36">
        <f t="shared" si="1"/>
        <v>14</v>
      </c>
    </row>
    <row r="26" spans="1:10" x14ac:dyDescent="0.35">
      <c r="A26" s="36">
        <f t="shared" si="0"/>
        <v>15</v>
      </c>
      <c r="B26" s="37" t="s">
        <v>432</v>
      </c>
      <c r="G26" s="103">
        <f>SUM(G21:G25)</f>
        <v>239335.45300000001</v>
      </c>
      <c r="H26" s="104"/>
      <c r="I26" s="48" t="str">
        <f>"Sum Lines "&amp;A21&amp;" thru "&amp;A25</f>
        <v>Sum Lines 10 thru 14</v>
      </c>
      <c r="J26" s="36">
        <f t="shared" si="1"/>
        <v>15</v>
      </c>
    </row>
    <row r="27" spans="1:10" x14ac:dyDescent="0.35">
      <c r="A27" s="36">
        <f t="shared" si="0"/>
        <v>16</v>
      </c>
      <c r="I27" s="48"/>
      <c r="J27" s="36">
        <f t="shared" si="1"/>
        <v>16</v>
      </c>
    </row>
    <row r="28" spans="1:10" ht="16" thickBot="1" x14ac:dyDescent="0.4">
      <c r="A28" s="36">
        <f t="shared" si="0"/>
        <v>17</v>
      </c>
      <c r="B28" s="41" t="s">
        <v>433</v>
      </c>
      <c r="G28" s="105">
        <f>G26/G18</f>
        <v>3.9622448648295373E-2</v>
      </c>
      <c r="H28" s="106"/>
      <c r="I28" s="48" t="str">
        <f>"Line "&amp;A26&amp;" / Line "&amp;A18</f>
        <v>Line 15 / Line 7</v>
      </c>
      <c r="J28" s="36">
        <f t="shared" si="1"/>
        <v>17</v>
      </c>
    </row>
    <row r="29" spans="1:10" ht="16" thickTop="1" x14ac:dyDescent="0.35">
      <c r="A29" s="36">
        <f t="shared" si="0"/>
        <v>18</v>
      </c>
      <c r="I29" s="48"/>
      <c r="J29" s="36">
        <f t="shared" si="1"/>
        <v>18</v>
      </c>
    </row>
    <row r="30" spans="1:10" x14ac:dyDescent="0.35">
      <c r="A30" s="36">
        <f t="shared" si="0"/>
        <v>19</v>
      </c>
      <c r="B30" s="41" t="s">
        <v>434</v>
      </c>
      <c r="I30" s="48"/>
      <c r="J30" s="36">
        <f t="shared" si="1"/>
        <v>19</v>
      </c>
    </row>
    <row r="31" spans="1:10" x14ac:dyDescent="0.35">
      <c r="A31" s="36">
        <f t="shared" si="0"/>
        <v>20</v>
      </c>
      <c r="B31" s="37" t="s">
        <v>435</v>
      </c>
      <c r="E31" s="36" t="s">
        <v>436</v>
      </c>
      <c r="G31" s="99">
        <v>0</v>
      </c>
      <c r="H31" s="364"/>
      <c r="I31" s="102"/>
      <c r="J31" s="36">
        <f t="shared" si="1"/>
        <v>20</v>
      </c>
    </row>
    <row r="32" spans="1:10" x14ac:dyDescent="0.35">
      <c r="A32" s="36">
        <f t="shared" si="0"/>
        <v>21</v>
      </c>
      <c r="B32" s="37" t="s">
        <v>437</v>
      </c>
      <c r="E32" s="36" t="s">
        <v>438</v>
      </c>
      <c r="G32" s="343">
        <v>0</v>
      </c>
      <c r="H32" s="364"/>
      <c r="I32" s="102"/>
      <c r="J32" s="36">
        <f t="shared" si="1"/>
        <v>21</v>
      </c>
    </row>
    <row r="33" spans="1:12" ht="16" thickBot="1" x14ac:dyDescent="0.4">
      <c r="A33" s="36">
        <f t="shared" si="0"/>
        <v>22</v>
      </c>
      <c r="B33" s="37" t="s">
        <v>439</v>
      </c>
      <c r="G33" s="105">
        <f>IFERROR((G32/G31),0)</f>
        <v>0</v>
      </c>
      <c r="H33" s="106"/>
      <c r="I33" s="48" t="str">
        <f>"Line "&amp;A32&amp;" / Line "&amp;A31</f>
        <v>Line 21 / Line 20</v>
      </c>
      <c r="J33" s="36">
        <f t="shared" si="1"/>
        <v>22</v>
      </c>
    </row>
    <row r="34" spans="1:12" ht="16" thickTop="1" x14ac:dyDescent="0.35">
      <c r="A34" s="36">
        <f t="shared" si="0"/>
        <v>23</v>
      </c>
      <c r="I34" s="48"/>
      <c r="J34" s="36">
        <f t="shared" si="1"/>
        <v>23</v>
      </c>
    </row>
    <row r="35" spans="1:12" x14ac:dyDescent="0.35">
      <c r="A35" s="36">
        <f t="shared" si="0"/>
        <v>24</v>
      </c>
      <c r="B35" s="41" t="s">
        <v>440</v>
      </c>
      <c r="I35" s="48"/>
      <c r="J35" s="36">
        <f t="shared" si="1"/>
        <v>24</v>
      </c>
    </row>
    <row r="36" spans="1:12" x14ac:dyDescent="0.35">
      <c r="A36" s="36">
        <f t="shared" si="0"/>
        <v>25</v>
      </c>
      <c r="B36" s="37" t="s">
        <v>441</v>
      </c>
      <c r="E36" s="36" t="s">
        <v>442</v>
      </c>
      <c r="G36" s="99">
        <v>7729413.6809999999</v>
      </c>
      <c r="H36" s="364"/>
      <c r="I36" s="102"/>
      <c r="J36" s="36">
        <f t="shared" si="1"/>
        <v>25</v>
      </c>
      <c r="K36" s="44"/>
      <c r="L36" s="344"/>
    </row>
    <row r="37" spans="1:12" x14ac:dyDescent="0.35">
      <c r="A37" s="36">
        <f t="shared" si="0"/>
        <v>26</v>
      </c>
      <c r="B37" s="37" t="s">
        <v>443</v>
      </c>
      <c r="E37" s="36" t="s">
        <v>436</v>
      </c>
      <c r="G37" s="107">
        <v>0</v>
      </c>
      <c r="H37" s="107"/>
      <c r="I37" s="48" t="str">
        <f>"Negative of Line "&amp;A31&amp;" Above"</f>
        <v>Negative of Line 20 Above</v>
      </c>
      <c r="J37" s="36">
        <f t="shared" si="1"/>
        <v>26</v>
      </c>
    </row>
    <row r="38" spans="1:12" x14ac:dyDescent="0.35">
      <c r="A38" s="36">
        <f t="shared" si="0"/>
        <v>27</v>
      </c>
      <c r="B38" s="37" t="s">
        <v>444</v>
      </c>
      <c r="E38" s="36" t="s">
        <v>445</v>
      </c>
      <c r="G38" s="100">
        <v>0</v>
      </c>
      <c r="H38" s="364"/>
      <c r="I38" s="102"/>
      <c r="J38" s="36">
        <f t="shared" si="1"/>
        <v>27</v>
      </c>
    </row>
    <row r="39" spans="1:12" x14ac:dyDescent="0.35">
      <c r="A39" s="36">
        <f t="shared" si="0"/>
        <v>28</v>
      </c>
      <c r="B39" s="37" t="s">
        <v>446</v>
      </c>
      <c r="E39" s="36" t="s">
        <v>447</v>
      </c>
      <c r="G39" s="100">
        <v>10034.102000000001</v>
      </c>
      <c r="H39" s="364"/>
      <c r="I39" s="102"/>
      <c r="J39" s="36">
        <f t="shared" si="1"/>
        <v>28</v>
      </c>
    </row>
    <row r="40" spans="1:12" ht="16" thickBot="1" x14ac:dyDescent="0.4">
      <c r="A40" s="36">
        <f t="shared" si="0"/>
        <v>29</v>
      </c>
      <c r="B40" s="37" t="s">
        <v>448</v>
      </c>
      <c r="G40" s="108">
        <f>SUM(G36:G39)</f>
        <v>7739447.7829999998</v>
      </c>
      <c r="H40" s="109"/>
      <c r="I40" s="48" t="str">
        <f>"Sum Lines "&amp;A36&amp;" thru "&amp;A39</f>
        <v>Sum Lines 25 thru 28</v>
      </c>
      <c r="J40" s="36">
        <f t="shared" si="1"/>
        <v>29</v>
      </c>
    </row>
    <row r="41" spans="1:12" ht="16.5" thickTop="1" thickBot="1" x14ac:dyDescent="0.4">
      <c r="A41" s="110">
        <f t="shared" si="0"/>
        <v>30</v>
      </c>
      <c r="B41" s="83"/>
      <c r="C41" s="83"/>
      <c r="D41" s="83"/>
      <c r="E41" s="83"/>
      <c r="F41" s="83"/>
      <c r="G41" s="83"/>
      <c r="H41" s="83"/>
      <c r="I41" s="111"/>
      <c r="J41" s="110">
        <f t="shared" si="1"/>
        <v>30</v>
      </c>
    </row>
    <row r="42" spans="1:12" x14ac:dyDescent="0.35">
      <c r="A42" s="36">
        <f>A41+1</f>
        <v>31</v>
      </c>
      <c r="I42" s="48"/>
      <c r="J42" s="36">
        <f>J41+1</f>
        <v>31</v>
      </c>
    </row>
    <row r="43" spans="1:12" ht="16" thickBot="1" x14ac:dyDescent="0.4">
      <c r="A43" s="36">
        <f>A42+1</f>
        <v>32</v>
      </c>
      <c r="B43" s="41" t="s">
        <v>449</v>
      </c>
      <c r="G43" s="112">
        <v>0.106</v>
      </c>
      <c r="H43" s="364"/>
      <c r="I43" s="36" t="s">
        <v>450</v>
      </c>
      <c r="J43" s="36">
        <f>J42+1</f>
        <v>32</v>
      </c>
    </row>
    <row r="44" spans="1:12" ht="16" thickTop="1" x14ac:dyDescent="0.35">
      <c r="A44" s="36">
        <f t="shared" si="0"/>
        <v>33</v>
      </c>
      <c r="C44" s="68" t="s">
        <v>293</v>
      </c>
      <c r="D44" s="68" t="s">
        <v>294</v>
      </c>
      <c r="E44" s="68" t="s">
        <v>451</v>
      </c>
      <c r="F44" s="68"/>
      <c r="G44" s="68" t="s">
        <v>452</v>
      </c>
      <c r="H44" s="68"/>
      <c r="I44" s="48"/>
      <c r="J44" s="36">
        <f t="shared" si="1"/>
        <v>33</v>
      </c>
    </row>
    <row r="45" spans="1:12" x14ac:dyDescent="0.35">
      <c r="A45" s="36">
        <f t="shared" si="0"/>
        <v>34</v>
      </c>
      <c r="D45" s="36" t="s">
        <v>453</v>
      </c>
      <c r="E45" s="36" t="s">
        <v>454</v>
      </c>
      <c r="F45" s="36"/>
      <c r="G45" s="36" t="s">
        <v>455</v>
      </c>
      <c r="H45" s="36"/>
      <c r="I45" s="48"/>
      <c r="J45" s="36">
        <f t="shared" si="1"/>
        <v>34</v>
      </c>
    </row>
    <row r="46" spans="1:12" ht="18" x14ac:dyDescent="0.35">
      <c r="A46" s="36">
        <f t="shared" si="0"/>
        <v>35</v>
      </c>
      <c r="B46" s="41" t="s">
        <v>456</v>
      </c>
      <c r="C46" s="307" t="s">
        <v>457</v>
      </c>
      <c r="D46" s="307" t="s">
        <v>458</v>
      </c>
      <c r="E46" s="307" t="s">
        <v>459</v>
      </c>
      <c r="F46" s="307"/>
      <c r="G46" s="307" t="s">
        <v>460</v>
      </c>
      <c r="H46" s="36"/>
      <c r="I46" s="48"/>
      <c r="J46" s="36">
        <f t="shared" si="1"/>
        <v>35</v>
      </c>
    </row>
    <row r="47" spans="1:12" x14ac:dyDescent="0.35">
      <c r="A47" s="36">
        <f t="shared" si="0"/>
        <v>36</v>
      </c>
      <c r="I47" s="48"/>
      <c r="J47" s="36">
        <f t="shared" si="1"/>
        <v>36</v>
      </c>
    </row>
    <row r="48" spans="1:12" x14ac:dyDescent="0.35">
      <c r="A48" s="36">
        <f t="shared" si="0"/>
        <v>37</v>
      </c>
      <c r="B48" s="37" t="s">
        <v>461</v>
      </c>
      <c r="C48" s="60">
        <f>G18</f>
        <v>6040400.358</v>
      </c>
      <c r="D48" s="113">
        <f>C48/C$51</f>
        <v>0.43835028486472494</v>
      </c>
      <c r="E48" s="114">
        <f>G28</f>
        <v>3.9622448648295373E-2</v>
      </c>
      <c r="G48" s="115">
        <f>D48*E48</f>
        <v>1.7368511652018213E-2</v>
      </c>
      <c r="H48" s="115"/>
      <c r="I48" s="48" t="str">
        <f>"Col. c = Line "&amp;A28&amp;" Above"</f>
        <v>Col. c = Line 17 Above</v>
      </c>
      <c r="J48" s="36">
        <f t="shared" si="1"/>
        <v>37</v>
      </c>
    </row>
    <row r="49" spans="1:10" x14ac:dyDescent="0.35">
      <c r="A49" s="36">
        <f t="shared" si="0"/>
        <v>38</v>
      </c>
      <c r="B49" s="37" t="s">
        <v>462</v>
      </c>
      <c r="C49" s="116">
        <f>G31</f>
        <v>0</v>
      </c>
      <c r="D49" s="113">
        <f>C49/C$51</f>
        <v>0</v>
      </c>
      <c r="E49" s="114">
        <f>G33</f>
        <v>0</v>
      </c>
      <c r="G49" s="115">
        <f>D49*E49</f>
        <v>0</v>
      </c>
      <c r="H49" s="115"/>
      <c r="I49" s="48" t="str">
        <f>"Col. c = Line "&amp;A33&amp;" Above"</f>
        <v>Col. c = Line 22 Above</v>
      </c>
      <c r="J49" s="36">
        <f t="shared" si="1"/>
        <v>38</v>
      </c>
    </row>
    <row r="50" spans="1:10" x14ac:dyDescent="0.35">
      <c r="A50" s="36">
        <f t="shared" si="0"/>
        <v>39</v>
      </c>
      <c r="B50" s="37" t="s">
        <v>463</v>
      </c>
      <c r="C50" s="116">
        <f>G40</f>
        <v>7739447.7829999998</v>
      </c>
      <c r="D50" s="345">
        <f>C50/C$51</f>
        <v>0.56164971513527517</v>
      </c>
      <c r="E50" s="117">
        <f>G43</f>
        <v>0.106</v>
      </c>
      <c r="G50" s="346">
        <f>D50*E50</f>
        <v>5.9534869804339169E-2</v>
      </c>
      <c r="H50" s="106"/>
      <c r="I50" s="48" t="str">
        <f>"Col. c = Line "&amp;A43&amp;" Above"</f>
        <v>Col. c = Line 32 Above</v>
      </c>
      <c r="J50" s="36">
        <f t="shared" si="1"/>
        <v>39</v>
      </c>
    </row>
    <row r="51" spans="1:10" ht="16" thickBot="1" x14ac:dyDescent="0.4">
      <c r="A51" s="36">
        <f t="shared" si="0"/>
        <v>40</v>
      </c>
      <c r="B51" s="37" t="s">
        <v>464</v>
      </c>
      <c r="C51" s="118">
        <f>SUM(C48:C50)</f>
        <v>13779848.140999999</v>
      </c>
      <c r="D51" s="119">
        <f>SUM(D48:D50)</f>
        <v>1</v>
      </c>
      <c r="G51" s="105">
        <f>SUM(G48:G50)</f>
        <v>7.6903381456357389E-2</v>
      </c>
      <c r="H51" s="106"/>
      <c r="I51" s="48" t="str">
        <f>"Sum Lines "&amp;A48&amp;" thru "&amp;A50</f>
        <v>Sum Lines 37 thru 39</v>
      </c>
      <c r="J51" s="36">
        <f t="shared" si="1"/>
        <v>40</v>
      </c>
    </row>
    <row r="52" spans="1:10" ht="16" thickTop="1" x14ac:dyDescent="0.35">
      <c r="A52" s="36">
        <f t="shared" si="0"/>
        <v>41</v>
      </c>
      <c r="I52" s="48"/>
      <c r="J52" s="36">
        <f t="shared" si="1"/>
        <v>41</v>
      </c>
    </row>
    <row r="53" spans="1:10" ht="16" thickBot="1" x14ac:dyDescent="0.4">
      <c r="A53" s="36">
        <f t="shared" si="0"/>
        <v>42</v>
      </c>
      <c r="B53" s="41" t="s">
        <v>465</v>
      </c>
      <c r="G53" s="105">
        <f>G49+G50</f>
        <v>5.9534869804339169E-2</v>
      </c>
      <c r="H53" s="106"/>
      <c r="I53" s="48" t="str">
        <f>"Line "&amp;A49&amp;" + Line "&amp;A50&amp;"; Col. d"</f>
        <v>Line 38 + Line 39; Col. d</v>
      </c>
      <c r="J53" s="36">
        <f t="shared" si="1"/>
        <v>42</v>
      </c>
    </row>
    <row r="54" spans="1:10" ht="16.5" thickTop="1" thickBot="1" x14ac:dyDescent="0.4">
      <c r="A54" s="110">
        <f t="shared" si="0"/>
        <v>43</v>
      </c>
      <c r="B54" s="123"/>
      <c r="C54" s="83"/>
      <c r="D54" s="83"/>
      <c r="E54" s="83"/>
      <c r="F54" s="83"/>
      <c r="G54" s="347"/>
      <c r="H54" s="347"/>
      <c r="I54" s="111"/>
      <c r="J54" s="110">
        <f t="shared" si="1"/>
        <v>43</v>
      </c>
    </row>
    <row r="55" spans="1:10" x14ac:dyDescent="0.35">
      <c r="A55" s="36">
        <f t="shared" si="0"/>
        <v>44</v>
      </c>
      <c r="B55" s="41"/>
      <c r="G55" s="117"/>
      <c r="H55" s="117"/>
      <c r="I55" s="48"/>
      <c r="J55" s="36">
        <f t="shared" si="1"/>
        <v>44</v>
      </c>
    </row>
    <row r="56" spans="1:10" ht="16" thickBot="1" x14ac:dyDescent="0.4">
      <c r="A56" s="36">
        <f t="shared" si="0"/>
        <v>45</v>
      </c>
      <c r="B56" s="41" t="s">
        <v>466</v>
      </c>
      <c r="G56" s="348">
        <v>0</v>
      </c>
      <c r="H56" s="117"/>
      <c r="I56" s="48" t="s">
        <v>270</v>
      </c>
      <c r="J56" s="36">
        <f t="shared" si="1"/>
        <v>45</v>
      </c>
    </row>
    <row r="57" spans="1:10" ht="16" thickTop="1" x14ac:dyDescent="0.35">
      <c r="A57" s="36">
        <f t="shared" si="0"/>
        <v>46</v>
      </c>
      <c r="C57" s="68" t="s">
        <v>293</v>
      </c>
      <c r="D57" s="68" t="s">
        <v>294</v>
      </c>
      <c r="E57" s="68" t="s">
        <v>451</v>
      </c>
      <c r="F57" s="68"/>
      <c r="G57" s="68" t="s">
        <v>452</v>
      </c>
      <c r="H57" s="117"/>
      <c r="I57" s="48"/>
      <c r="J57" s="36">
        <f t="shared" si="1"/>
        <v>46</v>
      </c>
    </row>
    <row r="58" spans="1:10" x14ac:dyDescent="0.35">
      <c r="A58" s="36">
        <f t="shared" si="0"/>
        <v>47</v>
      </c>
      <c r="D58" s="36" t="s">
        <v>453</v>
      </c>
      <c r="E58" s="36" t="s">
        <v>454</v>
      </c>
      <c r="F58" s="36"/>
      <c r="G58" s="36" t="s">
        <v>455</v>
      </c>
      <c r="H58" s="117"/>
      <c r="I58" s="48"/>
      <c r="J58" s="36">
        <f t="shared" si="1"/>
        <v>47</v>
      </c>
    </row>
    <row r="59" spans="1:10" ht="18" x14ac:dyDescent="0.35">
      <c r="A59" s="36">
        <f t="shared" si="0"/>
        <v>48</v>
      </c>
      <c r="B59" s="41" t="s">
        <v>467</v>
      </c>
      <c r="C59" s="307" t="s">
        <v>457</v>
      </c>
      <c r="D59" s="307" t="s">
        <v>458</v>
      </c>
      <c r="E59" s="307" t="s">
        <v>459</v>
      </c>
      <c r="F59" s="307"/>
      <c r="G59" s="307" t="s">
        <v>460</v>
      </c>
      <c r="H59" s="117"/>
      <c r="I59" s="48"/>
      <c r="J59" s="36">
        <f t="shared" si="1"/>
        <v>48</v>
      </c>
    </row>
    <row r="60" spans="1:10" x14ac:dyDescent="0.35">
      <c r="A60" s="36">
        <f t="shared" si="0"/>
        <v>49</v>
      </c>
      <c r="G60" s="117"/>
      <c r="H60" s="117"/>
      <c r="I60" s="48"/>
      <c r="J60" s="36">
        <f t="shared" si="1"/>
        <v>49</v>
      </c>
    </row>
    <row r="61" spans="1:10" x14ac:dyDescent="0.35">
      <c r="A61" s="36">
        <f t="shared" si="0"/>
        <v>50</v>
      </c>
      <c r="B61" s="37" t="s">
        <v>461</v>
      </c>
      <c r="C61" s="349">
        <v>0</v>
      </c>
      <c r="D61" s="350">
        <v>0</v>
      </c>
      <c r="E61" s="120">
        <v>0</v>
      </c>
      <c r="G61" s="115">
        <f>D61*E61</f>
        <v>0</v>
      </c>
      <c r="H61" s="117"/>
      <c r="I61" s="48" t="s">
        <v>270</v>
      </c>
      <c r="J61" s="36">
        <f t="shared" si="1"/>
        <v>50</v>
      </c>
    </row>
    <row r="62" spans="1:10" x14ac:dyDescent="0.35">
      <c r="A62" s="36">
        <f t="shared" si="0"/>
        <v>51</v>
      </c>
      <c r="B62" s="37" t="s">
        <v>462</v>
      </c>
      <c r="C62" s="351">
        <v>0</v>
      </c>
      <c r="D62" s="350">
        <v>0</v>
      </c>
      <c r="E62" s="120">
        <v>0</v>
      </c>
      <c r="G62" s="115">
        <f>D62*E62</f>
        <v>0</v>
      </c>
      <c r="H62" s="117"/>
      <c r="I62" s="48" t="s">
        <v>270</v>
      </c>
      <c r="J62" s="36">
        <f t="shared" si="1"/>
        <v>51</v>
      </c>
    </row>
    <row r="63" spans="1:10" x14ac:dyDescent="0.35">
      <c r="A63" s="36">
        <f t="shared" si="0"/>
        <v>52</v>
      </c>
      <c r="B63" s="37" t="s">
        <v>463</v>
      </c>
      <c r="C63" s="351">
        <v>0</v>
      </c>
      <c r="D63" s="352">
        <v>0</v>
      </c>
      <c r="E63" s="353">
        <v>0</v>
      </c>
      <c r="G63" s="346">
        <f>D63*E63</f>
        <v>0</v>
      </c>
      <c r="H63" s="117"/>
      <c r="I63" s="48" t="s">
        <v>270</v>
      </c>
      <c r="J63" s="36">
        <f t="shared" si="1"/>
        <v>52</v>
      </c>
    </row>
    <row r="64" spans="1:10" ht="16" thickBot="1" x14ac:dyDescent="0.4">
      <c r="A64" s="36">
        <f t="shared" si="0"/>
        <v>53</v>
      </c>
      <c r="B64" s="37" t="s">
        <v>464</v>
      </c>
      <c r="C64" s="118">
        <f>SUM(C61:C63)</f>
        <v>0</v>
      </c>
      <c r="D64" s="105">
        <f>SUM(D61:D63)</f>
        <v>0</v>
      </c>
      <c r="G64" s="105">
        <f>SUM(G61:G63)</f>
        <v>0</v>
      </c>
      <c r="H64" s="117"/>
      <c r="I64" s="48" t="str">
        <f>"Sum Lines "&amp;A61&amp;" thru "&amp;A63</f>
        <v>Sum Lines 50 thru 52</v>
      </c>
      <c r="J64" s="36">
        <f t="shared" si="1"/>
        <v>53</v>
      </c>
    </row>
    <row r="65" spans="1:10" ht="16" thickTop="1" x14ac:dyDescent="0.35">
      <c r="A65" s="36">
        <f t="shared" si="0"/>
        <v>54</v>
      </c>
      <c r="H65" s="117"/>
      <c r="I65" s="48"/>
      <c r="J65" s="36">
        <f t="shared" si="1"/>
        <v>54</v>
      </c>
    </row>
    <row r="66" spans="1:10" ht="16" thickBot="1" x14ac:dyDescent="0.4">
      <c r="A66" s="36">
        <f t="shared" si="0"/>
        <v>55</v>
      </c>
      <c r="B66" s="41" t="s">
        <v>468</v>
      </c>
      <c r="G66" s="105">
        <f>G62+G63</f>
        <v>0</v>
      </c>
      <c r="H66" s="117"/>
      <c r="I66" s="48" t="str">
        <f>"Line "&amp;A62&amp;" + Line "&amp;A63&amp;"; Col. d"</f>
        <v>Line 51 + Line 52; Col. d</v>
      </c>
      <c r="J66" s="36">
        <f t="shared" si="1"/>
        <v>55</v>
      </c>
    </row>
    <row r="67" spans="1:10" ht="16" thickTop="1" x14ac:dyDescent="0.35">
      <c r="B67" s="41"/>
      <c r="G67" s="117"/>
      <c r="H67" s="117"/>
      <c r="I67" s="48"/>
      <c r="J67" s="36"/>
    </row>
    <row r="68" spans="1:10" x14ac:dyDescent="0.35">
      <c r="B68" s="41"/>
      <c r="G68" s="117"/>
      <c r="H68" s="117"/>
      <c r="I68" s="48"/>
      <c r="J68" s="36"/>
    </row>
    <row r="69" spans="1:10" ht="18" x14ac:dyDescent="0.35">
      <c r="A69" s="67">
        <v>1</v>
      </c>
      <c r="B69" s="18" t="s">
        <v>469</v>
      </c>
      <c r="G69" s="63"/>
      <c r="H69" s="63"/>
      <c r="J69" s="36" t="s">
        <v>233</v>
      </c>
    </row>
    <row r="70" spans="1:10" ht="18" x14ac:dyDescent="0.35">
      <c r="A70" s="67"/>
      <c r="B70" s="18"/>
      <c r="G70" s="63"/>
      <c r="H70" s="63"/>
      <c r="J70" s="36"/>
    </row>
    <row r="71" spans="1:10" ht="18" x14ac:dyDescent="0.35">
      <c r="A71" s="67"/>
      <c r="B71" s="18"/>
      <c r="D71" s="36"/>
      <c r="G71" s="63"/>
      <c r="H71" s="63"/>
      <c r="J71" s="36"/>
    </row>
    <row r="72" spans="1:10" x14ac:dyDescent="0.35">
      <c r="B72" s="863" t="s">
        <v>406</v>
      </c>
      <c r="C72" s="863"/>
      <c r="D72" s="863"/>
      <c r="E72" s="863"/>
      <c r="F72" s="863"/>
      <c r="G72" s="863"/>
      <c r="H72" s="863"/>
      <c r="I72" s="863"/>
      <c r="J72" s="36"/>
    </row>
    <row r="73" spans="1:10" x14ac:dyDescent="0.35">
      <c r="B73" s="863" t="s">
        <v>407</v>
      </c>
      <c r="C73" s="863"/>
      <c r="D73" s="863"/>
      <c r="E73" s="863"/>
      <c r="F73" s="863"/>
      <c r="G73" s="863"/>
      <c r="H73" s="863"/>
      <c r="I73" s="863"/>
      <c r="J73" s="36"/>
    </row>
    <row r="74" spans="1:10" x14ac:dyDescent="0.35">
      <c r="B74" s="863" t="s">
        <v>408</v>
      </c>
      <c r="C74" s="863"/>
      <c r="D74" s="863"/>
      <c r="E74" s="863"/>
      <c r="F74" s="863"/>
      <c r="G74" s="863"/>
      <c r="H74" s="863"/>
      <c r="I74" s="863"/>
      <c r="J74" s="36"/>
    </row>
    <row r="75" spans="1:10" x14ac:dyDescent="0.35">
      <c r="B75" s="866" t="str">
        <f>B6</f>
        <v>Base Period &amp; True-Up Period 12 - Months Ending December 31, 2020</v>
      </c>
      <c r="C75" s="866"/>
      <c r="D75" s="866"/>
      <c r="E75" s="866"/>
      <c r="F75" s="866"/>
      <c r="G75" s="866"/>
      <c r="H75" s="866"/>
      <c r="I75" s="866"/>
      <c r="J75" s="36"/>
    </row>
    <row r="76" spans="1:10" x14ac:dyDescent="0.35">
      <c r="B76" s="865" t="s">
        <v>4</v>
      </c>
      <c r="C76" s="867"/>
      <c r="D76" s="867"/>
      <c r="E76" s="867"/>
      <c r="F76" s="867"/>
      <c r="G76" s="867"/>
      <c r="H76" s="867"/>
      <c r="I76" s="867"/>
      <c r="J76" s="36"/>
    </row>
    <row r="77" spans="1:10" x14ac:dyDescent="0.35">
      <c r="B77" s="36"/>
      <c r="C77" s="36"/>
      <c r="D77" s="36"/>
      <c r="E77" s="36"/>
      <c r="F77" s="36"/>
      <c r="G77" s="36"/>
      <c r="H77" s="36"/>
      <c r="I77" s="48"/>
      <c r="J77" s="36"/>
    </row>
    <row r="78" spans="1:10" x14ac:dyDescent="0.35">
      <c r="A78" s="36" t="s">
        <v>5</v>
      </c>
      <c r="B78" s="364"/>
      <c r="C78" s="364"/>
      <c r="D78" s="364"/>
      <c r="E78" s="364"/>
      <c r="F78" s="364"/>
      <c r="G78" s="364"/>
      <c r="H78" s="364"/>
      <c r="I78" s="48"/>
      <c r="J78" s="36" t="s">
        <v>5</v>
      </c>
    </row>
    <row r="79" spans="1:10" x14ac:dyDescent="0.35">
      <c r="A79" s="36" t="s">
        <v>6</v>
      </c>
      <c r="B79" s="36"/>
      <c r="C79" s="36"/>
      <c r="D79" s="36"/>
      <c r="E79" s="36"/>
      <c r="F79" s="36"/>
      <c r="G79" s="307" t="s">
        <v>8</v>
      </c>
      <c r="H79" s="364"/>
      <c r="I79" s="342" t="s">
        <v>9</v>
      </c>
      <c r="J79" s="36" t="s">
        <v>6</v>
      </c>
    </row>
    <row r="80" spans="1:10" x14ac:dyDescent="0.35">
      <c r="G80" s="36"/>
      <c r="H80" s="36"/>
      <c r="I80" s="48"/>
      <c r="J80" s="36"/>
    </row>
    <row r="81" spans="1:13" ht="17.5" x14ac:dyDescent="0.35">
      <c r="A81" s="36">
        <v>1</v>
      </c>
      <c r="B81" s="41" t="s">
        <v>470</v>
      </c>
      <c r="E81" s="364"/>
      <c r="F81" s="364"/>
      <c r="G81" s="124"/>
      <c r="H81" s="124"/>
      <c r="I81" s="48"/>
      <c r="J81" s="36">
        <v>1</v>
      </c>
    </row>
    <row r="82" spans="1:13" x14ac:dyDescent="0.35">
      <c r="A82" s="36">
        <f>A81+1</f>
        <v>2</v>
      </c>
      <c r="B82" s="125"/>
      <c r="E82" s="364"/>
      <c r="F82" s="364"/>
      <c r="G82" s="124"/>
      <c r="H82" s="124"/>
      <c r="I82" s="48"/>
      <c r="J82" s="36">
        <f>J81+1</f>
        <v>2</v>
      </c>
    </row>
    <row r="83" spans="1:13" x14ac:dyDescent="0.35">
      <c r="A83" s="36">
        <f>A82+1</f>
        <v>3</v>
      </c>
      <c r="B83" s="41" t="s">
        <v>471</v>
      </c>
      <c r="E83" s="364"/>
      <c r="F83" s="364"/>
      <c r="G83" s="124"/>
      <c r="H83" s="124"/>
      <c r="I83" s="48"/>
      <c r="J83" s="36">
        <f>J82+1</f>
        <v>3</v>
      </c>
    </row>
    <row r="84" spans="1:13" x14ac:dyDescent="0.35">
      <c r="A84" s="36">
        <f>A83+1</f>
        <v>4</v>
      </c>
      <c r="B84" s="364"/>
      <c r="C84" s="364"/>
      <c r="D84" s="364"/>
      <c r="E84" s="364"/>
      <c r="F84" s="364"/>
      <c r="G84" s="124"/>
      <c r="H84" s="124"/>
      <c r="I84" s="48"/>
      <c r="J84" s="36">
        <f>J83+1</f>
        <v>4</v>
      </c>
    </row>
    <row r="85" spans="1:13" x14ac:dyDescent="0.35">
      <c r="A85" s="36">
        <f t="shared" ref="A85:A111" si="2">A84+1</f>
        <v>5</v>
      </c>
      <c r="B85" s="43" t="s">
        <v>472</v>
      </c>
      <c r="C85" s="364"/>
      <c r="D85" s="364"/>
      <c r="E85" s="364"/>
      <c r="F85" s="364"/>
      <c r="G85" s="124"/>
      <c r="H85" s="124"/>
      <c r="I85" s="126"/>
      <c r="J85" s="36">
        <f t="shared" ref="J85:J111" si="3">J84+1</f>
        <v>5</v>
      </c>
    </row>
    <row r="86" spans="1:13" x14ac:dyDescent="0.35">
      <c r="A86" s="36">
        <f t="shared" si="2"/>
        <v>6</v>
      </c>
      <c r="B86" s="37" t="s">
        <v>473</v>
      </c>
      <c r="D86" s="364"/>
      <c r="E86" s="364"/>
      <c r="F86" s="364"/>
      <c r="G86" s="127">
        <f>G53</f>
        <v>5.9534869804339169E-2</v>
      </c>
      <c r="H86" s="364"/>
      <c r="I86" s="48" t="str">
        <f>"AV1; Line "&amp;A53</f>
        <v>AV1; Line 42</v>
      </c>
      <c r="J86" s="36">
        <f t="shared" si="3"/>
        <v>6</v>
      </c>
      <c r="L86" s="36"/>
    </row>
    <row r="87" spans="1:13" x14ac:dyDescent="0.35">
      <c r="A87" s="36">
        <f t="shared" si="2"/>
        <v>7</v>
      </c>
      <c r="B87" s="37" t="s">
        <v>475</v>
      </c>
      <c r="D87" s="364"/>
      <c r="E87" s="364"/>
      <c r="F87" s="364"/>
      <c r="G87" s="128">
        <v>2773.5646755720263</v>
      </c>
      <c r="H87" s="364"/>
      <c r="I87" s="48" t="s">
        <v>476</v>
      </c>
      <c r="J87" s="36">
        <f t="shared" si="3"/>
        <v>7</v>
      </c>
      <c r="L87" s="36"/>
    </row>
    <row r="88" spans="1:13" ht="18" x14ac:dyDescent="0.35">
      <c r="A88" s="36">
        <f t="shared" si="2"/>
        <v>8</v>
      </c>
      <c r="B88" s="37" t="s">
        <v>477</v>
      </c>
      <c r="D88" s="364"/>
      <c r="E88" s="364"/>
      <c r="F88" s="364"/>
      <c r="G88" s="129">
        <v>8264.7629899999993</v>
      </c>
      <c r="H88" s="364"/>
      <c r="I88" s="122" t="s">
        <v>507</v>
      </c>
      <c r="J88" s="36">
        <f t="shared" si="3"/>
        <v>8</v>
      </c>
      <c r="L88" s="364"/>
    </row>
    <row r="89" spans="1:13" x14ac:dyDescent="0.35">
      <c r="A89" s="36">
        <f t="shared" si="2"/>
        <v>9</v>
      </c>
      <c r="B89" s="37" t="s">
        <v>479</v>
      </c>
      <c r="D89" s="364"/>
      <c r="E89" s="130"/>
      <c r="F89" s="364"/>
      <c r="G89" s="32">
        <v>4576183.24786379</v>
      </c>
      <c r="H89" s="364"/>
      <c r="I89" s="122" t="s">
        <v>480</v>
      </c>
      <c r="J89" s="36">
        <f t="shared" si="3"/>
        <v>9</v>
      </c>
    </row>
    <row r="90" spans="1:13" x14ac:dyDescent="0.35">
      <c r="A90" s="36">
        <f t="shared" si="2"/>
        <v>10</v>
      </c>
      <c r="B90" s="37" t="s">
        <v>481</v>
      </c>
      <c r="D90" s="132"/>
      <c r="E90" s="364"/>
      <c r="F90" s="364"/>
      <c r="G90" s="354">
        <v>0.21</v>
      </c>
      <c r="H90" s="364"/>
      <c r="I90" s="48" t="s">
        <v>482</v>
      </c>
      <c r="J90" s="36">
        <f t="shared" si="3"/>
        <v>10</v>
      </c>
      <c r="M90" s="133"/>
    </row>
    <row r="91" spans="1:13" x14ac:dyDescent="0.35">
      <c r="A91" s="36">
        <f t="shared" si="2"/>
        <v>11</v>
      </c>
      <c r="G91" s="36"/>
      <c r="H91" s="36"/>
      <c r="J91" s="36">
        <f t="shared" si="3"/>
        <v>11</v>
      </c>
    </row>
    <row r="92" spans="1:13" x14ac:dyDescent="0.35">
      <c r="A92" s="36">
        <f t="shared" si="2"/>
        <v>12</v>
      </c>
      <c r="B92" s="37" t="s">
        <v>483</v>
      </c>
      <c r="D92" s="364"/>
      <c r="E92" s="364"/>
      <c r="F92" s="364"/>
      <c r="G92" s="134">
        <f>(((G86)+(G88/G89))*G90-(G87/G89))/(1-G90)</f>
        <v>1.5538612464473007E-2</v>
      </c>
      <c r="H92" s="134"/>
      <c r="I92" s="48" t="s">
        <v>484</v>
      </c>
      <c r="J92" s="36">
        <f t="shared" si="3"/>
        <v>12</v>
      </c>
      <c r="M92" s="135"/>
    </row>
    <row r="93" spans="1:13" x14ac:dyDescent="0.35">
      <c r="A93" s="36">
        <f t="shared" si="2"/>
        <v>13</v>
      </c>
      <c r="B93" s="136" t="s">
        <v>485</v>
      </c>
      <c r="G93" s="36"/>
      <c r="H93" s="36"/>
      <c r="J93" s="36">
        <f t="shared" si="3"/>
        <v>13</v>
      </c>
    </row>
    <row r="94" spans="1:13" x14ac:dyDescent="0.35">
      <c r="A94" s="36">
        <f t="shared" si="2"/>
        <v>14</v>
      </c>
      <c r="G94" s="36"/>
      <c r="H94" s="36"/>
      <c r="J94" s="36">
        <f t="shared" si="3"/>
        <v>14</v>
      </c>
    </row>
    <row r="95" spans="1:13" x14ac:dyDescent="0.35">
      <c r="A95" s="36">
        <f t="shared" si="2"/>
        <v>15</v>
      </c>
      <c r="B95" s="41" t="s">
        <v>486</v>
      </c>
      <c r="C95" s="364"/>
      <c r="D95" s="364"/>
      <c r="E95" s="364"/>
      <c r="F95" s="364"/>
      <c r="G95" s="137"/>
      <c r="H95" s="137"/>
      <c r="I95" s="138"/>
      <c r="J95" s="36">
        <f t="shared" si="3"/>
        <v>15</v>
      </c>
      <c r="L95" s="139"/>
    </row>
    <row r="96" spans="1:13" x14ac:dyDescent="0.35">
      <c r="A96" s="36">
        <f t="shared" si="2"/>
        <v>16</v>
      </c>
      <c r="B96" s="53"/>
      <c r="C96" s="364"/>
      <c r="D96" s="364"/>
      <c r="E96" s="364"/>
      <c r="F96" s="364"/>
      <c r="G96" s="137"/>
      <c r="H96" s="137"/>
      <c r="I96" s="140"/>
      <c r="J96" s="36">
        <f t="shared" si="3"/>
        <v>16</v>
      </c>
      <c r="L96" s="364"/>
    </row>
    <row r="97" spans="1:13" x14ac:dyDescent="0.35">
      <c r="A97" s="36">
        <f t="shared" si="2"/>
        <v>17</v>
      </c>
      <c r="B97" s="43" t="s">
        <v>472</v>
      </c>
      <c r="C97" s="364"/>
      <c r="D97" s="364"/>
      <c r="E97" s="364"/>
      <c r="F97" s="364"/>
      <c r="G97" s="137"/>
      <c r="H97" s="137"/>
      <c r="I97" s="140"/>
      <c r="J97" s="36">
        <f t="shared" si="3"/>
        <v>17</v>
      </c>
      <c r="L97" s="364"/>
    </row>
    <row r="98" spans="1:13" x14ac:dyDescent="0.35">
      <c r="A98" s="36">
        <f t="shared" si="2"/>
        <v>18</v>
      </c>
      <c r="B98" s="37" t="s">
        <v>473</v>
      </c>
      <c r="D98" s="364"/>
      <c r="E98" s="364"/>
      <c r="F98" s="364"/>
      <c r="G98" s="113">
        <f>G86</f>
        <v>5.9534869804339169E-2</v>
      </c>
      <c r="H98" s="113"/>
      <c r="I98" s="48" t="str">
        <f>"Line "&amp;A86&amp;" Above"</f>
        <v>Line 6 Above</v>
      </c>
      <c r="J98" s="36">
        <f t="shared" si="3"/>
        <v>18</v>
      </c>
      <c r="L98" s="36"/>
    </row>
    <row r="99" spans="1:13" x14ac:dyDescent="0.35">
      <c r="A99" s="36">
        <f t="shared" si="2"/>
        <v>19</v>
      </c>
      <c r="B99" s="37" t="s">
        <v>487</v>
      </c>
      <c r="D99" s="364"/>
      <c r="E99" s="364"/>
      <c r="F99" s="364"/>
      <c r="G99" s="141">
        <f>G88</f>
        <v>8264.7629899999993</v>
      </c>
      <c r="H99" s="141"/>
      <c r="I99" s="48" t="str">
        <f>"Line "&amp;A88&amp;" Above"</f>
        <v>Line 8 Above</v>
      </c>
      <c r="J99" s="36">
        <f t="shared" si="3"/>
        <v>19</v>
      </c>
      <c r="L99" s="36"/>
    </row>
    <row r="100" spans="1:13" x14ac:dyDescent="0.35">
      <c r="A100" s="36">
        <f t="shared" si="2"/>
        <v>20</v>
      </c>
      <c r="B100" s="37" t="s">
        <v>488</v>
      </c>
      <c r="D100" s="364"/>
      <c r="E100" s="364"/>
      <c r="F100" s="364"/>
      <c r="G100" s="649">
        <f>G89</f>
        <v>4576183.24786379</v>
      </c>
      <c r="H100" s="649"/>
      <c r="I100" s="48" t="str">
        <f>"Line "&amp;A89&amp;" Above"</f>
        <v>Line 9 Above</v>
      </c>
      <c r="J100" s="36">
        <f t="shared" si="3"/>
        <v>20</v>
      </c>
      <c r="L100" s="36"/>
    </row>
    <row r="101" spans="1:13" x14ac:dyDescent="0.35">
      <c r="A101" s="36">
        <f t="shared" si="2"/>
        <v>21</v>
      </c>
      <c r="B101" s="37" t="s">
        <v>489</v>
      </c>
      <c r="D101" s="364"/>
      <c r="E101" s="364"/>
      <c r="F101" s="364"/>
      <c r="G101" s="143">
        <f>G92</f>
        <v>1.5538612464473007E-2</v>
      </c>
      <c r="H101" s="143"/>
      <c r="I101" s="48" t="str">
        <f>"Line "&amp;A92&amp;" Above"</f>
        <v>Line 12 Above</v>
      </c>
      <c r="J101" s="36">
        <f t="shared" si="3"/>
        <v>21</v>
      </c>
    </row>
    <row r="102" spans="1:13" x14ac:dyDescent="0.35">
      <c r="A102" s="36">
        <f t="shared" si="2"/>
        <v>22</v>
      </c>
      <c r="B102" s="37" t="s">
        <v>490</v>
      </c>
      <c r="D102" s="364"/>
      <c r="E102" s="364"/>
      <c r="F102" s="364"/>
      <c r="G102" s="380">
        <v>8.8400000000000006E-2</v>
      </c>
      <c r="H102" s="364"/>
      <c r="I102" s="48" t="s">
        <v>491</v>
      </c>
      <c r="J102" s="36">
        <f t="shared" si="3"/>
        <v>22</v>
      </c>
    </row>
    <row r="103" spans="1:13" x14ac:dyDescent="0.35">
      <c r="A103" s="36">
        <f t="shared" si="2"/>
        <v>23</v>
      </c>
      <c r="B103" s="601"/>
      <c r="D103" s="364"/>
      <c r="E103" s="364"/>
      <c r="F103" s="364"/>
      <c r="G103" s="144"/>
      <c r="H103" s="144"/>
      <c r="I103" s="140"/>
      <c r="J103" s="36">
        <f t="shared" si="3"/>
        <v>23</v>
      </c>
    </row>
    <row r="104" spans="1:13" x14ac:dyDescent="0.35">
      <c r="A104" s="36">
        <f t="shared" si="2"/>
        <v>24</v>
      </c>
      <c r="B104" s="37" t="s">
        <v>492</v>
      </c>
      <c r="C104" s="36"/>
      <c r="D104" s="36"/>
      <c r="E104" s="364"/>
      <c r="F104" s="364"/>
      <c r="G104" s="355">
        <f>((G98)+(G99/G100)+G92)*G102/(1-G102)</f>
        <v>7.4551882769676725E-3</v>
      </c>
      <c r="H104" s="145"/>
      <c r="I104" s="48" t="s">
        <v>493</v>
      </c>
      <c r="J104" s="36">
        <f t="shared" si="3"/>
        <v>24</v>
      </c>
    </row>
    <row r="105" spans="1:13" x14ac:dyDescent="0.35">
      <c r="A105" s="36">
        <f t="shared" si="2"/>
        <v>25</v>
      </c>
      <c r="B105" s="136" t="s">
        <v>494</v>
      </c>
      <c r="G105" s="36"/>
      <c r="H105" s="36"/>
      <c r="I105" s="48"/>
      <c r="J105" s="36">
        <f t="shared" si="3"/>
        <v>25</v>
      </c>
      <c r="L105" s="36"/>
    </row>
    <row r="106" spans="1:13" x14ac:dyDescent="0.35">
      <c r="A106" s="36">
        <f t="shared" si="2"/>
        <v>26</v>
      </c>
      <c r="G106" s="36"/>
      <c r="H106" s="36"/>
      <c r="I106" s="48"/>
      <c r="J106" s="36">
        <f t="shared" si="3"/>
        <v>26</v>
      </c>
      <c r="L106" s="36"/>
    </row>
    <row r="107" spans="1:13" x14ac:dyDescent="0.35">
      <c r="A107" s="36">
        <f t="shared" si="2"/>
        <v>27</v>
      </c>
      <c r="B107" s="41" t="s">
        <v>495</v>
      </c>
      <c r="G107" s="134">
        <f>G104+G92</f>
        <v>2.2993800741440681E-2</v>
      </c>
      <c r="H107" s="134"/>
      <c r="I107" s="48" t="str">
        <f>"Line "&amp;A92&amp;" + Line "&amp;A104</f>
        <v>Line 12 + Line 24</v>
      </c>
      <c r="J107" s="36">
        <f t="shared" si="3"/>
        <v>27</v>
      </c>
      <c r="L107" s="36"/>
    </row>
    <row r="108" spans="1:13" x14ac:dyDescent="0.35">
      <c r="A108" s="36">
        <f t="shared" si="2"/>
        <v>28</v>
      </c>
      <c r="G108" s="36"/>
      <c r="H108" s="36"/>
      <c r="I108" s="48"/>
      <c r="J108" s="36">
        <f t="shared" si="3"/>
        <v>28</v>
      </c>
      <c r="L108" s="36"/>
    </row>
    <row r="109" spans="1:13" x14ac:dyDescent="0.35">
      <c r="A109" s="36">
        <f t="shared" si="2"/>
        <v>29</v>
      </c>
      <c r="B109" s="41" t="s">
        <v>496</v>
      </c>
      <c r="G109" s="356">
        <f>G51</f>
        <v>7.6903381456357389E-2</v>
      </c>
      <c r="H109" s="364"/>
      <c r="I109" s="48" t="str">
        <f>"AV1; Line "&amp;A51</f>
        <v>AV1; Line 40</v>
      </c>
      <c r="J109" s="36">
        <f t="shared" si="3"/>
        <v>29</v>
      </c>
      <c r="L109" s="36"/>
    </row>
    <row r="110" spans="1:13" x14ac:dyDescent="0.35">
      <c r="A110" s="36">
        <f t="shared" si="2"/>
        <v>30</v>
      </c>
      <c r="G110" s="113"/>
      <c r="H110" s="113"/>
      <c r="I110" s="48"/>
      <c r="J110" s="36">
        <f t="shared" si="3"/>
        <v>30</v>
      </c>
      <c r="L110" s="36"/>
    </row>
    <row r="111" spans="1:13" ht="18" thickBot="1" x14ac:dyDescent="0.4">
      <c r="A111" s="36">
        <f t="shared" si="2"/>
        <v>31</v>
      </c>
      <c r="B111" s="41" t="s">
        <v>497</v>
      </c>
      <c r="G111" s="146">
        <f>G107+G109</f>
        <v>9.9897182197798071E-2</v>
      </c>
      <c r="H111" s="145"/>
      <c r="I111" s="48" t="str">
        <f>"Line "&amp;A107&amp;" + Line "&amp;A109</f>
        <v>Line 27 + Line 29</v>
      </c>
      <c r="J111" s="36">
        <f t="shared" si="3"/>
        <v>31</v>
      </c>
      <c r="L111" s="147"/>
      <c r="M111" s="135"/>
    </row>
    <row r="112" spans="1:13" ht="16" thickTop="1" x14ac:dyDescent="0.35">
      <c r="B112" s="41"/>
      <c r="G112" s="149"/>
      <c r="H112" s="149"/>
      <c r="I112" s="48"/>
      <c r="J112" s="36"/>
      <c r="L112" s="147"/>
      <c r="M112" s="135"/>
    </row>
    <row r="113" spans="1:13" x14ac:dyDescent="0.35">
      <c r="B113" s="41"/>
      <c r="G113" s="149"/>
      <c r="H113" s="149"/>
      <c r="I113" s="48"/>
      <c r="J113" s="36"/>
      <c r="L113" s="147"/>
      <c r="M113" s="135"/>
    </row>
    <row r="114" spans="1:13" ht="18.5" x14ac:dyDescent="0.35">
      <c r="A114" s="357">
        <v>1</v>
      </c>
      <c r="B114" s="18" t="s">
        <v>498</v>
      </c>
      <c r="G114" s="149"/>
      <c r="H114" s="149"/>
      <c r="I114" s="48"/>
      <c r="J114" s="36"/>
      <c r="L114" s="147"/>
      <c r="M114" s="135"/>
    </row>
    <row r="115" spans="1:13" ht="18.5" x14ac:dyDescent="0.35">
      <c r="A115" s="357"/>
      <c r="B115" s="18"/>
      <c r="G115" s="149"/>
      <c r="H115" s="149"/>
      <c r="I115" s="48"/>
      <c r="J115" s="36"/>
      <c r="L115" s="147"/>
      <c r="M115" s="135"/>
    </row>
    <row r="116" spans="1:13" x14ac:dyDescent="0.35">
      <c r="A116" s="150"/>
      <c r="B116" s="601"/>
      <c r="C116" s="38"/>
      <c r="D116" s="38"/>
      <c r="E116" s="38"/>
      <c r="F116" s="38"/>
      <c r="G116" s="151"/>
      <c r="H116" s="151"/>
      <c r="I116" s="358"/>
      <c r="J116" s="36"/>
    </row>
    <row r="117" spans="1:13" x14ac:dyDescent="0.35">
      <c r="B117" s="863" t="s">
        <v>20</v>
      </c>
      <c r="C117" s="863"/>
      <c r="D117" s="863"/>
      <c r="E117" s="863"/>
      <c r="F117" s="863"/>
      <c r="G117" s="863"/>
      <c r="H117" s="863"/>
      <c r="I117" s="863"/>
    </row>
    <row r="118" spans="1:13" x14ac:dyDescent="0.35">
      <c r="B118" s="863" t="s">
        <v>407</v>
      </c>
      <c r="C118" s="863"/>
      <c r="D118" s="863"/>
      <c r="E118" s="863"/>
      <c r="F118" s="863"/>
      <c r="G118" s="863"/>
      <c r="H118" s="863"/>
      <c r="I118" s="863"/>
    </row>
    <row r="119" spans="1:13" x14ac:dyDescent="0.35">
      <c r="B119" s="863" t="s">
        <v>408</v>
      </c>
      <c r="C119" s="863"/>
      <c r="D119" s="863"/>
      <c r="E119" s="863"/>
      <c r="F119" s="863"/>
      <c r="G119" s="863"/>
      <c r="H119" s="863"/>
      <c r="I119" s="863"/>
    </row>
    <row r="120" spans="1:13" x14ac:dyDescent="0.35">
      <c r="B120" s="866" t="str">
        <f>B6</f>
        <v>Base Period &amp; True-Up Period 12 - Months Ending December 31, 2020</v>
      </c>
      <c r="C120" s="866"/>
      <c r="D120" s="866"/>
      <c r="E120" s="866"/>
      <c r="F120" s="866"/>
      <c r="G120" s="866"/>
      <c r="H120" s="866"/>
      <c r="I120" s="866"/>
    </row>
    <row r="121" spans="1:13" x14ac:dyDescent="0.35">
      <c r="B121" s="865" t="s">
        <v>4</v>
      </c>
      <c r="C121" s="867"/>
      <c r="D121" s="867"/>
      <c r="E121" s="867"/>
      <c r="F121" s="867"/>
      <c r="G121" s="867"/>
      <c r="H121" s="867"/>
      <c r="I121" s="867"/>
    </row>
    <row r="123" spans="1:13" x14ac:dyDescent="0.35">
      <c r="A123" s="36" t="s">
        <v>5</v>
      </c>
      <c r="B123" s="364"/>
      <c r="C123" s="364"/>
      <c r="D123" s="364"/>
      <c r="E123" s="364"/>
      <c r="F123" s="364"/>
      <c r="G123" s="364"/>
      <c r="H123" s="364"/>
      <c r="I123" s="48"/>
      <c r="J123" s="36" t="s">
        <v>5</v>
      </c>
    </row>
    <row r="124" spans="1:13" x14ac:dyDescent="0.35">
      <c r="A124" s="36" t="s">
        <v>6</v>
      </c>
      <c r="B124" s="36"/>
      <c r="C124" s="36"/>
      <c r="D124" s="36"/>
      <c r="E124" s="36"/>
      <c r="F124" s="36"/>
      <c r="G124" s="307" t="s">
        <v>8</v>
      </c>
      <c r="H124" s="364"/>
      <c r="I124" s="342" t="s">
        <v>9</v>
      </c>
      <c r="J124" s="36" t="s">
        <v>6</v>
      </c>
    </row>
    <row r="126" spans="1:13" ht="17.5" x14ac:dyDescent="0.35">
      <c r="A126" s="36">
        <v>1</v>
      </c>
      <c r="B126" s="41" t="s">
        <v>499</v>
      </c>
      <c r="J126" s="36">
        <v>1</v>
      </c>
    </row>
    <row r="127" spans="1:13" x14ac:dyDescent="0.35">
      <c r="A127" s="36">
        <f>A126+1</f>
        <v>2</v>
      </c>
      <c r="B127" s="125"/>
      <c r="J127" s="36">
        <f>J126+1</f>
        <v>2</v>
      </c>
    </row>
    <row r="128" spans="1:13" x14ac:dyDescent="0.35">
      <c r="A128" s="36">
        <f>A127+1</f>
        <v>3</v>
      </c>
      <c r="B128" s="41" t="s">
        <v>471</v>
      </c>
      <c r="J128" s="36">
        <f>J127+1</f>
        <v>3</v>
      </c>
    </row>
    <row r="129" spans="1:10" x14ac:dyDescent="0.35">
      <c r="A129" s="36">
        <f>A128+1</f>
        <v>4</v>
      </c>
      <c r="B129" s="364"/>
      <c r="J129" s="36">
        <f>J128+1</f>
        <v>4</v>
      </c>
    </row>
    <row r="130" spans="1:10" x14ac:dyDescent="0.35">
      <c r="A130" s="36">
        <f t="shared" ref="A130:A156" si="4">A129+1</f>
        <v>5</v>
      </c>
      <c r="B130" s="43" t="s">
        <v>472</v>
      </c>
      <c r="J130" s="36">
        <f t="shared" ref="J130:J156" si="5">J129+1</f>
        <v>5</v>
      </c>
    </row>
    <row r="131" spans="1:10" x14ac:dyDescent="0.35">
      <c r="A131" s="36">
        <f t="shared" si="4"/>
        <v>6</v>
      </c>
      <c r="B131" s="37" t="str">
        <f>B86</f>
        <v xml:space="preserve">     A = Sum of Preferred Stock and Return on Equity Component</v>
      </c>
      <c r="G131" s="127">
        <f>G66</f>
        <v>0</v>
      </c>
      <c r="I131" s="48" t="str">
        <f>"AV1; Line "&amp;A66</f>
        <v>AV1; Line 55</v>
      </c>
      <c r="J131" s="36">
        <f t="shared" si="5"/>
        <v>6</v>
      </c>
    </row>
    <row r="132" spans="1:10" x14ac:dyDescent="0.35">
      <c r="A132" s="36">
        <f t="shared" si="4"/>
        <v>7</v>
      </c>
      <c r="B132" s="37" t="str">
        <f>B87</f>
        <v xml:space="preserve">     B = Transmission Total Federal Tax Adjustments</v>
      </c>
      <c r="G132" s="148">
        <v>0</v>
      </c>
      <c r="I132" s="122" t="s">
        <v>270</v>
      </c>
      <c r="J132" s="36">
        <f t="shared" si="5"/>
        <v>7</v>
      </c>
    </row>
    <row r="133" spans="1:10" x14ac:dyDescent="0.35">
      <c r="A133" s="36">
        <f t="shared" si="4"/>
        <v>8</v>
      </c>
      <c r="B133" s="37" t="s">
        <v>500</v>
      </c>
      <c r="G133" s="359">
        <v>0</v>
      </c>
      <c r="I133" s="122" t="s">
        <v>270</v>
      </c>
      <c r="J133" s="36">
        <f t="shared" si="5"/>
        <v>8</v>
      </c>
    </row>
    <row r="134" spans="1:10" x14ac:dyDescent="0.35">
      <c r="A134" s="36">
        <f t="shared" si="4"/>
        <v>9</v>
      </c>
      <c r="B134" s="37" t="s">
        <v>501</v>
      </c>
      <c r="G134" s="359">
        <v>0</v>
      </c>
      <c r="I134" s="122" t="s">
        <v>270</v>
      </c>
      <c r="J134" s="36">
        <f t="shared" si="5"/>
        <v>9</v>
      </c>
    </row>
    <row r="135" spans="1:10" x14ac:dyDescent="0.35">
      <c r="A135" s="36">
        <f t="shared" si="4"/>
        <v>10</v>
      </c>
      <c r="B135" s="37" t="str">
        <f>B90</f>
        <v xml:space="preserve">     FT = Federal Income Tax Rate for Rate Effective Period</v>
      </c>
      <c r="G135" s="360">
        <f>G90</f>
        <v>0.21</v>
      </c>
      <c r="I135" s="48" t="str">
        <f>"AV2; Line "&amp;A90</f>
        <v>AV2; Line 10</v>
      </c>
      <c r="J135" s="36">
        <f t="shared" si="5"/>
        <v>10</v>
      </c>
    </row>
    <row r="136" spans="1:10" x14ac:dyDescent="0.35">
      <c r="A136" s="36">
        <f t="shared" si="4"/>
        <v>11</v>
      </c>
      <c r="G136" s="36"/>
      <c r="J136" s="36">
        <f t="shared" si="5"/>
        <v>11</v>
      </c>
    </row>
    <row r="137" spans="1:10" x14ac:dyDescent="0.35">
      <c r="A137" s="36">
        <f t="shared" si="4"/>
        <v>12</v>
      </c>
      <c r="B137" s="37" t="s">
        <v>502</v>
      </c>
      <c r="G137" s="134">
        <f>IFERROR((((G131)+(G133/G134))*G135-(G132/G134))/(1-G135),0)</f>
        <v>0</v>
      </c>
      <c r="I137" s="48" t="s">
        <v>503</v>
      </c>
      <c r="J137" s="36">
        <f t="shared" si="5"/>
        <v>12</v>
      </c>
    </row>
    <row r="138" spans="1:10" x14ac:dyDescent="0.35">
      <c r="A138" s="36">
        <f t="shared" si="4"/>
        <v>13</v>
      </c>
      <c r="B138" s="136" t="s">
        <v>485</v>
      </c>
      <c r="G138" s="121"/>
      <c r="J138" s="36">
        <f t="shared" si="5"/>
        <v>13</v>
      </c>
    </row>
    <row r="139" spans="1:10" x14ac:dyDescent="0.35">
      <c r="A139" s="36">
        <f t="shared" si="4"/>
        <v>14</v>
      </c>
      <c r="G139" s="36"/>
      <c r="J139" s="36">
        <f t="shared" si="5"/>
        <v>14</v>
      </c>
    </row>
    <row r="140" spans="1:10" x14ac:dyDescent="0.35">
      <c r="A140" s="36">
        <f t="shared" si="4"/>
        <v>15</v>
      </c>
      <c r="B140" s="41" t="s">
        <v>486</v>
      </c>
      <c r="G140" s="137"/>
      <c r="I140" s="138"/>
      <c r="J140" s="36">
        <f t="shared" si="5"/>
        <v>15</v>
      </c>
    </row>
    <row r="141" spans="1:10" x14ac:dyDescent="0.35">
      <c r="A141" s="36">
        <f t="shared" si="4"/>
        <v>16</v>
      </c>
      <c r="B141" s="53"/>
      <c r="G141" s="137"/>
      <c r="I141" s="126"/>
      <c r="J141" s="36">
        <f t="shared" si="5"/>
        <v>16</v>
      </c>
    </row>
    <row r="142" spans="1:10" x14ac:dyDescent="0.35">
      <c r="A142" s="36">
        <f t="shared" si="4"/>
        <v>17</v>
      </c>
      <c r="B142" s="43" t="s">
        <v>472</v>
      </c>
      <c r="G142" s="137"/>
      <c r="I142" s="126"/>
      <c r="J142" s="36">
        <f t="shared" si="5"/>
        <v>17</v>
      </c>
    </row>
    <row r="143" spans="1:10" x14ac:dyDescent="0.35">
      <c r="A143" s="36">
        <f t="shared" si="4"/>
        <v>18</v>
      </c>
      <c r="B143" s="37" t="str">
        <f>B98</f>
        <v xml:space="preserve">     A = Sum of Preferred Stock and Return on Equity Component</v>
      </c>
      <c r="G143" s="113">
        <f>G131</f>
        <v>0</v>
      </c>
      <c r="I143" s="48" t="str">
        <f>"Line "&amp;A131&amp;" Above"</f>
        <v>Line 6 Above</v>
      </c>
      <c r="J143" s="36">
        <f t="shared" si="5"/>
        <v>18</v>
      </c>
    </row>
    <row r="144" spans="1:10" x14ac:dyDescent="0.35">
      <c r="A144" s="36">
        <f t="shared" si="4"/>
        <v>19</v>
      </c>
      <c r="B144" s="37" t="str">
        <f>B99</f>
        <v xml:space="preserve">     B = Equity AFUDC Component of Transmission Depreciation Expense</v>
      </c>
      <c r="G144" s="141">
        <f>G133</f>
        <v>0</v>
      </c>
      <c r="I144" s="48" t="str">
        <f>"Line "&amp;A133&amp;" Above"</f>
        <v>Line 8 Above</v>
      </c>
      <c r="J144" s="36">
        <f t="shared" si="5"/>
        <v>19</v>
      </c>
    </row>
    <row r="145" spans="1:10" x14ac:dyDescent="0.35">
      <c r="A145" s="36">
        <f t="shared" si="4"/>
        <v>20</v>
      </c>
      <c r="B145" s="37" t="s">
        <v>504</v>
      </c>
      <c r="G145" s="141">
        <f>G134</f>
        <v>0</v>
      </c>
      <c r="I145" s="48" t="str">
        <f>"Line "&amp;A134&amp;" Above"</f>
        <v>Line 9 Above</v>
      </c>
      <c r="J145" s="36">
        <f t="shared" si="5"/>
        <v>20</v>
      </c>
    </row>
    <row r="146" spans="1:10" x14ac:dyDescent="0.35">
      <c r="A146" s="36">
        <f t="shared" si="4"/>
        <v>21</v>
      </c>
      <c r="B146" s="37" t="str">
        <f>B101</f>
        <v xml:space="preserve">     FT = Federal Income Tax Expense</v>
      </c>
      <c r="G146" s="143">
        <f>G137</f>
        <v>0</v>
      </c>
      <c r="I146" s="48" t="str">
        <f>"Line "&amp;A137&amp;" Above"</f>
        <v>Line 12 Above</v>
      </c>
      <c r="J146" s="36">
        <f t="shared" si="5"/>
        <v>21</v>
      </c>
    </row>
    <row r="147" spans="1:10" x14ac:dyDescent="0.35">
      <c r="A147" s="36">
        <f t="shared" si="4"/>
        <v>22</v>
      </c>
      <c r="B147" s="37" t="str">
        <f>B102</f>
        <v xml:space="preserve">     ST = State Income Tax Rate for Rate Effective Period</v>
      </c>
      <c r="G147" s="361">
        <f>G102</f>
        <v>8.8400000000000006E-2</v>
      </c>
      <c r="I147" s="48" t="str">
        <f>"AV2; Line "&amp;A102</f>
        <v>AV2; Line 22</v>
      </c>
      <c r="J147" s="36">
        <f t="shared" si="5"/>
        <v>22</v>
      </c>
    </row>
    <row r="148" spans="1:10" x14ac:dyDescent="0.35">
      <c r="A148" s="36">
        <f t="shared" si="4"/>
        <v>23</v>
      </c>
      <c r="B148" s="601"/>
      <c r="G148" s="144"/>
      <c r="I148" s="140"/>
      <c r="J148" s="36">
        <f t="shared" si="5"/>
        <v>23</v>
      </c>
    </row>
    <row r="149" spans="1:10" x14ac:dyDescent="0.35">
      <c r="A149" s="36">
        <f t="shared" si="4"/>
        <v>24</v>
      </c>
      <c r="B149" s="37" t="s">
        <v>492</v>
      </c>
      <c r="G149" s="355">
        <f>IFERROR(((G143)+(G144/G145)+G137)*G147/(1-G147),0)</f>
        <v>0</v>
      </c>
      <c r="I149" s="48" t="s">
        <v>493</v>
      </c>
      <c r="J149" s="36">
        <f t="shared" si="5"/>
        <v>24</v>
      </c>
    </row>
    <row r="150" spans="1:10" x14ac:dyDescent="0.35">
      <c r="A150" s="36">
        <f t="shared" si="4"/>
        <v>25</v>
      </c>
      <c r="B150" s="136" t="s">
        <v>494</v>
      </c>
      <c r="G150" s="36"/>
      <c r="I150" s="48"/>
      <c r="J150" s="36">
        <f t="shared" si="5"/>
        <v>25</v>
      </c>
    </row>
    <row r="151" spans="1:10" x14ac:dyDescent="0.35">
      <c r="A151" s="36">
        <f t="shared" si="4"/>
        <v>26</v>
      </c>
      <c r="G151" s="36"/>
      <c r="I151" s="48"/>
      <c r="J151" s="36">
        <f t="shared" si="5"/>
        <v>26</v>
      </c>
    </row>
    <row r="152" spans="1:10" x14ac:dyDescent="0.35">
      <c r="A152" s="36">
        <f t="shared" si="4"/>
        <v>27</v>
      </c>
      <c r="B152" s="41" t="s">
        <v>495</v>
      </c>
      <c r="G152" s="134">
        <f>G149+G137</f>
        <v>0</v>
      </c>
      <c r="I152" s="48" t="str">
        <f>"Line "&amp;A137&amp;" + Line "&amp;A149</f>
        <v>Line 12 + Line 24</v>
      </c>
      <c r="J152" s="36">
        <f t="shared" si="5"/>
        <v>27</v>
      </c>
    </row>
    <row r="153" spans="1:10" x14ac:dyDescent="0.35">
      <c r="A153" s="36">
        <f t="shared" si="4"/>
        <v>28</v>
      </c>
      <c r="G153" s="36"/>
      <c r="I153" s="48"/>
      <c r="J153" s="36">
        <f t="shared" si="5"/>
        <v>28</v>
      </c>
    </row>
    <row r="154" spans="1:10" x14ac:dyDescent="0.35">
      <c r="A154" s="36">
        <f t="shared" si="4"/>
        <v>29</v>
      </c>
      <c r="B154" s="41" t="s">
        <v>505</v>
      </c>
      <c r="G154" s="362">
        <f>G64</f>
        <v>0</v>
      </c>
      <c r="I154" s="48" t="str">
        <f>"AV1; Line "&amp;A64</f>
        <v>AV1; Line 53</v>
      </c>
      <c r="J154" s="36">
        <f t="shared" si="5"/>
        <v>29</v>
      </c>
    </row>
    <row r="155" spans="1:10" x14ac:dyDescent="0.35">
      <c r="A155" s="36">
        <f t="shared" si="4"/>
        <v>30</v>
      </c>
      <c r="G155" s="36"/>
      <c r="I155" s="48"/>
      <c r="J155" s="36">
        <f t="shared" si="5"/>
        <v>30</v>
      </c>
    </row>
    <row r="156" spans="1:10" ht="18" thickBot="1" x14ac:dyDescent="0.4">
      <c r="A156" s="36">
        <f t="shared" si="4"/>
        <v>31</v>
      </c>
      <c r="B156" s="41" t="s">
        <v>506</v>
      </c>
      <c r="G156" s="152">
        <f>G152+G154</f>
        <v>0</v>
      </c>
      <c r="I156" s="48" t="str">
        <f>"Line "&amp;A152&amp;" + Line "&amp;A154</f>
        <v>Line 27 + Line 29</v>
      </c>
      <c r="J156" s="36">
        <f t="shared" si="5"/>
        <v>31</v>
      </c>
    </row>
    <row r="157" spans="1:10" ht="16" thickTop="1" x14ac:dyDescent="0.35"/>
    <row r="159" spans="1:10" ht="18" x14ac:dyDescent="0.35">
      <c r="A159" s="67"/>
      <c r="B159" s="18"/>
    </row>
  </sheetData>
  <mergeCells count="15">
    <mergeCell ref="B119:I119"/>
    <mergeCell ref="B120:I120"/>
    <mergeCell ref="B121:I121"/>
    <mergeCell ref="B73:I73"/>
    <mergeCell ref="B74:I74"/>
    <mergeCell ref="B75:I75"/>
    <mergeCell ref="B76:I76"/>
    <mergeCell ref="B117:I117"/>
    <mergeCell ref="B118:I118"/>
    <mergeCell ref="B72:I72"/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2" orientation="portrait" r:id="rId1"/>
  <headerFooter scaleWithDoc="0" alignWithMargins="0">
    <oddHeader>&amp;C&amp;"Times New Roman,Bold"&amp;9AS FILED</oddHeader>
    <oddFooter>&amp;CPage 14.&amp;P&amp;R&amp;F</oddFooter>
  </headerFooter>
  <rowBreaks count="2" manualBreakCount="2">
    <brk id="70" max="16383" man="1"/>
    <brk id="115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90"/>
  <sheetViews>
    <sheetView zoomScale="80" zoomScaleNormal="80" workbookViewId="0"/>
  </sheetViews>
  <sheetFormatPr defaultColWidth="8.81640625" defaultRowHeight="15.5" x14ac:dyDescent="0.35"/>
  <cols>
    <col min="1" max="1" width="5.1796875" style="519" customWidth="1"/>
    <col min="2" max="2" width="87.36328125" style="471" customWidth="1"/>
    <col min="3" max="3" width="17.90625" style="471" customWidth="1"/>
    <col min="4" max="4" width="1.54296875" style="471" customWidth="1"/>
    <col min="5" max="5" width="47.6328125" style="471" customWidth="1"/>
    <col min="6" max="6" width="5.1796875" style="519" customWidth="1"/>
    <col min="7" max="16384" width="8.81640625" style="471"/>
  </cols>
  <sheetData>
    <row r="1" spans="1:6" x14ac:dyDescent="0.35">
      <c r="A1" s="159"/>
      <c r="B1" s="163"/>
      <c r="C1" s="470"/>
      <c r="D1" s="470"/>
      <c r="E1" s="365"/>
      <c r="F1" s="159"/>
    </row>
    <row r="2" spans="1:6" x14ac:dyDescent="0.35">
      <c r="A2" s="159"/>
      <c r="B2" s="853" t="s">
        <v>20</v>
      </c>
      <c r="C2" s="878"/>
      <c r="D2" s="878"/>
      <c r="E2" s="878"/>
      <c r="F2" s="159"/>
    </row>
    <row r="3" spans="1:6" x14ac:dyDescent="0.35">
      <c r="A3" s="159" t="s">
        <v>233</v>
      </c>
      <c r="B3" s="853" t="s">
        <v>508</v>
      </c>
      <c r="C3" s="878"/>
      <c r="D3" s="878"/>
      <c r="E3" s="878"/>
      <c r="F3" s="159" t="s">
        <v>233</v>
      </c>
    </row>
    <row r="4" spans="1:6" x14ac:dyDescent="0.35">
      <c r="A4" s="159"/>
      <c r="B4" s="875" t="s">
        <v>73</v>
      </c>
      <c r="C4" s="876"/>
      <c r="D4" s="876"/>
      <c r="E4" s="876"/>
      <c r="F4" s="159"/>
    </row>
    <row r="5" spans="1:6" x14ac:dyDescent="0.35">
      <c r="A5" s="159"/>
      <c r="B5" s="877" t="s">
        <v>4</v>
      </c>
      <c r="C5" s="878"/>
      <c r="D5" s="878"/>
      <c r="E5" s="878"/>
      <c r="F5" s="159"/>
    </row>
    <row r="6" spans="1:6" x14ac:dyDescent="0.35">
      <c r="A6" s="159"/>
      <c r="B6" s="602"/>
      <c r="C6" s="163"/>
      <c r="D6" s="163"/>
      <c r="E6" s="163"/>
      <c r="F6" s="159"/>
    </row>
    <row r="7" spans="1:6" x14ac:dyDescent="0.35">
      <c r="A7" s="159" t="s">
        <v>5</v>
      </c>
      <c r="B7" s="163"/>
      <c r="C7" s="472"/>
      <c r="D7" s="472"/>
      <c r="E7" s="162"/>
      <c r="F7" s="159" t="s">
        <v>5</v>
      </c>
    </row>
    <row r="8" spans="1:6" x14ac:dyDescent="0.35">
      <c r="A8" s="159" t="s">
        <v>6</v>
      </c>
      <c r="B8" s="163" t="s">
        <v>233</v>
      </c>
      <c r="C8" s="473" t="s">
        <v>8</v>
      </c>
      <c r="D8" s="472"/>
      <c r="E8" s="474" t="s">
        <v>9</v>
      </c>
      <c r="F8" s="159" t="s">
        <v>6</v>
      </c>
    </row>
    <row r="9" spans="1:6" x14ac:dyDescent="0.35">
      <c r="A9" s="159"/>
      <c r="B9" s="310" t="s">
        <v>509</v>
      </c>
      <c r="C9" s="475"/>
      <c r="D9" s="472"/>
      <c r="E9" s="162"/>
      <c r="F9" s="159"/>
    </row>
    <row r="10" spans="1:6" x14ac:dyDescent="0.35">
      <c r="A10" s="159"/>
      <c r="B10" s="476"/>
      <c r="C10" s="475"/>
      <c r="D10" s="472"/>
      <c r="E10" s="162"/>
      <c r="F10" s="159"/>
    </row>
    <row r="11" spans="1:6" x14ac:dyDescent="0.35">
      <c r="A11" s="159">
        <v>1</v>
      </c>
      <c r="B11" s="310" t="s">
        <v>510</v>
      </c>
      <c r="C11" s="475"/>
      <c r="D11" s="475"/>
      <c r="E11" s="162"/>
      <c r="F11" s="159">
        <f>A11</f>
        <v>1</v>
      </c>
    </row>
    <row r="12" spans="1:6" x14ac:dyDescent="0.35">
      <c r="A12" s="159">
        <f>A11+1</f>
        <v>2</v>
      </c>
      <c r="B12" s="183" t="s">
        <v>511</v>
      </c>
      <c r="C12" s="477">
        <f>C79</f>
        <v>5307124.7261861525</v>
      </c>
      <c r="D12" s="25"/>
      <c r="E12" s="207" t="s">
        <v>512</v>
      </c>
      <c r="F12" s="159">
        <f>F11+1</f>
        <v>2</v>
      </c>
    </row>
    <row r="13" spans="1:6" x14ac:dyDescent="0.35">
      <c r="A13" s="159">
        <f t="shared" ref="A13:A48" si="0">A12+1</f>
        <v>3</v>
      </c>
      <c r="B13" s="183" t="s">
        <v>269</v>
      </c>
      <c r="C13" s="478">
        <f>C80</f>
        <v>3513.8827986728284</v>
      </c>
      <c r="D13" s="479"/>
      <c r="E13" s="207" t="s">
        <v>513</v>
      </c>
      <c r="F13" s="159">
        <f t="shared" ref="F13:F48" si="1">F12+1</f>
        <v>3</v>
      </c>
    </row>
    <row r="14" spans="1:6" x14ac:dyDescent="0.35">
      <c r="A14" s="159">
        <f t="shared" si="0"/>
        <v>4</v>
      </c>
      <c r="B14" s="183" t="s">
        <v>271</v>
      </c>
      <c r="C14" s="478">
        <f>C81</f>
        <v>29097.73014030722</v>
      </c>
      <c r="D14" s="479"/>
      <c r="E14" s="207" t="s">
        <v>514</v>
      </c>
      <c r="F14" s="159">
        <f t="shared" si="1"/>
        <v>4</v>
      </c>
    </row>
    <row r="15" spans="1:6" x14ac:dyDescent="0.35">
      <c r="A15" s="159">
        <f t="shared" si="0"/>
        <v>5</v>
      </c>
      <c r="B15" s="183" t="s">
        <v>515</v>
      </c>
      <c r="C15" s="480">
        <f>C82</f>
        <v>61211.878237450255</v>
      </c>
      <c r="D15" s="479"/>
      <c r="E15" s="207" t="s">
        <v>516</v>
      </c>
      <c r="F15" s="159">
        <f t="shared" si="1"/>
        <v>5</v>
      </c>
    </row>
    <row r="16" spans="1:6" x14ac:dyDescent="0.35">
      <c r="A16" s="159">
        <f t="shared" si="0"/>
        <v>6</v>
      </c>
      <c r="B16" s="183" t="s">
        <v>517</v>
      </c>
      <c r="C16" s="481">
        <f>SUM(C12:C15)</f>
        <v>5400948.2173625827</v>
      </c>
      <c r="D16" s="25"/>
      <c r="E16" s="207" t="s">
        <v>518</v>
      </c>
      <c r="F16" s="159">
        <f t="shared" si="1"/>
        <v>6</v>
      </c>
    </row>
    <row r="17" spans="1:6" x14ac:dyDescent="0.35">
      <c r="A17" s="159">
        <f t="shared" si="0"/>
        <v>7</v>
      </c>
      <c r="B17" s="264"/>
      <c r="C17" s="483"/>
      <c r="D17" s="484"/>
      <c r="E17" s="162"/>
      <c r="F17" s="159">
        <f t="shared" si="1"/>
        <v>7</v>
      </c>
    </row>
    <row r="18" spans="1:6" x14ac:dyDescent="0.35">
      <c r="A18" s="159">
        <f t="shared" si="0"/>
        <v>8</v>
      </c>
      <c r="B18" s="310" t="s">
        <v>519</v>
      </c>
      <c r="C18" s="483"/>
      <c r="D18" s="484"/>
      <c r="E18" s="162"/>
      <c r="F18" s="159">
        <f t="shared" si="1"/>
        <v>8</v>
      </c>
    </row>
    <row r="19" spans="1:6" x14ac:dyDescent="0.35">
      <c r="A19" s="159">
        <f t="shared" si="0"/>
        <v>9</v>
      </c>
      <c r="B19" s="183" t="s">
        <v>520</v>
      </c>
      <c r="C19" s="485">
        <v>0</v>
      </c>
      <c r="D19" s="472"/>
      <c r="E19" s="207" t="s">
        <v>521</v>
      </c>
      <c r="F19" s="159">
        <f t="shared" si="1"/>
        <v>9</v>
      </c>
    </row>
    <row r="20" spans="1:6" x14ac:dyDescent="0.35">
      <c r="A20" s="159">
        <f t="shared" si="0"/>
        <v>10</v>
      </c>
      <c r="B20" s="183" t="s">
        <v>522</v>
      </c>
      <c r="C20" s="486">
        <v>0</v>
      </c>
      <c r="D20" s="472"/>
      <c r="E20" s="207" t="s">
        <v>523</v>
      </c>
      <c r="F20" s="159">
        <f t="shared" si="1"/>
        <v>10</v>
      </c>
    </row>
    <row r="21" spans="1:6" x14ac:dyDescent="0.35">
      <c r="A21" s="159">
        <f t="shared" si="0"/>
        <v>11</v>
      </c>
      <c r="B21" s="183" t="s">
        <v>524</v>
      </c>
      <c r="C21" s="487">
        <f>C19+C20</f>
        <v>0</v>
      </c>
      <c r="D21" s="488"/>
      <c r="E21" s="207" t="s">
        <v>525</v>
      </c>
      <c r="F21" s="159">
        <f t="shared" si="1"/>
        <v>11</v>
      </c>
    </row>
    <row r="22" spans="1:6" x14ac:dyDescent="0.35">
      <c r="A22" s="159">
        <f t="shared" si="0"/>
        <v>12</v>
      </c>
      <c r="B22" s="183"/>
      <c r="C22" s="489"/>
      <c r="D22" s="470"/>
      <c r="E22" s="162"/>
      <c r="F22" s="159">
        <f t="shared" si="1"/>
        <v>12</v>
      </c>
    </row>
    <row r="23" spans="1:6" x14ac:dyDescent="0.35">
      <c r="A23" s="159">
        <f t="shared" si="0"/>
        <v>13</v>
      </c>
      <c r="B23" s="310" t="s">
        <v>526</v>
      </c>
      <c r="C23" s="483"/>
      <c r="D23" s="484"/>
      <c r="E23" s="162"/>
      <c r="F23" s="159">
        <f t="shared" si="1"/>
        <v>13</v>
      </c>
    </row>
    <row r="24" spans="1:6" x14ac:dyDescent="0.35">
      <c r="A24" s="159">
        <f t="shared" si="0"/>
        <v>14</v>
      </c>
      <c r="B24" s="264" t="s">
        <v>527</v>
      </c>
      <c r="C24" s="760">
        <f>'Pg9 Rev Stmt AF'!I17</f>
        <v>-944883.04939016129</v>
      </c>
      <c r="D24" s="25" t="s">
        <v>34</v>
      </c>
      <c r="E24" s="207" t="s">
        <v>528</v>
      </c>
      <c r="F24" s="159">
        <f t="shared" si="1"/>
        <v>14</v>
      </c>
    </row>
    <row r="25" spans="1:6" x14ac:dyDescent="0.35">
      <c r="A25" s="159">
        <f t="shared" si="0"/>
        <v>15</v>
      </c>
      <c r="B25" s="264" t="s">
        <v>529</v>
      </c>
      <c r="C25" s="491">
        <v>0</v>
      </c>
      <c r="D25" s="472"/>
      <c r="E25" s="207" t="s">
        <v>530</v>
      </c>
      <c r="F25" s="159">
        <f t="shared" si="1"/>
        <v>15</v>
      </c>
    </row>
    <row r="26" spans="1:6" x14ac:dyDescent="0.35">
      <c r="A26" s="159">
        <f t="shared" si="0"/>
        <v>16</v>
      </c>
      <c r="B26" s="183" t="s">
        <v>531</v>
      </c>
      <c r="C26" s="495">
        <f>SUM(C24:C25)</f>
        <v>-944883.04939016129</v>
      </c>
      <c r="D26" s="25" t="s">
        <v>34</v>
      </c>
      <c r="E26" s="207" t="s">
        <v>532</v>
      </c>
      <c r="F26" s="159">
        <f t="shared" si="1"/>
        <v>16</v>
      </c>
    </row>
    <row r="27" spans="1:6" x14ac:dyDescent="0.35">
      <c r="A27" s="159">
        <f t="shared" si="0"/>
        <v>17</v>
      </c>
      <c r="B27" s="163"/>
      <c r="C27" s="492"/>
      <c r="D27" s="493"/>
      <c r="E27" s="162"/>
      <c r="F27" s="159">
        <f t="shared" si="1"/>
        <v>17</v>
      </c>
    </row>
    <row r="28" spans="1:6" x14ac:dyDescent="0.35">
      <c r="A28" s="159">
        <f t="shared" si="0"/>
        <v>18</v>
      </c>
      <c r="B28" s="310" t="s">
        <v>533</v>
      </c>
      <c r="C28" s="492"/>
      <c r="D28" s="493"/>
      <c r="E28" s="162"/>
      <c r="F28" s="159">
        <f t="shared" si="1"/>
        <v>18</v>
      </c>
    </row>
    <row r="29" spans="1:6" x14ac:dyDescent="0.35">
      <c r="A29" s="159">
        <f t="shared" si="0"/>
        <v>19</v>
      </c>
      <c r="B29" s="183" t="s">
        <v>534</v>
      </c>
      <c r="C29" s="477">
        <f>'Pg11 Rev Stmt AL'!G15</f>
        <v>51269.428222656083</v>
      </c>
      <c r="D29" s="472"/>
      <c r="E29" s="207" t="s">
        <v>112</v>
      </c>
      <c r="F29" s="159">
        <f t="shared" si="1"/>
        <v>19</v>
      </c>
    </row>
    <row r="30" spans="1:6" x14ac:dyDescent="0.35">
      <c r="A30" s="159">
        <f t="shared" si="0"/>
        <v>20</v>
      </c>
      <c r="B30" s="183" t="s">
        <v>535</v>
      </c>
      <c r="C30" s="478">
        <f>'Pg11 Rev Stmt AL'!G19</f>
        <v>37308.787275766081</v>
      </c>
      <c r="D30" s="472"/>
      <c r="E30" s="207" t="s">
        <v>114</v>
      </c>
      <c r="F30" s="159">
        <f t="shared" si="1"/>
        <v>20</v>
      </c>
    </row>
    <row r="31" spans="1:6" x14ac:dyDescent="0.35">
      <c r="A31" s="159">
        <f t="shared" si="0"/>
        <v>21</v>
      </c>
      <c r="B31" s="183" t="s">
        <v>536</v>
      </c>
      <c r="C31" s="494">
        <f>'Pg11 Rev Stmt AL'!E29</f>
        <v>11437.017373700237</v>
      </c>
      <c r="D31" s="25" t="s">
        <v>34</v>
      </c>
      <c r="E31" s="207" t="s">
        <v>116</v>
      </c>
      <c r="F31" s="159">
        <f t="shared" si="1"/>
        <v>21</v>
      </c>
    </row>
    <row r="32" spans="1:6" x14ac:dyDescent="0.35">
      <c r="A32" s="159">
        <f t="shared" si="0"/>
        <v>22</v>
      </c>
      <c r="B32" s="183" t="s">
        <v>537</v>
      </c>
      <c r="C32" s="495">
        <f>SUM(C29:C31)</f>
        <v>100015.23287212239</v>
      </c>
      <c r="D32" s="25" t="s">
        <v>34</v>
      </c>
      <c r="E32" s="207" t="s">
        <v>538</v>
      </c>
      <c r="F32" s="159">
        <f t="shared" si="1"/>
        <v>22</v>
      </c>
    </row>
    <row r="33" spans="1:6" x14ac:dyDescent="0.35">
      <c r="A33" s="159">
        <f t="shared" si="0"/>
        <v>23</v>
      </c>
      <c r="B33" s="185"/>
      <c r="C33" s="496"/>
      <c r="D33" s="497"/>
      <c r="E33" s="162"/>
      <c r="F33" s="159">
        <f t="shared" si="1"/>
        <v>23</v>
      </c>
    </row>
    <row r="34" spans="1:6" x14ac:dyDescent="0.35">
      <c r="A34" s="159">
        <f t="shared" si="0"/>
        <v>24</v>
      </c>
      <c r="B34" s="183" t="s">
        <v>539</v>
      </c>
      <c r="C34" s="498">
        <v>0</v>
      </c>
      <c r="D34" s="472"/>
      <c r="E34" s="207" t="s">
        <v>540</v>
      </c>
      <c r="F34" s="159">
        <f t="shared" si="1"/>
        <v>24</v>
      </c>
    </row>
    <row r="35" spans="1:6" x14ac:dyDescent="0.35">
      <c r="A35" s="159">
        <f t="shared" si="0"/>
        <v>25</v>
      </c>
      <c r="B35" s="183"/>
      <c r="C35" s="496"/>
      <c r="D35" s="497"/>
      <c r="E35" s="162"/>
      <c r="F35" s="159">
        <f t="shared" si="1"/>
        <v>25</v>
      </c>
    </row>
    <row r="36" spans="1:6" ht="16" thickBot="1" x14ac:dyDescent="0.4">
      <c r="A36" s="159">
        <f t="shared" si="0"/>
        <v>26</v>
      </c>
      <c r="B36" s="183" t="s">
        <v>541</v>
      </c>
      <c r="C36" s="499">
        <f>C16+C21+C26+C32+C34</f>
        <v>4556080.4008445432</v>
      </c>
      <c r="D36" s="25" t="s">
        <v>34</v>
      </c>
      <c r="E36" s="207" t="s">
        <v>542</v>
      </c>
      <c r="F36" s="159">
        <f t="shared" si="1"/>
        <v>26</v>
      </c>
    </row>
    <row r="37" spans="1:6" ht="16" thickTop="1" x14ac:dyDescent="0.35">
      <c r="A37" s="159">
        <f t="shared" si="0"/>
        <v>27</v>
      </c>
      <c r="B37" s="185"/>
      <c r="C37" s="500"/>
      <c r="D37" s="482"/>
      <c r="E37" s="162"/>
      <c r="F37" s="159">
        <f t="shared" si="1"/>
        <v>27</v>
      </c>
    </row>
    <row r="38" spans="1:6" x14ac:dyDescent="0.35">
      <c r="A38" s="159">
        <f t="shared" si="0"/>
        <v>28</v>
      </c>
      <c r="B38" s="310" t="s">
        <v>543</v>
      </c>
      <c r="C38" s="500"/>
      <c r="D38" s="482"/>
      <c r="E38" s="162"/>
      <c r="F38" s="159">
        <f t="shared" si="1"/>
        <v>28</v>
      </c>
    </row>
    <row r="39" spans="1:6" x14ac:dyDescent="0.35">
      <c r="A39" s="159">
        <f t="shared" si="0"/>
        <v>29</v>
      </c>
      <c r="B39" s="183" t="s">
        <v>544</v>
      </c>
      <c r="C39" s="501">
        <v>0</v>
      </c>
      <c r="D39" s="502"/>
      <c r="E39" s="207" t="s">
        <v>270</v>
      </c>
      <c r="F39" s="159">
        <f t="shared" si="1"/>
        <v>29</v>
      </c>
    </row>
    <row r="40" spans="1:6" x14ac:dyDescent="0.35">
      <c r="A40" s="159">
        <f t="shared" si="0"/>
        <v>30</v>
      </c>
      <c r="B40" s="183" t="s">
        <v>545</v>
      </c>
      <c r="C40" s="503">
        <v>0</v>
      </c>
      <c r="D40" s="472"/>
      <c r="E40" s="207" t="s">
        <v>270</v>
      </c>
      <c r="F40" s="159">
        <f t="shared" si="1"/>
        <v>30</v>
      </c>
    </row>
    <row r="41" spans="1:6" x14ac:dyDescent="0.35">
      <c r="A41" s="159">
        <f t="shared" si="0"/>
        <v>31</v>
      </c>
      <c r="B41" s="264" t="s">
        <v>546</v>
      </c>
      <c r="C41" s="495">
        <f>C39+C40</f>
        <v>0</v>
      </c>
      <c r="D41" s="482"/>
      <c r="E41" s="207" t="s">
        <v>547</v>
      </c>
      <c r="F41" s="159">
        <f t="shared" si="1"/>
        <v>31</v>
      </c>
    </row>
    <row r="42" spans="1:6" x14ac:dyDescent="0.35">
      <c r="A42" s="159">
        <f t="shared" si="0"/>
        <v>32</v>
      </c>
      <c r="B42" s="185"/>
      <c r="C42" s="500"/>
      <c r="D42" s="482"/>
      <c r="E42" s="162"/>
      <c r="F42" s="159">
        <f t="shared" si="1"/>
        <v>32</v>
      </c>
    </row>
    <row r="43" spans="1:6" x14ac:dyDescent="0.35">
      <c r="A43" s="159">
        <f t="shared" si="0"/>
        <v>33</v>
      </c>
      <c r="B43" s="310" t="s">
        <v>548</v>
      </c>
      <c r="C43" s="500"/>
      <c r="D43" s="482"/>
      <c r="E43" s="162"/>
      <c r="F43" s="159">
        <f t="shared" si="1"/>
        <v>33</v>
      </c>
    </row>
    <row r="44" spans="1:6" x14ac:dyDescent="0.35">
      <c r="A44" s="159">
        <f t="shared" si="0"/>
        <v>34</v>
      </c>
      <c r="B44" s="183" t="s">
        <v>549</v>
      </c>
      <c r="C44" s="501">
        <v>0</v>
      </c>
      <c r="D44" s="472"/>
      <c r="E44" s="207" t="s">
        <v>270</v>
      </c>
      <c r="F44" s="159">
        <f t="shared" si="1"/>
        <v>34</v>
      </c>
    </row>
    <row r="45" spans="1:6" x14ac:dyDescent="0.35">
      <c r="A45" s="159">
        <f t="shared" si="0"/>
        <v>35</v>
      </c>
      <c r="B45" s="264" t="s">
        <v>550</v>
      </c>
      <c r="C45" s="504">
        <v>0</v>
      </c>
      <c r="D45" s="472"/>
      <c r="E45" s="207" t="s">
        <v>270</v>
      </c>
      <c r="F45" s="159">
        <f t="shared" si="1"/>
        <v>35</v>
      </c>
    </row>
    <row r="46" spans="1:6" x14ac:dyDescent="0.35">
      <c r="A46" s="159">
        <f t="shared" si="0"/>
        <v>36</v>
      </c>
      <c r="B46" s="264" t="s">
        <v>551</v>
      </c>
      <c r="C46" s="495">
        <f>C44+C45</f>
        <v>0</v>
      </c>
      <c r="D46" s="482"/>
      <c r="E46" s="207" t="s">
        <v>552</v>
      </c>
      <c r="F46" s="159">
        <f t="shared" si="1"/>
        <v>36</v>
      </c>
    </row>
    <row r="47" spans="1:6" x14ac:dyDescent="0.35">
      <c r="A47" s="159">
        <f t="shared" si="0"/>
        <v>37</v>
      </c>
      <c r="B47" s="185"/>
      <c r="C47" s="500"/>
      <c r="D47" s="482"/>
      <c r="E47" s="162"/>
      <c r="F47" s="159">
        <f t="shared" si="1"/>
        <v>37</v>
      </c>
    </row>
    <row r="48" spans="1:6" ht="16" thickBot="1" x14ac:dyDescent="0.4">
      <c r="A48" s="159">
        <f t="shared" si="0"/>
        <v>38</v>
      </c>
      <c r="B48" s="310" t="s">
        <v>553</v>
      </c>
      <c r="C48" s="505">
        <v>0</v>
      </c>
      <c r="D48" s="472"/>
      <c r="E48" s="207" t="s">
        <v>270</v>
      </c>
      <c r="F48" s="159">
        <f t="shared" si="1"/>
        <v>38</v>
      </c>
    </row>
    <row r="49" spans="1:6" ht="16" thickTop="1" x14ac:dyDescent="0.35">
      <c r="A49" s="159"/>
      <c r="B49" s="310"/>
      <c r="C49" s="674"/>
      <c r="D49" s="472"/>
      <c r="E49" s="207"/>
      <c r="F49" s="159"/>
    </row>
    <row r="50" spans="1:6" x14ac:dyDescent="0.35">
      <c r="A50" s="159"/>
      <c r="B50" s="185"/>
      <c r="C50" s="500"/>
      <c r="D50" s="482"/>
      <c r="E50" s="162"/>
      <c r="F50" s="159"/>
    </row>
    <row r="51" spans="1:6" x14ac:dyDescent="0.35">
      <c r="A51" s="25" t="s">
        <v>34</v>
      </c>
      <c r="B51" s="23" t="str">
        <f>'Pg13 Rev Stmt AV'!B113</f>
        <v xml:space="preserve">Items in BOLD have changed due to A&amp;G adjustments and removal of CIAC related ADIT per SDG&amp;E's TO5 Cycle 4 Letter Order determination in ER22-527 as compared </v>
      </c>
      <c r="C51" s="163"/>
      <c r="D51" s="163"/>
      <c r="E51" s="163"/>
      <c r="F51" s="159"/>
    </row>
    <row r="52" spans="1:6" x14ac:dyDescent="0.35">
      <c r="A52" s="25"/>
      <c r="B52" s="23" t="str">
        <f>'Pg13 Rev Stmt AV'!B114</f>
        <v>to the original Sunrise Appendix X Cycle 10 filing per ER22-139.</v>
      </c>
      <c r="C52" s="163"/>
      <c r="D52" s="163"/>
      <c r="E52" s="163"/>
      <c r="F52" s="159"/>
    </row>
    <row r="53" spans="1:6" x14ac:dyDescent="0.35">
      <c r="A53" s="25"/>
      <c r="B53" s="23"/>
      <c r="C53" s="163"/>
      <c r="D53" s="163"/>
      <c r="E53" s="163"/>
      <c r="F53" s="749"/>
    </row>
    <row r="54" spans="1:6" x14ac:dyDescent="0.35">
      <c r="A54" s="25"/>
      <c r="B54" s="23"/>
      <c r="C54" s="163"/>
      <c r="D54" s="163"/>
      <c r="E54" s="163"/>
      <c r="F54" s="159"/>
    </row>
    <row r="55" spans="1:6" x14ac:dyDescent="0.35">
      <c r="A55" s="159"/>
      <c r="B55" s="853" t="str">
        <f>B2</f>
        <v>SAN DIEGO GAS &amp; ELECTRIC COMPANY</v>
      </c>
      <c r="C55" s="878"/>
      <c r="D55" s="878"/>
      <c r="E55" s="878"/>
      <c r="F55" s="159"/>
    </row>
    <row r="56" spans="1:6" x14ac:dyDescent="0.35">
      <c r="A56" s="159"/>
      <c r="B56" s="853" t="str">
        <f>B3</f>
        <v xml:space="preserve">Derivation of End Use Transmission Rate Base </v>
      </c>
      <c r="C56" s="878"/>
      <c r="D56" s="878"/>
      <c r="E56" s="878"/>
      <c r="F56" s="159"/>
    </row>
    <row r="57" spans="1:6" x14ac:dyDescent="0.35">
      <c r="A57" s="159"/>
      <c r="B57" s="875" t="str">
        <f>B4</f>
        <v>Base Period &amp; True-Up Period 12 - Months Ending December 31, 2020</v>
      </c>
      <c r="C57" s="876"/>
      <c r="D57" s="876"/>
      <c r="E57" s="876"/>
      <c r="F57" s="159"/>
    </row>
    <row r="58" spans="1:6" x14ac:dyDescent="0.35">
      <c r="A58" s="159"/>
      <c r="B58" s="877" t="s">
        <v>4</v>
      </c>
      <c r="C58" s="878"/>
      <c r="D58" s="878"/>
      <c r="E58" s="878"/>
      <c r="F58" s="159"/>
    </row>
    <row r="59" spans="1:6" x14ac:dyDescent="0.35">
      <c r="A59" s="159"/>
      <c r="B59" s="602"/>
      <c r="C59" s="163"/>
      <c r="D59" s="163"/>
      <c r="E59" s="163"/>
      <c r="F59" s="159"/>
    </row>
    <row r="60" spans="1:6" x14ac:dyDescent="0.35">
      <c r="A60" s="159" t="s">
        <v>5</v>
      </c>
      <c r="B60" s="602"/>
      <c r="C60" s="163"/>
      <c r="D60" s="163"/>
      <c r="E60" s="163"/>
      <c r="F60" s="159"/>
    </row>
    <row r="61" spans="1:6" x14ac:dyDescent="0.35">
      <c r="A61" s="159" t="s">
        <v>6</v>
      </c>
      <c r="B61" s="602"/>
      <c r="C61" s="163"/>
      <c r="D61" s="163"/>
      <c r="E61" s="163"/>
      <c r="F61" s="159"/>
    </row>
    <row r="62" spans="1:6" x14ac:dyDescent="0.35">
      <c r="A62" s="159"/>
      <c r="B62" s="310" t="s">
        <v>554</v>
      </c>
      <c r="C62" s="163"/>
      <c r="D62" s="163"/>
      <c r="E62" s="163"/>
      <c r="F62" s="159"/>
    </row>
    <row r="63" spans="1:6" x14ac:dyDescent="0.35">
      <c r="A63" s="159"/>
      <c r="B63" s="476"/>
      <c r="C63" s="472"/>
      <c r="D63" s="472"/>
      <c r="E63" s="162"/>
      <c r="F63" s="159"/>
    </row>
    <row r="64" spans="1:6" x14ac:dyDescent="0.35">
      <c r="A64" s="159">
        <v>1</v>
      </c>
      <c r="B64" s="310" t="s">
        <v>555</v>
      </c>
      <c r="C64" s="472"/>
      <c r="D64" s="472"/>
      <c r="E64" s="162"/>
      <c r="F64" s="159">
        <f t="shared" ref="F64:F88" si="2">A64</f>
        <v>1</v>
      </c>
    </row>
    <row r="65" spans="1:8" x14ac:dyDescent="0.35">
      <c r="A65" s="159">
        <v>2</v>
      </c>
      <c r="B65" s="183" t="s">
        <v>511</v>
      </c>
      <c r="C65" s="506">
        <v>6717604.4084030753</v>
      </c>
      <c r="D65" s="472"/>
      <c r="E65" s="207" t="s">
        <v>556</v>
      </c>
      <c r="F65" s="159">
        <f t="shared" si="2"/>
        <v>2</v>
      </c>
      <c r="G65" s="507"/>
      <c r="H65" s="508"/>
    </row>
    <row r="66" spans="1:8" x14ac:dyDescent="0.35">
      <c r="A66" s="159">
        <v>3</v>
      </c>
      <c r="B66" s="183" t="s">
        <v>557</v>
      </c>
      <c r="C66" s="509">
        <v>19671.544520386884</v>
      </c>
      <c r="D66" s="472"/>
      <c r="E66" s="207" t="s">
        <v>558</v>
      </c>
      <c r="F66" s="159">
        <f t="shared" si="2"/>
        <v>3</v>
      </c>
      <c r="G66" s="507"/>
      <c r="H66" s="508"/>
    </row>
    <row r="67" spans="1:8" x14ac:dyDescent="0.35">
      <c r="A67" s="159">
        <v>4</v>
      </c>
      <c r="B67" s="183" t="s">
        <v>271</v>
      </c>
      <c r="C67" s="509">
        <v>49193.51899590245</v>
      </c>
      <c r="D67" s="472"/>
      <c r="E67" s="207" t="s">
        <v>272</v>
      </c>
      <c r="F67" s="159">
        <f t="shared" si="2"/>
        <v>4</v>
      </c>
      <c r="G67" s="507"/>
      <c r="H67" s="510"/>
    </row>
    <row r="68" spans="1:8" x14ac:dyDescent="0.35">
      <c r="A68" s="159">
        <v>5</v>
      </c>
      <c r="B68" s="183" t="s">
        <v>515</v>
      </c>
      <c r="C68" s="511">
        <v>121720.77530805826</v>
      </c>
      <c r="D68" s="472"/>
      <c r="E68" s="207" t="s">
        <v>274</v>
      </c>
      <c r="F68" s="159">
        <f t="shared" si="2"/>
        <v>5</v>
      </c>
      <c r="G68" s="508"/>
      <c r="H68" s="508"/>
    </row>
    <row r="69" spans="1:8" x14ac:dyDescent="0.35">
      <c r="A69" s="159">
        <v>6</v>
      </c>
      <c r="B69" s="183" t="s">
        <v>559</v>
      </c>
      <c r="C69" s="481">
        <f>SUM(C65:C68)</f>
        <v>6908190.2472274229</v>
      </c>
      <c r="D69" s="482"/>
      <c r="E69" s="207" t="s">
        <v>518</v>
      </c>
      <c r="F69" s="159">
        <f t="shared" si="2"/>
        <v>6</v>
      </c>
      <c r="G69" s="507"/>
      <c r="H69" s="508"/>
    </row>
    <row r="70" spans="1:8" x14ac:dyDescent="0.35">
      <c r="A70" s="159">
        <v>7</v>
      </c>
      <c r="B70" s="264"/>
      <c r="C70" s="512"/>
      <c r="D70" s="472"/>
      <c r="E70" s="162"/>
      <c r="F70" s="159">
        <f t="shared" si="2"/>
        <v>7</v>
      </c>
      <c r="G70" s="508"/>
      <c r="H70" s="508"/>
    </row>
    <row r="71" spans="1:8" x14ac:dyDescent="0.35">
      <c r="A71" s="159">
        <v>8</v>
      </c>
      <c r="B71" s="309" t="s">
        <v>560</v>
      </c>
      <c r="C71" s="512"/>
      <c r="D71" s="472"/>
      <c r="E71" s="162"/>
      <c r="F71" s="159">
        <f t="shared" si="2"/>
        <v>8</v>
      </c>
      <c r="G71" s="508"/>
      <c r="H71" s="508"/>
    </row>
    <row r="72" spans="1:8" x14ac:dyDescent="0.35">
      <c r="A72" s="159">
        <v>9</v>
      </c>
      <c r="B72" s="264" t="s">
        <v>561</v>
      </c>
      <c r="C72" s="506">
        <v>1410479.6822169228</v>
      </c>
      <c r="D72" s="25"/>
      <c r="E72" s="207" t="s">
        <v>562</v>
      </c>
      <c r="F72" s="159">
        <f t="shared" si="2"/>
        <v>9</v>
      </c>
      <c r="G72" s="508"/>
      <c r="H72" s="508"/>
    </row>
    <row r="73" spans="1:8" x14ac:dyDescent="0.35">
      <c r="A73" s="159">
        <v>10</v>
      </c>
      <c r="B73" s="264" t="s">
        <v>563</v>
      </c>
      <c r="C73" s="509">
        <v>16157.661721714056</v>
      </c>
      <c r="D73" s="472"/>
      <c r="E73" s="207" t="s">
        <v>564</v>
      </c>
      <c r="F73" s="159">
        <f t="shared" si="2"/>
        <v>10</v>
      </c>
      <c r="G73" s="508"/>
      <c r="H73" s="508"/>
    </row>
    <row r="74" spans="1:8" x14ac:dyDescent="0.35">
      <c r="A74" s="159">
        <v>11</v>
      </c>
      <c r="B74" s="264" t="s">
        <v>565</v>
      </c>
      <c r="C74" s="509">
        <v>20095.78885559523</v>
      </c>
      <c r="D74" s="472"/>
      <c r="E74" s="207" t="s">
        <v>566</v>
      </c>
      <c r="F74" s="159">
        <f t="shared" si="2"/>
        <v>11</v>
      </c>
      <c r="G74" s="508"/>
      <c r="H74" s="508"/>
    </row>
    <row r="75" spans="1:8" x14ac:dyDescent="0.35">
      <c r="A75" s="159">
        <v>12</v>
      </c>
      <c r="B75" s="264" t="s">
        <v>567</v>
      </c>
      <c r="C75" s="511">
        <v>60508.897070608007</v>
      </c>
      <c r="D75" s="472"/>
      <c r="E75" s="207" t="s">
        <v>568</v>
      </c>
      <c r="F75" s="159">
        <f t="shared" si="2"/>
        <v>12</v>
      </c>
      <c r="G75" s="508"/>
      <c r="H75" s="508"/>
    </row>
    <row r="76" spans="1:8" x14ac:dyDescent="0.35">
      <c r="A76" s="159">
        <v>13</v>
      </c>
      <c r="B76" s="513" t="s">
        <v>569</v>
      </c>
      <c r="C76" s="481">
        <f>SUM(C72:C75)</f>
        <v>1507242.0298648402</v>
      </c>
      <c r="D76" s="25"/>
      <c r="E76" s="207" t="s">
        <v>570</v>
      </c>
      <c r="F76" s="159">
        <f t="shared" si="2"/>
        <v>13</v>
      </c>
      <c r="G76" s="508"/>
      <c r="H76" s="508"/>
    </row>
    <row r="77" spans="1:8" x14ac:dyDescent="0.35">
      <c r="A77" s="159">
        <v>14</v>
      </c>
      <c r="B77" s="513"/>
      <c r="C77" s="492"/>
      <c r="D77" s="493"/>
      <c r="E77" s="162"/>
      <c r="F77" s="159">
        <f t="shared" si="2"/>
        <v>14</v>
      </c>
      <c r="G77" s="508"/>
      <c r="H77" s="508"/>
    </row>
    <row r="78" spans="1:8" x14ac:dyDescent="0.35">
      <c r="A78" s="159">
        <v>15</v>
      </c>
      <c r="B78" s="310" t="s">
        <v>510</v>
      </c>
      <c r="C78" s="492"/>
      <c r="D78" s="493"/>
      <c r="E78" s="162"/>
      <c r="F78" s="159">
        <f t="shared" si="2"/>
        <v>15</v>
      </c>
      <c r="G78" s="508"/>
      <c r="H78" s="508"/>
    </row>
    <row r="79" spans="1:8" x14ac:dyDescent="0.35">
      <c r="A79" s="159">
        <v>16</v>
      </c>
      <c r="B79" s="183" t="s">
        <v>511</v>
      </c>
      <c r="C79" s="651">
        <f>C65-C72</f>
        <v>5307124.7261861525</v>
      </c>
      <c r="D79" s="25"/>
      <c r="E79" s="207" t="s">
        <v>571</v>
      </c>
      <c r="F79" s="159">
        <f t="shared" si="2"/>
        <v>16</v>
      </c>
      <c r="G79" s="508"/>
      <c r="H79" s="508"/>
    </row>
    <row r="80" spans="1:8" x14ac:dyDescent="0.35">
      <c r="A80" s="159">
        <v>17</v>
      </c>
      <c r="B80" s="183" t="s">
        <v>269</v>
      </c>
      <c r="C80" s="514">
        <f>C66-C73</f>
        <v>3513.8827986728284</v>
      </c>
      <c r="D80" s="515"/>
      <c r="E80" s="207" t="s">
        <v>572</v>
      </c>
      <c r="F80" s="159">
        <f t="shared" si="2"/>
        <v>17</v>
      </c>
      <c r="G80" s="508"/>
      <c r="H80" s="508"/>
    </row>
    <row r="81" spans="1:6" x14ac:dyDescent="0.35">
      <c r="A81" s="159">
        <v>18</v>
      </c>
      <c r="B81" s="183" t="s">
        <v>271</v>
      </c>
      <c r="C81" s="514">
        <f>C67-C74</f>
        <v>29097.73014030722</v>
      </c>
      <c r="D81" s="515"/>
      <c r="E81" s="207" t="s">
        <v>573</v>
      </c>
      <c r="F81" s="159">
        <f t="shared" si="2"/>
        <v>18</v>
      </c>
    </row>
    <row r="82" spans="1:6" x14ac:dyDescent="0.35">
      <c r="A82" s="159">
        <v>19</v>
      </c>
      <c r="B82" s="183" t="s">
        <v>515</v>
      </c>
      <c r="C82" s="516">
        <f>C68-C75</f>
        <v>61211.878237450255</v>
      </c>
      <c r="D82" s="517"/>
      <c r="E82" s="207" t="s">
        <v>574</v>
      </c>
      <c r="F82" s="159">
        <f t="shared" si="2"/>
        <v>19</v>
      </c>
    </row>
    <row r="83" spans="1:6" ht="16" thickBot="1" x14ac:dyDescent="0.4">
      <c r="A83" s="159">
        <v>20</v>
      </c>
      <c r="B83" s="264" t="s">
        <v>517</v>
      </c>
      <c r="C83" s="653">
        <f>SUM(C79:C82)</f>
        <v>5400948.2173625827</v>
      </c>
      <c r="D83" s="25"/>
      <c r="E83" s="207" t="s">
        <v>575</v>
      </c>
      <c r="F83" s="159">
        <f t="shared" si="2"/>
        <v>20</v>
      </c>
    </row>
    <row r="84" spans="1:6" ht="16" thickTop="1" x14ac:dyDescent="0.35">
      <c r="A84" s="159">
        <v>21</v>
      </c>
      <c r="B84" s="185"/>
      <c r="C84" s="482"/>
      <c r="D84" s="482"/>
      <c r="E84" s="162"/>
      <c r="F84" s="159">
        <f t="shared" si="2"/>
        <v>21</v>
      </c>
    </row>
    <row r="85" spans="1:6" x14ac:dyDescent="0.35">
      <c r="A85" s="159">
        <v>22</v>
      </c>
      <c r="B85" s="310" t="s">
        <v>576</v>
      </c>
      <c r="C85" s="482"/>
      <c r="D85" s="482"/>
      <c r="E85" s="162"/>
      <c r="F85" s="159">
        <f t="shared" si="2"/>
        <v>22</v>
      </c>
    </row>
    <row r="86" spans="1:6" x14ac:dyDescent="0.35">
      <c r="A86" s="159">
        <v>23</v>
      </c>
      <c r="B86" s="183" t="s">
        <v>577</v>
      </c>
      <c r="C86" s="501">
        <v>0</v>
      </c>
      <c r="D86" s="482"/>
      <c r="E86" s="207" t="s">
        <v>270</v>
      </c>
      <c r="F86" s="159">
        <f t="shared" si="2"/>
        <v>23</v>
      </c>
    </row>
    <row r="87" spans="1:6" x14ac:dyDescent="0.35">
      <c r="A87" s="159">
        <v>24</v>
      </c>
      <c r="B87" s="264" t="s">
        <v>578</v>
      </c>
      <c r="C87" s="504">
        <v>0</v>
      </c>
      <c r="D87" s="482"/>
      <c r="E87" s="207" t="s">
        <v>270</v>
      </c>
      <c r="F87" s="159">
        <f t="shared" si="2"/>
        <v>24</v>
      </c>
    </row>
    <row r="88" spans="1:6" ht="16" thickBot="1" x14ac:dyDescent="0.4">
      <c r="A88" s="159">
        <v>25</v>
      </c>
      <c r="B88" s="183" t="s">
        <v>579</v>
      </c>
      <c r="C88" s="518">
        <f>C86-C87</f>
        <v>0</v>
      </c>
      <c r="D88" s="482"/>
      <c r="E88" s="207" t="s">
        <v>580</v>
      </c>
      <c r="F88" s="159">
        <f t="shared" si="2"/>
        <v>25</v>
      </c>
    </row>
    <row r="89" spans="1:6" ht="16" thickTop="1" x14ac:dyDescent="0.35">
      <c r="A89" s="159"/>
    </row>
    <row r="90" spans="1:6" x14ac:dyDescent="0.35">
      <c r="A90" s="25"/>
      <c r="B90" s="23"/>
    </row>
  </sheetData>
  <mergeCells count="8">
    <mergeCell ref="B57:E57"/>
    <mergeCell ref="B58:E58"/>
    <mergeCell ref="B2:E2"/>
    <mergeCell ref="B3:E3"/>
    <mergeCell ref="B4:E4"/>
    <mergeCell ref="B5:E5"/>
    <mergeCell ref="B55:E55"/>
    <mergeCell ref="B56:E56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Roman,Bold"&amp;9REVISED</oddHeader>
    <oddFooter>&amp;CPage 15.&amp;P&amp;R&amp;F</oddFooter>
  </headerFooter>
  <rowBreaks count="1" manualBreakCount="1">
    <brk id="53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F827-FFAB-4B56-B3FF-2570B5EC3295}">
  <dimension ref="A1:H86"/>
  <sheetViews>
    <sheetView zoomScale="80" zoomScaleNormal="80" workbookViewId="0"/>
  </sheetViews>
  <sheetFormatPr defaultColWidth="8.81640625" defaultRowHeight="15.5" x14ac:dyDescent="0.35"/>
  <cols>
    <col min="1" max="1" width="5.1796875" style="519" customWidth="1"/>
    <col min="2" max="2" width="83" style="471" customWidth="1"/>
    <col min="3" max="3" width="16.81640625" style="471" customWidth="1"/>
    <col min="4" max="4" width="1.54296875" style="471" customWidth="1"/>
    <col min="5" max="5" width="38.81640625" style="471" customWidth="1"/>
    <col min="6" max="6" width="5.1796875" style="519" customWidth="1"/>
    <col min="7" max="16384" width="8.81640625" style="471"/>
  </cols>
  <sheetData>
    <row r="1" spans="1:6" x14ac:dyDescent="0.35">
      <c r="A1" s="831" t="s">
        <v>650</v>
      </c>
    </row>
    <row r="2" spans="1:6" x14ac:dyDescent="0.35">
      <c r="A2" s="159"/>
      <c r="B2" s="163"/>
      <c r="C2" s="470"/>
      <c r="D2" s="470"/>
      <c r="E2" s="162"/>
      <c r="F2" s="159"/>
    </row>
    <row r="3" spans="1:6" x14ac:dyDescent="0.35">
      <c r="A3" s="159"/>
      <c r="B3" s="853" t="s">
        <v>20</v>
      </c>
      <c r="C3" s="878"/>
      <c r="D3" s="878"/>
      <c r="E3" s="878"/>
      <c r="F3" s="159"/>
    </row>
    <row r="4" spans="1:6" x14ac:dyDescent="0.35">
      <c r="A4" s="159" t="s">
        <v>233</v>
      </c>
      <c r="B4" s="853" t="s">
        <v>508</v>
      </c>
      <c r="C4" s="878"/>
      <c r="D4" s="878"/>
      <c r="E4" s="878"/>
      <c r="F4" s="159" t="s">
        <v>233</v>
      </c>
    </row>
    <row r="5" spans="1:6" x14ac:dyDescent="0.35">
      <c r="A5" s="159"/>
      <c r="B5" s="875" t="s">
        <v>73</v>
      </c>
      <c r="C5" s="876"/>
      <c r="D5" s="876"/>
      <c r="E5" s="876"/>
      <c r="F5" s="159"/>
    </row>
    <row r="6" spans="1:6" x14ac:dyDescent="0.35">
      <c r="A6" s="159"/>
      <c r="B6" s="877" t="s">
        <v>4</v>
      </c>
      <c r="C6" s="878"/>
      <c r="D6" s="878"/>
      <c r="E6" s="878"/>
      <c r="F6" s="159"/>
    </row>
    <row r="7" spans="1:6" x14ac:dyDescent="0.35">
      <c r="A7" s="159"/>
      <c r="B7" s="602"/>
      <c r="C7" s="163"/>
      <c r="D7" s="163"/>
      <c r="E7" s="163"/>
      <c r="F7" s="159"/>
    </row>
    <row r="8" spans="1:6" x14ac:dyDescent="0.35">
      <c r="A8" s="159" t="s">
        <v>5</v>
      </c>
      <c r="B8" s="163"/>
      <c r="C8" s="472"/>
      <c r="D8" s="472"/>
      <c r="E8" s="162"/>
      <c r="F8" s="159" t="s">
        <v>5</v>
      </c>
    </row>
    <row r="9" spans="1:6" x14ac:dyDescent="0.35">
      <c r="A9" s="159" t="s">
        <v>6</v>
      </c>
      <c r="B9" s="163" t="s">
        <v>233</v>
      </c>
      <c r="C9" s="473" t="s">
        <v>8</v>
      </c>
      <c r="D9" s="472"/>
      <c r="E9" s="474" t="s">
        <v>9</v>
      </c>
      <c r="F9" s="159" t="s">
        <v>6</v>
      </c>
    </row>
    <row r="10" spans="1:6" x14ac:dyDescent="0.35">
      <c r="A10" s="159"/>
      <c r="B10" s="310" t="s">
        <v>509</v>
      </c>
      <c r="C10" s="475"/>
      <c r="D10" s="472"/>
      <c r="E10" s="162"/>
      <c r="F10" s="159"/>
    </row>
    <row r="11" spans="1:6" x14ac:dyDescent="0.35">
      <c r="A11" s="159"/>
      <c r="B11" s="476"/>
      <c r="C11" s="475"/>
      <c r="D11" s="472"/>
      <c r="E11" s="162"/>
      <c r="F11" s="159"/>
    </row>
    <row r="12" spans="1:6" x14ac:dyDescent="0.35">
      <c r="A12" s="159">
        <v>1</v>
      </c>
      <c r="B12" s="310" t="s">
        <v>510</v>
      </c>
      <c r="C12" s="475"/>
      <c r="D12" s="475"/>
      <c r="E12" s="162"/>
      <c r="F12" s="159">
        <f>A12</f>
        <v>1</v>
      </c>
    </row>
    <row r="13" spans="1:6" x14ac:dyDescent="0.35">
      <c r="A13" s="159">
        <f>A12+1</f>
        <v>2</v>
      </c>
      <c r="B13" s="183" t="s">
        <v>511</v>
      </c>
      <c r="C13" s="477">
        <f>C76</f>
        <v>5307124.7261861525</v>
      </c>
      <c r="D13" s="650"/>
      <c r="E13" s="207" t="str">
        <f>"Page 2; Line "&amp;A76</f>
        <v>Page 2; Line 16</v>
      </c>
      <c r="F13" s="159">
        <f>F12+1</f>
        <v>2</v>
      </c>
    </row>
    <row r="14" spans="1:6" x14ac:dyDescent="0.35">
      <c r="A14" s="159">
        <f t="shared" ref="A14:A49" si="0">A13+1</f>
        <v>3</v>
      </c>
      <c r="B14" s="183" t="s">
        <v>269</v>
      </c>
      <c r="C14" s="478">
        <f>C77</f>
        <v>3513.8827986728284</v>
      </c>
      <c r="D14" s="479"/>
      <c r="E14" s="207" t="str">
        <f>"Page 2; Line "&amp;A77</f>
        <v>Page 2; Line 17</v>
      </c>
      <c r="F14" s="159">
        <f t="shared" ref="F14:F49" si="1">F13+1</f>
        <v>3</v>
      </c>
    </row>
    <row r="15" spans="1:6" x14ac:dyDescent="0.35">
      <c r="A15" s="159">
        <f t="shared" si="0"/>
        <v>4</v>
      </c>
      <c r="B15" s="183" t="s">
        <v>271</v>
      </c>
      <c r="C15" s="478">
        <f>C78</f>
        <v>29097.73014030722</v>
      </c>
      <c r="D15" s="479"/>
      <c r="E15" s="207" t="str">
        <f>"Page 2; Line "&amp;A78</f>
        <v>Page 2; Line 18</v>
      </c>
      <c r="F15" s="159">
        <f t="shared" si="1"/>
        <v>4</v>
      </c>
    </row>
    <row r="16" spans="1:6" x14ac:dyDescent="0.35">
      <c r="A16" s="159">
        <f t="shared" si="0"/>
        <v>5</v>
      </c>
      <c r="B16" s="183" t="s">
        <v>515</v>
      </c>
      <c r="C16" s="480">
        <f>C79</f>
        <v>61211.878237450255</v>
      </c>
      <c r="D16" s="479"/>
      <c r="E16" s="207" t="str">
        <f>"Page 2; Line "&amp;A79</f>
        <v>Page 2; Line 19</v>
      </c>
      <c r="F16" s="159">
        <f t="shared" si="1"/>
        <v>5</v>
      </c>
    </row>
    <row r="17" spans="1:6" x14ac:dyDescent="0.35">
      <c r="A17" s="159">
        <f t="shared" si="0"/>
        <v>6</v>
      </c>
      <c r="B17" s="183" t="s">
        <v>517</v>
      </c>
      <c r="C17" s="481">
        <f>SUM(C13:C16)</f>
        <v>5400948.2173625827</v>
      </c>
      <c r="D17" s="482"/>
      <c r="E17" s="207" t="str">
        <f>"Sum Lines "&amp;A13&amp;" thru "&amp;A16</f>
        <v>Sum Lines 2 thru 5</v>
      </c>
      <c r="F17" s="159">
        <f t="shared" si="1"/>
        <v>6</v>
      </c>
    </row>
    <row r="18" spans="1:6" x14ac:dyDescent="0.35">
      <c r="A18" s="159">
        <f t="shared" si="0"/>
        <v>7</v>
      </c>
      <c r="B18" s="264"/>
      <c r="C18" s="483"/>
      <c r="D18" s="484"/>
      <c r="E18" s="162"/>
      <c r="F18" s="159">
        <f t="shared" si="1"/>
        <v>7</v>
      </c>
    </row>
    <row r="19" spans="1:6" x14ac:dyDescent="0.35">
      <c r="A19" s="159">
        <f t="shared" si="0"/>
        <v>8</v>
      </c>
      <c r="B19" s="310" t="s">
        <v>519</v>
      </c>
      <c r="C19" s="483"/>
      <c r="D19" s="484"/>
      <c r="E19" s="162"/>
      <c r="F19" s="159">
        <f t="shared" si="1"/>
        <v>8</v>
      </c>
    </row>
    <row r="20" spans="1:6" x14ac:dyDescent="0.35">
      <c r="A20" s="159">
        <f t="shared" si="0"/>
        <v>9</v>
      </c>
      <c r="B20" s="183" t="s">
        <v>520</v>
      </c>
      <c r="C20" s="485">
        <v>0</v>
      </c>
      <c r="D20" s="472"/>
      <c r="E20" s="207" t="s">
        <v>521</v>
      </c>
      <c r="F20" s="159">
        <f t="shared" si="1"/>
        <v>9</v>
      </c>
    </row>
    <row r="21" spans="1:6" x14ac:dyDescent="0.35">
      <c r="A21" s="159">
        <f t="shared" si="0"/>
        <v>10</v>
      </c>
      <c r="B21" s="183" t="s">
        <v>522</v>
      </c>
      <c r="C21" s="486">
        <v>0</v>
      </c>
      <c r="D21" s="472"/>
      <c r="E21" s="207" t="s">
        <v>523</v>
      </c>
      <c r="F21" s="159">
        <f t="shared" si="1"/>
        <v>10</v>
      </c>
    </row>
    <row r="22" spans="1:6" x14ac:dyDescent="0.35">
      <c r="A22" s="159">
        <f t="shared" si="0"/>
        <v>11</v>
      </c>
      <c r="B22" s="183" t="s">
        <v>524</v>
      </c>
      <c r="C22" s="487">
        <f>C20+C21</f>
        <v>0</v>
      </c>
      <c r="D22" s="488"/>
      <c r="E22" s="207" t="str">
        <f>"Line "&amp;A20&amp;" + Line "&amp;A21</f>
        <v>Line 9 + Line 10</v>
      </c>
      <c r="F22" s="159">
        <f t="shared" si="1"/>
        <v>11</v>
      </c>
    </row>
    <row r="23" spans="1:6" x14ac:dyDescent="0.35">
      <c r="A23" s="159">
        <f t="shared" si="0"/>
        <v>12</v>
      </c>
      <c r="B23" s="183"/>
      <c r="C23" s="489"/>
      <c r="D23" s="470"/>
      <c r="E23" s="162"/>
      <c r="F23" s="159">
        <f t="shared" si="1"/>
        <v>12</v>
      </c>
    </row>
    <row r="24" spans="1:6" x14ac:dyDescent="0.35">
      <c r="A24" s="159">
        <f t="shared" si="0"/>
        <v>13</v>
      </c>
      <c r="B24" s="310" t="s">
        <v>526</v>
      </c>
      <c r="C24" s="483"/>
      <c r="D24" s="484"/>
      <c r="E24" s="162"/>
      <c r="F24" s="159">
        <f t="shared" si="1"/>
        <v>13</v>
      </c>
    </row>
    <row r="25" spans="1:6" x14ac:dyDescent="0.35">
      <c r="A25" s="159">
        <f t="shared" si="0"/>
        <v>14</v>
      </c>
      <c r="B25" s="264" t="s">
        <v>527</v>
      </c>
      <c r="C25" s="490">
        <v>-924781.40879317222</v>
      </c>
      <c r="D25" s="472"/>
      <c r="E25" s="207" t="s">
        <v>528</v>
      </c>
      <c r="F25" s="159">
        <f t="shared" si="1"/>
        <v>14</v>
      </c>
    </row>
    <row r="26" spans="1:6" x14ac:dyDescent="0.35">
      <c r="A26" s="159">
        <f t="shared" si="0"/>
        <v>15</v>
      </c>
      <c r="B26" s="264" t="s">
        <v>529</v>
      </c>
      <c r="C26" s="491">
        <v>0</v>
      </c>
      <c r="D26" s="472"/>
      <c r="E26" s="207" t="s">
        <v>530</v>
      </c>
      <c r="F26" s="159">
        <f t="shared" si="1"/>
        <v>15</v>
      </c>
    </row>
    <row r="27" spans="1:6" x14ac:dyDescent="0.35">
      <c r="A27" s="159">
        <f t="shared" si="0"/>
        <v>16</v>
      </c>
      <c r="B27" s="183" t="s">
        <v>531</v>
      </c>
      <c r="C27" s="481">
        <f>SUM(C25:C26)</f>
        <v>-924781.40879317222</v>
      </c>
      <c r="D27" s="482"/>
      <c r="E27" s="207" t="str">
        <f>"Line "&amp;A25&amp;" + Line "&amp;A26</f>
        <v>Line 14 + Line 15</v>
      </c>
      <c r="F27" s="159">
        <f t="shared" si="1"/>
        <v>16</v>
      </c>
    </row>
    <row r="28" spans="1:6" x14ac:dyDescent="0.35">
      <c r="A28" s="159">
        <f t="shared" si="0"/>
        <v>17</v>
      </c>
      <c r="B28" s="163"/>
      <c r="C28" s="492"/>
      <c r="D28" s="493"/>
      <c r="E28" s="162"/>
      <c r="F28" s="159">
        <f t="shared" si="1"/>
        <v>17</v>
      </c>
    </row>
    <row r="29" spans="1:6" x14ac:dyDescent="0.35">
      <c r="A29" s="159">
        <f t="shared" si="0"/>
        <v>18</v>
      </c>
      <c r="B29" s="310" t="s">
        <v>533</v>
      </c>
      <c r="C29" s="492"/>
      <c r="D29" s="493"/>
      <c r="E29" s="162"/>
      <c r="F29" s="159">
        <f t="shared" si="1"/>
        <v>18</v>
      </c>
    </row>
    <row r="30" spans="1:6" x14ac:dyDescent="0.35">
      <c r="A30" s="159">
        <f t="shared" si="0"/>
        <v>19</v>
      </c>
      <c r="B30" s="183" t="s">
        <v>534</v>
      </c>
      <c r="C30" s="477">
        <v>51269.428222656083</v>
      </c>
      <c r="D30" s="472"/>
      <c r="E30" s="207" t="s">
        <v>112</v>
      </c>
      <c r="F30" s="159">
        <f t="shared" si="1"/>
        <v>19</v>
      </c>
    </row>
    <row r="31" spans="1:6" x14ac:dyDescent="0.35">
      <c r="A31" s="159">
        <f t="shared" si="0"/>
        <v>20</v>
      </c>
      <c r="B31" s="183" t="s">
        <v>535</v>
      </c>
      <c r="C31" s="478">
        <v>37308.787275766081</v>
      </c>
      <c r="D31" s="472"/>
      <c r="E31" s="207" t="s">
        <v>114</v>
      </c>
      <c r="F31" s="159">
        <f t="shared" si="1"/>
        <v>20</v>
      </c>
    </row>
    <row r="32" spans="1:6" x14ac:dyDescent="0.35">
      <c r="A32" s="159">
        <f t="shared" si="0"/>
        <v>21</v>
      </c>
      <c r="B32" s="183" t="s">
        <v>536</v>
      </c>
      <c r="C32" s="480">
        <v>11438.223795957318</v>
      </c>
      <c r="D32" s="472"/>
      <c r="E32" s="207" t="s">
        <v>116</v>
      </c>
      <c r="F32" s="159">
        <f t="shared" si="1"/>
        <v>21</v>
      </c>
    </row>
    <row r="33" spans="1:6" x14ac:dyDescent="0.35">
      <c r="A33" s="159">
        <f t="shared" si="0"/>
        <v>22</v>
      </c>
      <c r="B33" s="183" t="s">
        <v>537</v>
      </c>
      <c r="C33" s="481">
        <f>SUM(C30:C32)</f>
        <v>100016.43929437947</v>
      </c>
      <c r="D33" s="482"/>
      <c r="E33" s="207" t="str">
        <f>"Sum Lines "&amp;A30&amp;" thru "&amp;A32</f>
        <v>Sum Lines 19 thru 21</v>
      </c>
      <c r="F33" s="159">
        <f t="shared" si="1"/>
        <v>22</v>
      </c>
    </row>
    <row r="34" spans="1:6" x14ac:dyDescent="0.35">
      <c r="A34" s="159">
        <f t="shared" si="0"/>
        <v>23</v>
      </c>
      <c r="B34" s="185"/>
      <c r="C34" s="496"/>
      <c r="D34" s="497"/>
      <c r="E34" s="162"/>
      <c r="F34" s="159">
        <f t="shared" si="1"/>
        <v>23</v>
      </c>
    </row>
    <row r="35" spans="1:6" x14ac:dyDescent="0.35">
      <c r="A35" s="159">
        <f t="shared" si="0"/>
        <v>24</v>
      </c>
      <c r="B35" s="183" t="s">
        <v>539</v>
      </c>
      <c r="C35" s="498">
        <v>0</v>
      </c>
      <c r="D35" s="472"/>
      <c r="E35" s="207" t="s">
        <v>540</v>
      </c>
      <c r="F35" s="159">
        <f t="shared" si="1"/>
        <v>24</v>
      </c>
    </row>
    <row r="36" spans="1:6" x14ac:dyDescent="0.35">
      <c r="A36" s="159">
        <f t="shared" si="0"/>
        <v>25</v>
      </c>
      <c r="B36" s="183"/>
      <c r="C36" s="496"/>
      <c r="D36" s="497"/>
      <c r="E36" s="162"/>
      <c r="F36" s="159">
        <f t="shared" si="1"/>
        <v>25</v>
      </c>
    </row>
    <row r="37" spans="1:6" ht="16" thickBot="1" x14ac:dyDescent="0.4">
      <c r="A37" s="159">
        <f t="shared" si="0"/>
        <v>26</v>
      </c>
      <c r="B37" s="183" t="s">
        <v>541</v>
      </c>
      <c r="C37" s="518">
        <f>C17+C22+C27+C33+C35</f>
        <v>4576183.24786379</v>
      </c>
      <c r="D37" s="482"/>
      <c r="E37" s="207" t="str">
        <f>"Sum Lines "&amp;A17&amp;", "&amp;A22&amp;", "&amp;A27&amp;", "&amp;A33&amp;", "&amp;A35</f>
        <v>Sum Lines 6, 11, 16, 22, 24</v>
      </c>
      <c r="F37" s="159">
        <f t="shared" si="1"/>
        <v>26</v>
      </c>
    </row>
    <row r="38" spans="1:6" ht="16" thickTop="1" x14ac:dyDescent="0.35">
      <c r="A38" s="159">
        <f t="shared" si="0"/>
        <v>27</v>
      </c>
      <c r="B38" s="185"/>
      <c r="C38" s="500"/>
      <c r="D38" s="482"/>
      <c r="E38" s="162"/>
      <c r="F38" s="159">
        <f t="shared" si="1"/>
        <v>27</v>
      </c>
    </row>
    <row r="39" spans="1:6" x14ac:dyDescent="0.35">
      <c r="A39" s="159">
        <f t="shared" si="0"/>
        <v>28</v>
      </c>
      <c r="B39" s="310" t="s">
        <v>543</v>
      </c>
      <c r="C39" s="500"/>
      <c r="D39" s="482"/>
      <c r="E39" s="162"/>
      <c r="F39" s="159">
        <f t="shared" si="1"/>
        <v>28</v>
      </c>
    </row>
    <row r="40" spans="1:6" x14ac:dyDescent="0.35">
      <c r="A40" s="159">
        <f t="shared" si="0"/>
        <v>29</v>
      </c>
      <c r="B40" s="183" t="s">
        <v>544</v>
      </c>
      <c r="C40" s="501">
        <v>0</v>
      </c>
      <c r="D40" s="502"/>
      <c r="E40" s="207" t="s">
        <v>270</v>
      </c>
      <c r="F40" s="159">
        <f t="shared" si="1"/>
        <v>29</v>
      </c>
    </row>
    <row r="41" spans="1:6" x14ac:dyDescent="0.35">
      <c r="A41" s="159">
        <f t="shared" si="0"/>
        <v>30</v>
      </c>
      <c r="B41" s="183" t="s">
        <v>545</v>
      </c>
      <c r="C41" s="503">
        <v>0</v>
      </c>
      <c r="D41" s="472"/>
      <c r="E41" s="207" t="s">
        <v>270</v>
      </c>
      <c r="F41" s="159">
        <f t="shared" si="1"/>
        <v>30</v>
      </c>
    </row>
    <row r="42" spans="1:6" x14ac:dyDescent="0.35">
      <c r="A42" s="159">
        <f t="shared" si="0"/>
        <v>31</v>
      </c>
      <c r="B42" s="264" t="s">
        <v>546</v>
      </c>
      <c r="C42" s="495">
        <f>C40+C41</f>
        <v>0</v>
      </c>
      <c r="D42" s="482"/>
      <c r="E42" s="207" t="str">
        <f>"Line "&amp;A40&amp;" + Line "&amp;A41</f>
        <v>Line 29 + Line 30</v>
      </c>
      <c r="F42" s="159">
        <f t="shared" si="1"/>
        <v>31</v>
      </c>
    </row>
    <row r="43" spans="1:6" x14ac:dyDescent="0.35">
      <c r="A43" s="159">
        <f t="shared" si="0"/>
        <v>32</v>
      </c>
      <c r="B43" s="185"/>
      <c r="C43" s="500"/>
      <c r="D43" s="482"/>
      <c r="E43" s="162"/>
      <c r="F43" s="159">
        <f t="shared" si="1"/>
        <v>32</v>
      </c>
    </row>
    <row r="44" spans="1:6" x14ac:dyDescent="0.35">
      <c r="A44" s="159">
        <f t="shared" si="0"/>
        <v>33</v>
      </c>
      <c r="B44" s="310" t="s">
        <v>548</v>
      </c>
      <c r="C44" s="500"/>
      <c r="D44" s="482"/>
      <c r="E44" s="162"/>
      <c r="F44" s="159">
        <f t="shared" si="1"/>
        <v>33</v>
      </c>
    </row>
    <row r="45" spans="1:6" x14ac:dyDescent="0.35">
      <c r="A45" s="159">
        <f t="shared" si="0"/>
        <v>34</v>
      </c>
      <c r="B45" s="183" t="s">
        <v>549</v>
      </c>
      <c r="C45" s="501">
        <v>0</v>
      </c>
      <c r="D45" s="472"/>
      <c r="E45" s="207" t="s">
        <v>270</v>
      </c>
      <c r="F45" s="159">
        <f t="shared" si="1"/>
        <v>34</v>
      </c>
    </row>
    <row r="46" spans="1:6" x14ac:dyDescent="0.35">
      <c r="A46" s="159">
        <f t="shared" si="0"/>
        <v>35</v>
      </c>
      <c r="B46" s="264" t="s">
        <v>550</v>
      </c>
      <c r="C46" s="504">
        <v>0</v>
      </c>
      <c r="D46" s="472"/>
      <c r="E46" s="207" t="s">
        <v>270</v>
      </c>
      <c r="F46" s="159">
        <f t="shared" si="1"/>
        <v>35</v>
      </c>
    </row>
    <row r="47" spans="1:6" x14ac:dyDescent="0.35">
      <c r="A47" s="159">
        <f t="shared" si="0"/>
        <v>36</v>
      </c>
      <c r="B47" s="264" t="s">
        <v>551</v>
      </c>
      <c r="C47" s="495">
        <f>C45+C46</f>
        <v>0</v>
      </c>
      <c r="D47" s="482"/>
      <c r="E47" s="207" t="str">
        <f>"Line "&amp;A45&amp;" + Line "&amp;A46</f>
        <v>Line 34 + Line 35</v>
      </c>
      <c r="F47" s="159">
        <f t="shared" si="1"/>
        <v>36</v>
      </c>
    </row>
    <row r="48" spans="1:6" x14ac:dyDescent="0.35">
      <c r="A48" s="159">
        <f t="shared" si="0"/>
        <v>37</v>
      </c>
      <c r="B48" s="185"/>
      <c r="C48" s="500"/>
      <c r="D48" s="482"/>
      <c r="E48" s="162"/>
      <c r="F48" s="159">
        <f t="shared" si="1"/>
        <v>37</v>
      </c>
    </row>
    <row r="49" spans="1:8" ht="16" thickBot="1" x14ac:dyDescent="0.4">
      <c r="A49" s="159">
        <f t="shared" si="0"/>
        <v>38</v>
      </c>
      <c r="B49" s="310" t="s">
        <v>553</v>
      </c>
      <c r="C49" s="505">
        <v>0</v>
      </c>
      <c r="D49" s="472"/>
      <c r="E49" s="207" t="s">
        <v>270</v>
      </c>
      <c r="F49" s="159">
        <f t="shared" si="1"/>
        <v>38</v>
      </c>
    </row>
    <row r="50" spans="1:8" ht="16" thickTop="1" x14ac:dyDescent="0.35">
      <c r="A50" s="159"/>
      <c r="B50" s="185"/>
      <c r="C50" s="500"/>
      <c r="D50" s="482"/>
      <c r="E50" s="162"/>
      <c r="F50" s="159"/>
    </row>
    <row r="51" spans="1:8" x14ac:dyDescent="0.35">
      <c r="A51" s="159"/>
      <c r="B51" s="162"/>
      <c r="C51" s="163"/>
      <c r="D51" s="163"/>
      <c r="E51" s="163"/>
      <c r="F51" s="159"/>
    </row>
    <row r="52" spans="1:8" x14ac:dyDescent="0.35">
      <c r="A52" s="159"/>
      <c r="B52" s="853" t="str">
        <f>B3</f>
        <v>SAN DIEGO GAS &amp; ELECTRIC COMPANY</v>
      </c>
      <c r="C52" s="878"/>
      <c r="D52" s="878"/>
      <c r="E52" s="878"/>
      <c r="F52" s="159"/>
    </row>
    <row r="53" spans="1:8" x14ac:dyDescent="0.35">
      <c r="A53" s="159"/>
      <c r="B53" s="853" t="str">
        <f>B4</f>
        <v xml:space="preserve">Derivation of End Use Transmission Rate Base </v>
      </c>
      <c r="C53" s="878"/>
      <c r="D53" s="878"/>
      <c r="E53" s="878"/>
      <c r="F53" s="159"/>
    </row>
    <row r="54" spans="1:8" x14ac:dyDescent="0.35">
      <c r="A54" s="159"/>
      <c r="B54" s="875" t="str">
        <f>B5</f>
        <v>Base Period &amp; True-Up Period 12 - Months Ending December 31, 2020</v>
      </c>
      <c r="C54" s="876"/>
      <c r="D54" s="876"/>
      <c r="E54" s="876"/>
      <c r="F54" s="159"/>
    </row>
    <row r="55" spans="1:8" x14ac:dyDescent="0.35">
      <c r="A55" s="159"/>
      <c r="B55" s="877" t="s">
        <v>4</v>
      </c>
      <c r="C55" s="878"/>
      <c r="D55" s="878"/>
      <c r="E55" s="878"/>
      <c r="F55" s="159"/>
    </row>
    <row r="56" spans="1:8" x14ac:dyDescent="0.35">
      <c r="A56" s="159"/>
      <c r="B56" s="602"/>
      <c r="C56" s="163"/>
      <c r="D56" s="163"/>
      <c r="E56" s="163"/>
      <c r="F56" s="159"/>
    </row>
    <row r="57" spans="1:8" x14ac:dyDescent="0.35">
      <c r="A57" s="159" t="s">
        <v>5</v>
      </c>
      <c r="B57" s="602"/>
      <c r="C57" s="163"/>
      <c r="D57" s="163"/>
      <c r="E57" s="163"/>
      <c r="F57" s="159"/>
    </row>
    <row r="58" spans="1:8" x14ac:dyDescent="0.35">
      <c r="A58" s="159" t="s">
        <v>6</v>
      </c>
      <c r="B58" s="602"/>
      <c r="C58" s="163"/>
      <c r="D58" s="163"/>
      <c r="E58" s="163"/>
      <c r="F58" s="159"/>
    </row>
    <row r="59" spans="1:8" x14ac:dyDescent="0.35">
      <c r="A59" s="159"/>
      <c r="B59" s="310" t="s">
        <v>554</v>
      </c>
      <c r="C59" s="163"/>
      <c r="D59" s="163"/>
      <c r="E59" s="163"/>
      <c r="F59" s="159"/>
    </row>
    <row r="60" spans="1:8" x14ac:dyDescent="0.35">
      <c r="A60" s="159"/>
      <c r="B60" s="476"/>
      <c r="C60" s="472"/>
      <c r="D60" s="472"/>
      <c r="E60" s="162"/>
      <c r="F60" s="159"/>
    </row>
    <row r="61" spans="1:8" x14ac:dyDescent="0.35">
      <c r="A61" s="159">
        <v>1</v>
      </c>
      <c r="B61" s="310" t="s">
        <v>555</v>
      </c>
      <c r="C61" s="472"/>
      <c r="D61" s="472"/>
      <c r="E61" s="162"/>
      <c r="F61" s="159">
        <f t="shared" ref="F61:F85" si="2">A61</f>
        <v>1</v>
      </c>
    </row>
    <row r="62" spans="1:8" x14ac:dyDescent="0.35">
      <c r="A62" s="159">
        <v>2</v>
      </c>
      <c r="B62" s="183" t="s">
        <v>511</v>
      </c>
      <c r="C62" s="506">
        <v>6717604.4084030753</v>
      </c>
      <c r="D62" s="472"/>
      <c r="E62" s="207" t="s">
        <v>556</v>
      </c>
      <c r="F62" s="159">
        <f t="shared" si="2"/>
        <v>2</v>
      </c>
      <c r="G62" s="507"/>
      <c r="H62" s="508"/>
    </row>
    <row r="63" spans="1:8" x14ac:dyDescent="0.35">
      <c r="A63" s="159">
        <v>3</v>
      </c>
      <c r="B63" s="183" t="s">
        <v>557</v>
      </c>
      <c r="C63" s="509">
        <v>19671.544520386884</v>
      </c>
      <c r="D63" s="472"/>
      <c r="E63" s="207" t="s">
        <v>558</v>
      </c>
      <c r="F63" s="159">
        <f t="shared" si="2"/>
        <v>3</v>
      </c>
      <c r="G63" s="507"/>
      <c r="H63" s="508"/>
    </row>
    <row r="64" spans="1:8" x14ac:dyDescent="0.35">
      <c r="A64" s="159">
        <v>4</v>
      </c>
      <c r="B64" s="183" t="s">
        <v>271</v>
      </c>
      <c r="C64" s="509">
        <v>49193.51899590245</v>
      </c>
      <c r="D64" s="472"/>
      <c r="E64" s="207" t="s">
        <v>272</v>
      </c>
      <c r="F64" s="159">
        <f t="shared" si="2"/>
        <v>4</v>
      </c>
      <c r="G64" s="507"/>
      <c r="H64" s="510"/>
    </row>
    <row r="65" spans="1:8" x14ac:dyDescent="0.35">
      <c r="A65" s="159">
        <v>5</v>
      </c>
      <c r="B65" s="183" t="s">
        <v>515</v>
      </c>
      <c r="C65" s="511">
        <v>121720.77530805826</v>
      </c>
      <c r="D65" s="472"/>
      <c r="E65" s="207" t="s">
        <v>274</v>
      </c>
      <c r="F65" s="159">
        <f t="shared" si="2"/>
        <v>5</v>
      </c>
      <c r="G65" s="508"/>
      <c r="H65" s="508"/>
    </row>
    <row r="66" spans="1:8" x14ac:dyDescent="0.35">
      <c r="A66" s="159">
        <v>6</v>
      </c>
      <c r="B66" s="183" t="s">
        <v>559</v>
      </c>
      <c r="C66" s="481">
        <f>SUM(C62:C65)</f>
        <v>6908190.2472274229</v>
      </c>
      <c r="D66" s="482"/>
      <c r="E66" s="207" t="str">
        <f>"Sum Lines "&amp;A62&amp;" thru "&amp;A65</f>
        <v>Sum Lines 2 thru 5</v>
      </c>
      <c r="F66" s="159">
        <f t="shared" si="2"/>
        <v>6</v>
      </c>
      <c r="G66" s="507"/>
      <c r="H66" s="508"/>
    </row>
    <row r="67" spans="1:8" x14ac:dyDescent="0.35">
      <c r="A67" s="159">
        <v>7</v>
      </c>
      <c r="B67" s="264"/>
      <c r="C67" s="512"/>
      <c r="D67" s="472"/>
      <c r="E67" s="162"/>
      <c r="F67" s="159">
        <f t="shared" si="2"/>
        <v>7</v>
      </c>
      <c r="G67" s="508"/>
      <c r="H67" s="508"/>
    </row>
    <row r="68" spans="1:8" x14ac:dyDescent="0.35">
      <c r="A68" s="159">
        <v>8</v>
      </c>
      <c r="B68" s="309" t="s">
        <v>560</v>
      </c>
      <c r="C68" s="512"/>
      <c r="D68" s="472"/>
      <c r="E68" s="162"/>
      <c r="F68" s="159">
        <f t="shared" si="2"/>
        <v>8</v>
      </c>
      <c r="G68" s="508"/>
      <c r="H68" s="508"/>
    </row>
    <row r="69" spans="1:8" x14ac:dyDescent="0.35">
      <c r="A69" s="159">
        <v>9</v>
      </c>
      <c r="B69" s="264" t="s">
        <v>561</v>
      </c>
      <c r="C69" s="506">
        <v>1410479.6822169228</v>
      </c>
      <c r="D69" s="472"/>
      <c r="E69" s="207" t="s">
        <v>562</v>
      </c>
      <c r="F69" s="159">
        <f t="shared" si="2"/>
        <v>9</v>
      </c>
      <c r="G69" s="508"/>
      <c r="H69" s="508"/>
    </row>
    <row r="70" spans="1:8" x14ac:dyDescent="0.35">
      <c r="A70" s="159">
        <v>10</v>
      </c>
      <c r="B70" s="264" t="s">
        <v>563</v>
      </c>
      <c r="C70" s="509">
        <v>16157.661721714056</v>
      </c>
      <c r="D70" s="472"/>
      <c r="E70" s="207" t="s">
        <v>564</v>
      </c>
      <c r="F70" s="159">
        <f t="shared" si="2"/>
        <v>10</v>
      </c>
      <c r="G70" s="508"/>
      <c r="H70" s="508"/>
    </row>
    <row r="71" spans="1:8" x14ac:dyDescent="0.35">
      <c r="A71" s="159">
        <v>11</v>
      </c>
      <c r="B71" s="264" t="s">
        <v>565</v>
      </c>
      <c r="C71" s="509">
        <v>20095.78885559523</v>
      </c>
      <c r="D71" s="472"/>
      <c r="E71" s="207" t="s">
        <v>566</v>
      </c>
      <c r="F71" s="159">
        <f t="shared" si="2"/>
        <v>11</v>
      </c>
      <c r="G71" s="508"/>
      <c r="H71" s="508"/>
    </row>
    <row r="72" spans="1:8" x14ac:dyDescent="0.35">
      <c r="A72" s="159">
        <v>12</v>
      </c>
      <c r="B72" s="264" t="s">
        <v>567</v>
      </c>
      <c r="C72" s="511">
        <v>60508.897070608007</v>
      </c>
      <c r="D72" s="472"/>
      <c r="E72" s="207" t="s">
        <v>568</v>
      </c>
      <c r="F72" s="159">
        <f t="shared" si="2"/>
        <v>12</v>
      </c>
      <c r="G72" s="508"/>
      <c r="H72" s="508"/>
    </row>
    <row r="73" spans="1:8" x14ac:dyDescent="0.35">
      <c r="A73" s="159">
        <v>13</v>
      </c>
      <c r="B73" s="513" t="s">
        <v>569</v>
      </c>
      <c r="C73" s="481">
        <f>SUM(C69:C72)</f>
        <v>1507242.0298648402</v>
      </c>
      <c r="D73" s="482"/>
      <c r="E73" s="207" t="str">
        <f>"Sum Lines "&amp;A69&amp;" thru "&amp;A72</f>
        <v>Sum Lines 9 thru 12</v>
      </c>
      <c r="F73" s="159">
        <f t="shared" si="2"/>
        <v>13</v>
      </c>
      <c r="G73" s="508"/>
      <c r="H73" s="508"/>
    </row>
    <row r="74" spans="1:8" x14ac:dyDescent="0.35">
      <c r="A74" s="159">
        <v>14</v>
      </c>
      <c r="B74" s="513"/>
      <c r="C74" s="492"/>
      <c r="D74" s="493"/>
      <c r="E74" s="162"/>
      <c r="F74" s="159">
        <f t="shared" si="2"/>
        <v>14</v>
      </c>
      <c r="G74" s="508"/>
      <c r="H74" s="508"/>
    </row>
    <row r="75" spans="1:8" x14ac:dyDescent="0.35">
      <c r="A75" s="159">
        <v>15</v>
      </c>
      <c r="B75" s="310" t="s">
        <v>510</v>
      </c>
      <c r="C75" s="492"/>
      <c r="D75" s="493"/>
      <c r="E75" s="162"/>
      <c r="F75" s="159">
        <f t="shared" si="2"/>
        <v>15</v>
      </c>
      <c r="G75" s="508"/>
      <c r="H75" s="508"/>
    </row>
    <row r="76" spans="1:8" x14ac:dyDescent="0.35">
      <c r="A76" s="159">
        <v>16</v>
      </c>
      <c r="B76" s="183" t="s">
        <v>511</v>
      </c>
      <c r="C76" s="651">
        <f>C62-C69</f>
        <v>5307124.7261861525</v>
      </c>
      <c r="D76" s="652"/>
      <c r="E76" s="207" t="str">
        <f>"Line "&amp;A62&amp;" Minus Line "&amp;A69</f>
        <v>Line 2 Minus Line 9</v>
      </c>
      <c r="F76" s="159">
        <f t="shared" si="2"/>
        <v>16</v>
      </c>
      <c r="G76" s="508"/>
      <c r="H76" s="508"/>
    </row>
    <row r="77" spans="1:8" x14ac:dyDescent="0.35">
      <c r="A77" s="159">
        <v>17</v>
      </c>
      <c r="B77" s="183" t="s">
        <v>269</v>
      </c>
      <c r="C77" s="514">
        <f>C63-C70</f>
        <v>3513.8827986728284</v>
      </c>
      <c r="D77" s="515"/>
      <c r="E77" s="207" t="str">
        <f>"Line "&amp;A63&amp;" Minus Line "&amp;A70</f>
        <v>Line 3 Minus Line 10</v>
      </c>
      <c r="F77" s="159">
        <f t="shared" si="2"/>
        <v>17</v>
      </c>
      <c r="G77" s="508"/>
      <c r="H77" s="508"/>
    </row>
    <row r="78" spans="1:8" x14ac:dyDescent="0.35">
      <c r="A78" s="159">
        <v>18</v>
      </c>
      <c r="B78" s="183" t="s">
        <v>271</v>
      </c>
      <c r="C78" s="514">
        <f>C64-C71</f>
        <v>29097.73014030722</v>
      </c>
      <c r="D78" s="515"/>
      <c r="E78" s="207" t="str">
        <f>"Line "&amp;A64&amp;" Minus Line "&amp;A71</f>
        <v>Line 4 Minus Line 11</v>
      </c>
      <c r="F78" s="159">
        <f t="shared" si="2"/>
        <v>18</v>
      </c>
    </row>
    <row r="79" spans="1:8" x14ac:dyDescent="0.35">
      <c r="A79" s="159">
        <v>19</v>
      </c>
      <c r="B79" s="183" t="s">
        <v>515</v>
      </c>
      <c r="C79" s="516">
        <f>C65-C72</f>
        <v>61211.878237450255</v>
      </c>
      <c r="D79" s="517"/>
      <c r="E79" s="207" t="str">
        <f>"Line "&amp;A65&amp;" Minus Line "&amp;A72</f>
        <v>Line 5 Minus Line 12</v>
      </c>
      <c r="F79" s="159">
        <f t="shared" si="2"/>
        <v>19</v>
      </c>
    </row>
    <row r="80" spans="1:8" ht="16" thickBot="1" x14ac:dyDescent="0.4">
      <c r="A80" s="159">
        <v>20</v>
      </c>
      <c r="B80" s="264" t="s">
        <v>517</v>
      </c>
      <c r="C80" s="653">
        <f>SUM(C76:C79)</f>
        <v>5400948.2173625827</v>
      </c>
      <c r="D80" s="482"/>
      <c r="E80" s="207" t="str">
        <f>"Sum Lines "&amp;A76&amp;" thru "&amp;A79</f>
        <v>Sum Lines 16 thru 19</v>
      </c>
      <c r="F80" s="159">
        <f t="shared" si="2"/>
        <v>20</v>
      </c>
    </row>
    <row r="81" spans="1:6" ht="16" thickTop="1" x14ac:dyDescent="0.35">
      <c r="A81" s="159">
        <v>21</v>
      </c>
      <c r="B81" s="185"/>
      <c r="C81" s="482"/>
      <c r="D81" s="482"/>
      <c r="E81" s="162"/>
      <c r="F81" s="159">
        <f t="shared" si="2"/>
        <v>21</v>
      </c>
    </row>
    <row r="82" spans="1:6" x14ac:dyDescent="0.35">
      <c r="A82" s="159">
        <v>22</v>
      </c>
      <c r="B82" s="310" t="s">
        <v>576</v>
      </c>
      <c r="C82" s="482"/>
      <c r="D82" s="482"/>
      <c r="E82" s="162"/>
      <c r="F82" s="159">
        <f t="shared" si="2"/>
        <v>22</v>
      </c>
    </row>
    <row r="83" spans="1:6" x14ac:dyDescent="0.35">
      <c r="A83" s="159">
        <v>23</v>
      </c>
      <c r="B83" s="183" t="s">
        <v>577</v>
      </c>
      <c r="C83" s="501">
        <v>0</v>
      </c>
      <c r="D83" s="482"/>
      <c r="E83" s="207" t="s">
        <v>270</v>
      </c>
      <c r="F83" s="159">
        <f t="shared" si="2"/>
        <v>23</v>
      </c>
    </row>
    <row r="84" spans="1:6" x14ac:dyDescent="0.35">
      <c r="A84" s="159">
        <v>24</v>
      </c>
      <c r="B84" s="264" t="s">
        <v>578</v>
      </c>
      <c r="C84" s="504">
        <v>0</v>
      </c>
      <c r="D84" s="482"/>
      <c r="E84" s="207" t="s">
        <v>270</v>
      </c>
      <c r="F84" s="159">
        <f t="shared" si="2"/>
        <v>24</v>
      </c>
    </row>
    <row r="85" spans="1:6" ht="16" thickBot="1" x14ac:dyDescent="0.4">
      <c r="A85" s="159">
        <v>25</v>
      </c>
      <c r="B85" s="183" t="s">
        <v>579</v>
      </c>
      <c r="C85" s="518">
        <f>C83-C84</f>
        <v>0</v>
      </c>
      <c r="D85" s="482"/>
      <c r="E85" s="207" t="str">
        <f>"Line "&amp;A83&amp;" Minus Line "&amp;A84</f>
        <v>Line 23 Minus Line 24</v>
      </c>
      <c r="F85" s="159">
        <f t="shared" si="2"/>
        <v>25</v>
      </c>
    </row>
    <row r="86" spans="1:6" ht="16" thickTop="1" x14ac:dyDescent="0.35">
      <c r="A86" s="159"/>
    </row>
  </sheetData>
  <mergeCells count="8">
    <mergeCell ref="B54:E54"/>
    <mergeCell ref="B55:E55"/>
    <mergeCell ref="B3:E3"/>
    <mergeCell ref="B4:E4"/>
    <mergeCell ref="B5:E5"/>
    <mergeCell ref="B6:E6"/>
    <mergeCell ref="B52:E52"/>
    <mergeCell ref="B53:E53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Roman,Bold"&amp;9AS FILED</oddHeader>
    <oddFooter>&amp;CPage 16.&amp;P&amp;R&amp;F</oddFooter>
  </headerFooter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H56"/>
  <sheetViews>
    <sheetView zoomScale="80" zoomScaleNormal="80" workbookViewId="0"/>
  </sheetViews>
  <sheetFormatPr defaultColWidth="8.81640625" defaultRowHeight="15.5" x14ac:dyDescent="0.35"/>
  <cols>
    <col min="1" max="1" width="5.1796875" style="36" customWidth="1"/>
    <col min="2" max="2" width="78.54296875" style="18" customWidth="1"/>
    <col min="3" max="3" width="16.81640625" style="18" customWidth="1"/>
    <col min="4" max="4" width="1.81640625" style="18" customWidth="1"/>
    <col min="5" max="5" width="58.90625" style="18" customWidth="1"/>
    <col min="6" max="6" width="5.1796875" style="36" customWidth="1"/>
    <col min="7" max="7" width="9.36328125" style="18" bestFit="1" customWidth="1"/>
    <col min="8" max="8" width="9.54296875" style="18" customWidth="1"/>
    <col min="9" max="16384" width="8.81640625" style="18"/>
  </cols>
  <sheetData>
    <row r="1" spans="1:6" x14ac:dyDescent="0.35">
      <c r="A1" s="161"/>
      <c r="B1" s="162"/>
      <c r="C1" s="162"/>
      <c r="D1" s="162"/>
      <c r="E1" s="365"/>
      <c r="F1" s="161"/>
    </row>
    <row r="2" spans="1:6" x14ac:dyDescent="0.35">
      <c r="A2" s="161"/>
      <c r="B2" s="853" t="s">
        <v>20</v>
      </c>
      <c r="C2" s="853"/>
      <c r="D2" s="853"/>
      <c r="E2" s="853"/>
      <c r="F2" s="162"/>
    </row>
    <row r="3" spans="1:6" x14ac:dyDescent="0.35">
      <c r="B3" s="853" t="s">
        <v>58</v>
      </c>
      <c r="C3" s="853"/>
      <c r="D3" s="853"/>
      <c r="E3" s="853"/>
      <c r="F3" s="158"/>
    </row>
    <row r="4" spans="1:6" x14ac:dyDescent="0.35">
      <c r="B4" s="853" t="s">
        <v>59</v>
      </c>
      <c r="C4" s="853"/>
      <c r="D4" s="853"/>
      <c r="E4" s="853"/>
      <c r="F4" s="158"/>
    </row>
    <row r="5" spans="1:6" x14ac:dyDescent="0.35">
      <c r="A5" s="161"/>
      <c r="B5" s="855" t="s">
        <v>60</v>
      </c>
      <c r="C5" s="855"/>
      <c r="D5" s="855"/>
      <c r="E5" s="855"/>
      <c r="F5" s="161"/>
    </row>
    <row r="6" spans="1:6" x14ac:dyDescent="0.35">
      <c r="B6" s="854" t="s">
        <v>4</v>
      </c>
      <c r="C6" s="853"/>
      <c r="D6" s="853"/>
      <c r="E6" s="853"/>
      <c r="F6" s="158"/>
    </row>
    <row r="7" spans="1:6" ht="16" thickBot="1" x14ac:dyDescent="0.4">
      <c r="A7" s="161"/>
      <c r="B7" s="162"/>
      <c r="C7" s="163"/>
      <c r="D7" s="164"/>
      <c r="E7" s="163"/>
      <c r="F7" s="161"/>
    </row>
    <row r="8" spans="1:6" x14ac:dyDescent="0.35">
      <c r="A8" s="165" t="s">
        <v>5</v>
      </c>
      <c r="B8" s="166"/>
      <c r="C8" s="167"/>
      <c r="D8" s="162"/>
      <c r="E8" s="168"/>
      <c r="F8" s="169" t="s">
        <v>5</v>
      </c>
    </row>
    <row r="9" spans="1:6" x14ac:dyDescent="0.35">
      <c r="A9" s="165" t="s">
        <v>6</v>
      </c>
      <c r="B9" s="366" t="s">
        <v>29</v>
      </c>
      <c r="C9" s="603" t="s">
        <v>8</v>
      </c>
      <c r="D9" s="367"/>
      <c r="E9" s="367" t="s">
        <v>9</v>
      </c>
      <c r="F9" s="169" t="s">
        <v>6</v>
      </c>
    </row>
    <row r="10" spans="1:6" x14ac:dyDescent="0.35">
      <c r="A10" s="165"/>
      <c r="B10" s="170"/>
      <c r="C10" s="171"/>
      <c r="D10" s="172"/>
      <c r="E10" s="173"/>
      <c r="F10" s="169"/>
    </row>
    <row r="11" spans="1:6" x14ac:dyDescent="0.35">
      <c r="A11" s="165">
        <v>1</v>
      </c>
      <c r="B11" s="174" t="s">
        <v>31</v>
      </c>
      <c r="C11" s="175">
        <v>63.508862639043954</v>
      </c>
      <c r="D11" s="176"/>
      <c r="E11" s="177" t="s">
        <v>61</v>
      </c>
      <c r="F11" s="169">
        <f>A11</f>
        <v>1</v>
      </c>
    </row>
    <row r="12" spans="1:6" x14ac:dyDescent="0.35">
      <c r="A12" s="165">
        <f>A11+1</f>
        <v>2</v>
      </c>
      <c r="B12" s="178"/>
      <c r="C12" s="179"/>
      <c r="D12" s="180"/>
      <c r="E12" s="162"/>
      <c r="F12" s="169">
        <f>F11+1</f>
        <v>2</v>
      </c>
    </row>
    <row r="13" spans="1:6" x14ac:dyDescent="0.35">
      <c r="A13" s="165">
        <f t="shared" ref="A13:A28" si="0">A12+1</f>
        <v>3</v>
      </c>
      <c r="B13" s="174" t="s">
        <v>33</v>
      </c>
      <c r="C13" s="181">
        <f>'Pg5 Rev B.Sec.2-Non-Direct Exp'!E35</f>
        <v>2905.1322341461005</v>
      </c>
      <c r="D13" s="25" t="s">
        <v>34</v>
      </c>
      <c r="E13" s="177" t="s">
        <v>62</v>
      </c>
      <c r="F13" s="169">
        <f t="shared" ref="F13:F28" si="1">F12+1</f>
        <v>3</v>
      </c>
    </row>
    <row r="14" spans="1:6" x14ac:dyDescent="0.35">
      <c r="A14" s="165">
        <f t="shared" si="0"/>
        <v>4</v>
      </c>
      <c r="B14" s="178"/>
      <c r="C14" s="179"/>
      <c r="D14" s="180"/>
      <c r="E14" s="182"/>
      <c r="F14" s="169">
        <f t="shared" si="1"/>
        <v>4</v>
      </c>
    </row>
    <row r="15" spans="1:6" x14ac:dyDescent="0.35">
      <c r="A15" s="165">
        <f t="shared" si="0"/>
        <v>5</v>
      </c>
      <c r="B15" s="183" t="s">
        <v>36</v>
      </c>
      <c r="C15" s="523">
        <f>'Pg7 Rev C.Sec.3-Other Costs'!G42</f>
        <v>874.61355840368606</v>
      </c>
      <c r="D15" s="184"/>
      <c r="E15" s="177" t="s">
        <v>63</v>
      </c>
      <c r="F15" s="169">
        <f t="shared" si="1"/>
        <v>5</v>
      </c>
    </row>
    <row r="16" spans="1:6" x14ac:dyDescent="0.35">
      <c r="A16" s="165">
        <f t="shared" si="0"/>
        <v>6</v>
      </c>
      <c r="B16" s="185"/>
      <c r="C16" s="84"/>
      <c r="D16" s="184"/>
      <c r="E16" s="177"/>
      <c r="F16" s="169">
        <f t="shared" si="1"/>
        <v>6</v>
      </c>
    </row>
    <row r="17" spans="1:8" x14ac:dyDescent="0.35">
      <c r="A17" s="165">
        <f t="shared" si="0"/>
        <v>7</v>
      </c>
      <c r="B17" s="186" t="s">
        <v>64</v>
      </c>
      <c r="C17" s="768">
        <f>C11+C13+C15+1</f>
        <v>3844.2546551888304</v>
      </c>
      <c r="D17" s="25" t="s">
        <v>34</v>
      </c>
      <c r="E17" s="187" t="s">
        <v>65</v>
      </c>
      <c r="F17" s="169">
        <f t="shared" si="1"/>
        <v>7</v>
      </c>
    </row>
    <row r="18" spans="1:8" x14ac:dyDescent="0.35">
      <c r="A18" s="165">
        <f t="shared" si="0"/>
        <v>8</v>
      </c>
      <c r="B18" s="188"/>
      <c r="C18" s="179"/>
      <c r="D18" s="180"/>
      <c r="E18" s="189"/>
      <c r="F18" s="169">
        <f t="shared" si="1"/>
        <v>8</v>
      </c>
    </row>
    <row r="19" spans="1:8" x14ac:dyDescent="0.35">
      <c r="A19" s="165">
        <f t="shared" si="0"/>
        <v>9</v>
      </c>
      <c r="B19" s="174" t="s">
        <v>39</v>
      </c>
      <c r="C19" s="181">
        <f>'Pg8 Rev D.Sec.4-TU'!N30</f>
        <v>1416.7889456022599</v>
      </c>
      <c r="D19" s="25" t="s">
        <v>34</v>
      </c>
      <c r="E19" s="177" t="s">
        <v>66</v>
      </c>
      <c r="F19" s="169">
        <f t="shared" si="1"/>
        <v>9</v>
      </c>
    </row>
    <row r="20" spans="1:8" x14ac:dyDescent="0.35">
      <c r="A20" s="165">
        <f t="shared" si="0"/>
        <v>10</v>
      </c>
      <c r="B20" s="174"/>
      <c r="C20" s="179"/>
      <c r="D20" s="180"/>
      <c r="E20" s="190"/>
      <c r="F20" s="169">
        <f t="shared" si="1"/>
        <v>10</v>
      </c>
    </row>
    <row r="21" spans="1:8" x14ac:dyDescent="0.35">
      <c r="A21" s="165">
        <f t="shared" si="0"/>
        <v>11</v>
      </c>
      <c r="B21" s="174" t="s">
        <v>41</v>
      </c>
      <c r="C21" s="523">
        <v>106.95449561636043</v>
      </c>
      <c r="D21" s="184"/>
      <c r="E21" s="187" t="s">
        <v>67</v>
      </c>
      <c r="F21" s="169">
        <f t="shared" si="1"/>
        <v>11</v>
      </c>
    </row>
    <row r="22" spans="1:8" x14ac:dyDescent="0.35">
      <c r="A22" s="165">
        <f t="shared" si="0"/>
        <v>12</v>
      </c>
      <c r="B22" s="185"/>
      <c r="C22" s="191"/>
      <c r="D22" s="192"/>
      <c r="E22" s="187"/>
      <c r="F22" s="169">
        <f t="shared" si="1"/>
        <v>12</v>
      </c>
    </row>
    <row r="23" spans="1:8" x14ac:dyDescent="0.35">
      <c r="A23" s="165">
        <f t="shared" si="0"/>
        <v>13</v>
      </c>
      <c r="B23" s="185" t="s">
        <v>43</v>
      </c>
      <c r="C23" s="79">
        <f>C17+C19+C21</f>
        <v>5367.9980964074512</v>
      </c>
      <c r="D23" s="25" t="s">
        <v>34</v>
      </c>
      <c r="E23" s="187" t="s">
        <v>68</v>
      </c>
      <c r="F23" s="169">
        <f t="shared" si="1"/>
        <v>13</v>
      </c>
      <c r="G23" s="693"/>
    </row>
    <row r="24" spans="1:8" x14ac:dyDescent="0.35">
      <c r="A24" s="165">
        <f t="shared" si="0"/>
        <v>14</v>
      </c>
      <c r="B24" s="193"/>
      <c r="C24" s="75"/>
      <c r="D24" s="76"/>
      <c r="E24" s="187"/>
      <c r="F24" s="169">
        <f t="shared" si="1"/>
        <v>14</v>
      </c>
    </row>
    <row r="25" spans="1:8" x14ac:dyDescent="0.35">
      <c r="A25" s="165">
        <f t="shared" si="0"/>
        <v>15</v>
      </c>
      <c r="B25" s="183" t="s">
        <v>44</v>
      </c>
      <c r="C25" s="524">
        <v>-108.76044997079637</v>
      </c>
      <c r="D25" s="76"/>
      <c r="E25" s="187" t="s">
        <v>69</v>
      </c>
      <c r="F25" s="169">
        <f t="shared" si="1"/>
        <v>15</v>
      </c>
    </row>
    <row r="26" spans="1:8" x14ac:dyDescent="0.35">
      <c r="A26" s="165">
        <f t="shared" si="0"/>
        <v>16</v>
      </c>
      <c r="B26" s="163"/>
      <c r="C26" s="194"/>
      <c r="D26" s="195"/>
      <c r="E26" s="187"/>
      <c r="F26" s="169">
        <f t="shared" si="1"/>
        <v>16</v>
      </c>
    </row>
    <row r="27" spans="1:8" x14ac:dyDescent="0.35">
      <c r="A27" s="165">
        <f t="shared" si="0"/>
        <v>17</v>
      </c>
      <c r="B27" s="186" t="s">
        <v>46</v>
      </c>
      <c r="C27" s="196">
        <f>C23+C25</f>
        <v>5259.2376464366544</v>
      </c>
      <c r="D27" s="25" t="s">
        <v>34</v>
      </c>
      <c r="E27" s="187" t="s">
        <v>70</v>
      </c>
      <c r="F27" s="169">
        <f t="shared" si="1"/>
        <v>17</v>
      </c>
      <c r="H27" s="197"/>
    </row>
    <row r="28" spans="1:8" ht="16.5" thickTop="1" thickBot="1" x14ac:dyDescent="0.4">
      <c r="A28" s="165">
        <f t="shared" si="0"/>
        <v>18</v>
      </c>
      <c r="B28" s="198"/>
      <c r="C28" s="199"/>
      <c r="D28" s="240"/>
      <c r="E28" s="164"/>
      <c r="F28" s="169">
        <f t="shared" si="1"/>
        <v>18</v>
      </c>
    </row>
    <row r="30" spans="1:8" ht="16" thickBot="1" x14ac:dyDescent="0.4">
      <c r="A30" s="161"/>
      <c r="B30" s="200"/>
      <c r="C30" s="201"/>
      <c r="D30" s="201"/>
      <c r="E30" s="201"/>
      <c r="F30" s="161"/>
    </row>
    <row r="31" spans="1:8" x14ac:dyDescent="0.35">
      <c r="A31" s="165" t="s">
        <v>5</v>
      </c>
      <c r="B31" s="202"/>
      <c r="C31" s="167"/>
      <c r="D31" s="162"/>
      <c r="E31" s="162"/>
      <c r="F31" s="169" t="s">
        <v>5</v>
      </c>
    </row>
    <row r="32" spans="1:8" x14ac:dyDescent="0.35">
      <c r="A32" s="165" t="s">
        <v>6</v>
      </c>
      <c r="B32" s="366" t="s">
        <v>47</v>
      </c>
      <c r="C32" s="603" t="str">
        <f>C9</f>
        <v>Amounts</v>
      </c>
      <c r="D32" s="367"/>
      <c r="E32" s="367" t="str">
        <f>E9</f>
        <v>Reference</v>
      </c>
      <c r="F32" s="169" t="s">
        <v>6</v>
      </c>
    </row>
    <row r="33" spans="1:6" x14ac:dyDescent="0.35">
      <c r="A33" s="165">
        <f>A28+1</f>
        <v>19</v>
      </c>
      <c r="B33" s="203"/>
      <c r="C33" s="171"/>
      <c r="D33" s="172"/>
      <c r="E33" s="173"/>
      <c r="F33" s="169">
        <f>F28+1</f>
        <v>19</v>
      </c>
    </row>
    <row r="34" spans="1:6" x14ac:dyDescent="0.35">
      <c r="A34" s="165">
        <f>A33+1</f>
        <v>20</v>
      </c>
      <c r="B34" s="174" t="str">
        <f>B11</f>
        <v>Section 1 - Direct Maintenance Expense Cost Component</v>
      </c>
      <c r="C34" s="840">
        <f>C11/12</f>
        <v>5.2924052199203295</v>
      </c>
      <c r="D34" s="25" t="s">
        <v>34</v>
      </c>
      <c r="E34" s="177" t="str">
        <f>"Line "&amp;A11&amp;" / "&amp;C50&amp;" Months"</f>
        <v>Line 1 / 12 Months</v>
      </c>
      <c r="F34" s="169">
        <f>F33+1</f>
        <v>20</v>
      </c>
    </row>
    <row r="35" spans="1:6" x14ac:dyDescent="0.35">
      <c r="A35" s="165">
        <f t="shared" ref="A35:A53" si="2">A34+1</f>
        <v>21</v>
      </c>
      <c r="B35" s="178"/>
      <c r="C35" s="205"/>
      <c r="D35" s="206"/>
      <c r="E35" s="207"/>
      <c r="F35" s="169">
        <f t="shared" ref="F35:F53" si="3">F34+1</f>
        <v>21</v>
      </c>
    </row>
    <row r="36" spans="1:6" x14ac:dyDescent="0.35">
      <c r="A36" s="165">
        <f t="shared" si="2"/>
        <v>22</v>
      </c>
      <c r="B36" s="174" t="str">
        <f>B13</f>
        <v>Section 2 - Non-Direct Expense Cost Component</v>
      </c>
      <c r="C36" s="208">
        <f>C13/12</f>
        <v>242.09435284550838</v>
      </c>
      <c r="D36" s="25" t="s">
        <v>34</v>
      </c>
      <c r="E36" s="177" t="str">
        <f>"Line "&amp;A13&amp;" / "&amp;C50&amp;" Months"</f>
        <v>Line 3 / 12 Months</v>
      </c>
      <c r="F36" s="169">
        <f t="shared" si="3"/>
        <v>22</v>
      </c>
    </row>
    <row r="37" spans="1:6" x14ac:dyDescent="0.35">
      <c r="A37" s="165">
        <f t="shared" si="2"/>
        <v>23</v>
      </c>
      <c r="B37" s="178"/>
      <c r="C37" s="209"/>
      <c r="D37" s="210"/>
      <c r="E37" s="211"/>
      <c r="F37" s="169">
        <f t="shared" si="3"/>
        <v>23</v>
      </c>
    </row>
    <row r="38" spans="1:6" x14ac:dyDescent="0.35">
      <c r="A38" s="165">
        <f t="shared" si="2"/>
        <v>24</v>
      </c>
      <c r="B38" s="174" t="str">
        <f>B15</f>
        <v>Section 3 - Cost Component Containing Other Specific Expenses</v>
      </c>
      <c r="C38" s="821">
        <f>C15/12</f>
        <v>72.884463200307167</v>
      </c>
      <c r="D38" s="25" t="s">
        <v>34</v>
      </c>
      <c r="E38" s="177" t="str">
        <f>"Line "&amp;A15&amp;" / "&amp;C50&amp;" Months"</f>
        <v>Line 5 / 12 Months</v>
      </c>
      <c r="F38" s="169">
        <f t="shared" si="3"/>
        <v>24</v>
      </c>
    </row>
    <row r="39" spans="1:6" x14ac:dyDescent="0.35">
      <c r="A39" s="165">
        <f t="shared" si="2"/>
        <v>25</v>
      </c>
      <c r="B39" s="188"/>
      <c r="C39" s="213"/>
      <c r="D39" s="210"/>
      <c r="E39" s="177"/>
      <c r="F39" s="169">
        <f t="shared" si="3"/>
        <v>25</v>
      </c>
    </row>
    <row r="40" spans="1:6" x14ac:dyDescent="0.35">
      <c r="A40" s="165">
        <f t="shared" si="2"/>
        <v>26</v>
      </c>
      <c r="B40" s="186" t="s">
        <v>71</v>
      </c>
      <c r="C40" s="368">
        <f>C17/12</f>
        <v>320.35455459906922</v>
      </c>
      <c r="D40" s="25" t="s">
        <v>34</v>
      </c>
      <c r="E40" s="187" t="str">
        <f>"Sum Lines "&amp;A34&amp;", "&amp;A36&amp;", "&amp;A38</f>
        <v>Sum Lines 20, 22, 24</v>
      </c>
      <c r="F40" s="169">
        <f t="shared" si="3"/>
        <v>26</v>
      </c>
    </row>
    <row r="41" spans="1:6" x14ac:dyDescent="0.35">
      <c r="A41" s="165">
        <f t="shared" si="2"/>
        <v>27</v>
      </c>
      <c r="B41" s="203"/>
      <c r="C41" s="213"/>
      <c r="D41" s="210"/>
      <c r="E41" s="182"/>
      <c r="F41" s="169">
        <f t="shared" si="3"/>
        <v>27</v>
      </c>
    </row>
    <row r="42" spans="1:6" x14ac:dyDescent="0.35">
      <c r="A42" s="165">
        <f t="shared" si="2"/>
        <v>28</v>
      </c>
      <c r="B42" s="174" t="str">
        <f>LEFT(B19,45)</f>
        <v>Section 4 - True-Up Adjustment Cost Component</v>
      </c>
      <c r="C42" s="368">
        <f>C19/12</f>
        <v>118.06574546685499</v>
      </c>
      <c r="D42" s="25" t="s">
        <v>34</v>
      </c>
      <c r="E42" s="177" t="str">
        <f>"Line "&amp;A19&amp;" / "&amp;C50&amp;" Months"</f>
        <v>Line 9 / 12 Months</v>
      </c>
      <c r="F42" s="169">
        <f t="shared" si="3"/>
        <v>28</v>
      </c>
    </row>
    <row r="43" spans="1:6" x14ac:dyDescent="0.35">
      <c r="A43" s="165">
        <f t="shared" si="2"/>
        <v>29</v>
      </c>
      <c r="B43" s="174"/>
      <c r="C43" s="209"/>
      <c r="D43" s="210"/>
      <c r="E43" s="214"/>
      <c r="F43" s="169">
        <f t="shared" si="3"/>
        <v>29</v>
      </c>
    </row>
    <row r="44" spans="1:6" x14ac:dyDescent="0.35">
      <c r="A44" s="165">
        <f t="shared" si="2"/>
        <v>30</v>
      </c>
      <c r="B44" s="174" t="str">
        <f>B21</f>
        <v>Section 5 - Interest True-Up Adjustment Cost Component</v>
      </c>
      <c r="C44" s="369">
        <f>C21/12</f>
        <v>8.9128746346967027</v>
      </c>
      <c r="D44" s="370"/>
      <c r="E44" s="187" t="str">
        <f>"Line "&amp;A21&amp;" / "&amp;C50&amp;" Months"</f>
        <v>Line 11 / 12 Months</v>
      </c>
      <c r="F44" s="169">
        <f t="shared" si="3"/>
        <v>30</v>
      </c>
    </row>
    <row r="45" spans="1:6" x14ac:dyDescent="0.35">
      <c r="A45" s="165">
        <f t="shared" si="2"/>
        <v>31</v>
      </c>
      <c r="B45" s="188"/>
      <c r="C45" s="215"/>
      <c r="D45" s="28"/>
      <c r="E45" s="216"/>
      <c r="F45" s="169">
        <f t="shared" si="3"/>
        <v>31</v>
      </c>
    </row>
    <row r="46" spans="1:6" x14ac:dyDescent="0.35">
      <c r="A46" s="165">
        <f t="shared" si="2"/>
        <v>32</v>
      </c>
      <c r="B46" s="183" t="str">
        <f>B25</f>
        <v>Other Adjustments</v>
      </c>
      <c r="C46" s="525">
        <f>C25/12</f>
        <v>-9.0633708308996983</v>
      </c>
      <c r="D46" s="212"/>
      <c r="E46" s="187" t="str">
        <f>"Line "&amp;A25&amp;" / "&amp;C50&amp;" Months"</f>
        <v>Line 15 / 12 Months</v>
      </c>
      <c r="F46" s="169">
        <f t="shared" si="3"/>
        <v>32</v>
      </c>
    </row>
    <row r="47" spans="1:6" x14ac:dyDescent="0.35">
      <c r="A47" s="165">
        <f t="shared" si="2"/>
        <v>33</v>
      </c>
      <c r="B47" s="185"/>
      <c r="C47" s="215"/>
      <c r="D47" s="28"/>
      <c r="E47" s="216"/>
      <c r="F47" s="169">
        <f t="shared" si="3"/>
        <v>33</v>
      </c>
    </row>
    <row r="48" spans="1:6" ht="16" thickBot="1" x14ac:dyDescent="0.4">
      <c r="A48" s="165">
        <f t="shared" si="2"/>
        <v>34</v>
      </c>
      <c r="B48" s="185" t="s">
        <v>55</v>
      </c>
      <c r="C48" s="371">
        <f>C40+C42+C44+C46</f>
        <v>438.26980386972122</v>
      </c>
      <c r="D48" s="25" t="s">
        <v>34</v>
      </c>
      <c r="E48" s="187" t="str">
        <f>"Sum Lines "&amp;A40&amp;", "&amp;A42&amp;", "&amp;A44&amp;", "&amp;A46</f>
        <v>Sum Lines 26, 28, 30, 32</v>
      </c>
      <c r="F48" s="169">
        <f t="shared" si="3"/>
        <v>34</v>
      </c>
    </row>
    <row r="49" spans="1:6" ht="16" thickTop="1" x14ac:dyDescent="0.35">
      <c r="A49" s="165">
        <f t="shared" si="2"/>
        <v>35</v>
      </c>
      <c r="B49" s="203"/>
      <c r="C49" s="217"/>
      <c r="D49" s="218"/>
      <c r="E49" s="219"/>
      <c r="F49" s="169">
        <f t="shared" si="3"/>
        <v>35</v>
      </c>
    </row>
    <row r="50" spans="1:6" x14ac:dyDescent="0.35">
      <c r="A50" s="165">
        <f t="shared" si="2"/>
        <v>36</v>
      </c>
      <c r="B50" s="178" t="s">
        <v>16</v>
      </c>
      <c r="C50" s="526">
        <v>12</v>
      </c>
      <c r="D50" s="220"/>
      <c r="E50" s="219"/>
      <c r="F50" s="169">
        <f t="shared" si="3"/>
        <v>36</v>
      </c>
    </row>
    <row r="51" spans="1:6" x14ac:dyDescent="0.35">
      <c r="A51" s="165">
        <f t="shared" si="2"/>
        <v>37</v>
      </c>
      <c r="B51" s="203"/>
      <c r="C51" s="217"/>
      <c r="D51" s="218"/>
      <c r="E51" s="221"/>
      <c r="F51" s="169">
        <f t="shared" si="3"/>
        <v>37</v>
      </c>
    </row>
    <row r="52" spans="1:6" ht="16" thickBot="1" x14ac:dyDescent="0.4">
      <c r="A52" s="165">
        <f t="shared" si="2"/>
        <v>38</v>
      </c>
      <c r="B52" s="186" t="str">
        <f>B27</f>
        <v>Total Annual Costs</v>
      </c>
      <c r="C52" s="372">
        <f>C48*C50</f>
        <v>5259.2376464366544</v>
      </c>
      <c r="D52" s="25" t="s">
        <v>34</v>
      </c>
      <c r="E52" s="187" t="str">
        <f>"Line "&amp;A48&amp;" x Line "&amp;A50</f>
        <v>Line 34 x Line 36</v>
      </c>
      <c r="F52" s="169">
        <f t="shared" si="3"/>
        <v>38</v>
      </c>
    </row>
    <row r="53" spans="1:6" ht="16.5" thickTop="1" thickBot="1" x14ac:dyDescent="0.4">
      <c r="A53" s="165">
        <f t="shared" si="2"/>
        <v>39</v>
      </c>
      <c r="B53" s="164"/>
      <c r="C53" s="222"/>
      <c r="D53" s="373"/>
      <c r="E53" s="224"/>
      <c r="F53" s="169">
        <f t="shared" si="3"/>
        <v>39</v>
      </c>
    </row>
    <row r="55" spans="1:6" x14ac:dyDescent="0.35">
      <c r="A55" s="25" t="s">
        <v>34</v>
      </c>
      <c r="B55" s="23" t="str">
        <f>'Pg2 Appendix X C10 Comparison'!B56</f>
        <v xml:space="preserve">Items in BOLD have changed due to A&amp;G adjustments and removal of CIAC related ADIT per SDG&amp;E's TO5 Cycle 4 Letter Order determination in ER22-527 as compared </v>
      </c>
    </row>
    <row r="56" spans="1:6" x14ac:dyDescent="0.35">
      <c r="B56" s="23" t="str">
        <f>'Pg2 Appendix X C10 Comparison'!B57</f>
        <v>to the original Sunrise Appendix X Cycle 10 filing per ER22-139.</v>
      </c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1" orientation="portrait" r:id="rId1"/>
  <headerFooter scaleWithDoc="0" alignWithMargins="0">
    <oddHeader>&amp;C&amp;"Times New Roman,Bold"&amp;9REVISED</oddHeader>
    <oddFooter>&amp;CPage 3&amp;R&amp;F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L60"/>
  <sheetViews>
    <sheetView zoomScale="80" zoomScaleNormal="80" workbookViewId="0"/>
  </sheetViews>
  <sheetFormatPr defaultColWidth="9.1796875" defaultRowHeight="15.5" x14ac:dyDescent="0.35"/>
  <cols>
    <col min="1" max="1" width="5.1796875" style="519" customWidth="1"/>
    <col min="2" max="2" width="12.54296875" style="610" customWidth="1"/>
    <col min="3" max="3" width="20" style="610" customWidth="1"/>
    <col min="4" max="8" width="21.54296875" style="610" customWidth="1"/>
    <col min="9" max="9" width="5.1796875" style="519" customWidth="1"/>
    <col min="10" max="10" width="13.54296875" style="610" customWidth="1"/>
    <col min="11" max="11" width="12.54296875" style="610" customWidth="1"/>
    <col min="12" max="16384" width="9.1796875" style="610"/>
  </cols>
  <sheetData>
    <row r="1" spans="1:9" x14ac:dyDescent="0.35">
      <c r="D1" s="611"/>
    </row>
    <row r="2" spans="1:9" x14ac:dyDescent="0.35">
      <c r="B2" s="879" t="s">
        <v>20</v>
      </c>
      <c r="C2" s="879"/>
      <c r="D2" s="879"/>
      <c r="E2" s="879"/>
      <c r="F2" s="879"/>
      <c r="G2" s="879"/>
      <c r="H2" s="879"/>
      <c r="I2" s="612"/>
    </row>
    <row r="3" spans="1:9" x14ac:dyDescent="0.35">
      <c r="B3" s="879" t="s">
        <v>21</v>
      </c>
      <c r="C3" s="879"/>
      <c r="D3" s="879"/>
      <c r="E3" s="879"/>
      <c r="F3" s="879"/>
      <c r="G3" s="879"/>
      <c r="H3" s="879"/>
      <c r="I3" s="612"/>
    </row>
    <row r="4" spans="1:9" x14ac:dyDescent="0.35">
      <c r="B4" s="880" t="s">
        <v>581</v>
      </c>
      <c r="C4" s="880"/>
      <c r="D4" s="880"/>
      <c r="E4" s="880"/>
      <c r="F4" s="880"/>
      <c r="G4" s="880"/>
      <c r="H4" s="880"/>
      <c r="I4" s="612"/>
    </row>
    <row r="5" spans="1:9" x14ac:dyDescent="0.35">
      <c r="B5" s="880" t="s">
        <v>582</v>
      </c>
      <c r="C5" s="880"/>
      <c r="D5" s="880"/>
      <c r="E5" s="880"/>
      <c r="F5" s="880"/>
      <c r="G5" s="880"/>
      <c r="H5" s="880"/>
      <c r="I5" s="612"/>
    </row>
    <row r="6" spans="1:9" x14ac:dyDescent="0.35">
      <c r="B6" s="881" t="s">
        <v>4</v>
      </c>
      <c r="C6" s="881"/>
      <c r="D6" s="881"/>
      <c r="E6" s="881"/>
      <c r="F6" s="881"/>
      <c r="G6" s="881"/>
      <c r="H6" s="881"/>
      <c r="I6" s="612"/>
    </row>
    <row r="7" spans="1:9" x14ac:dyDescent="0.35">
      <c r="A7" s="612"/>
      <c r="B7" s="612"/>
      <c r="C7" s="612"/>
      <c r="D7" s="612"/>
      <c r="E7" s="612"/>
      <c r="F7" s="612"/>
      <c r="G7" s="612"/>
      <c r="H7" s="612"/>
      <c r="I7" s="612"/>
    </row>
    <row r="8" spans="1:9" x14ac:dyDescent="0.35">
      <c r="A8" s="36" t="s">
        <v>5</v>
      </c>
      <c r="B8" s="53"/>
      <c r="I8" s="36" t="s">
        <v>5</v>
      </c>
    </row>
    <row r="9" spans="1:9" x14ac:dyDescent="0.35">
      <c r="A9" s="307" t="s">
        <v>6</v>
      </c>
      <c r="B9" s="53"/>
      <c r="I9" s="307" t="s">
        <v>6</v>
      </c>
    </row>
    <row r="10" spans="1:9" x14ac:dyDescent="0.35">
      <c r="A10" s="36">
        <v>1</v>
      </c>
      <c r="C10" s="286" t="s">
        <v>145</v>
      </c>
      <c r="D10" s="286" t="s">
        <v>146</v>
      </c>
      <c r="E10" s="286" t="s">
        <v>147</v>
      </c>
      <c r="F10" s="286" t="s">
        <v>148</v>
      </c>
      <c r="G10" s="286" t="s">
        <v>149</v>
      </c>
      <c r="H10" s="286" t="s">
        <v>150</v>
      </c>
      <c r="I10" s="36">
        <v>1</v>
      </c>
    </row>
    <row r="11" spans="1:9" x14ac:dyDescent="0.35">
      <c r="A11" s="36">
        <f t="shared" ref="A11:A54" si="0">A10+1</f>
        <v>2</v>
      </c>
      <c r="B11" s="613" t="s">
        <v>156</v>
      </c>
      <c r="C11" s="36"/>
      <c r="D11" s="68" t="s">
        <v>583</v>
      </c>
      <c r="E11" s="36"/>
      <c r="F11" s="36" t="s">
        <v>584</v>
      </c>
      <c r="G11" s="36" t="s">
        <v>585</v>
      </c>
      <c r="H11" s="68" t="s">
        <v>586</v>
      </c>
      <c r="I11" s="36">
        <f t="shared" ref="I11:I54" si="1">I10+1</f>
        <v>2</v>
      </c>
    </row>
    <row r="12" spans="1:9" x14ac:dyDescent="0.35">
      <c r="A12" s="36">
        <f t="shared" si="0"/>
        <v>3</v>
      </c>
      <c r="B12" s="613"/>
      <c r="C12" s="36"/>
      <c r="D12" s="68"/>
      <c r="E12" s="36"/>
      <c r="F12" s="36"/>
      <c r="G12" s="36"/>
      <c r="H12" s="68"/>
      <c r="I12" s="36">
        <f t="shared" si="1"/>
        <v>3</v>
      </c>
    </row>
    <row r="13" spans="1:9" x14ac:dyDescent="0.35">
      <c r="A13" s="36">
        <f t="shared" si="0"/>
        <v>4</v>
      </c>
      <c r="C13" s="286"/>
      <c r="F13" s="364" t="s">
        <v>157</v>
      </c>
      <c r="H13" s="364" t="s">
        <v>157</v>
      </c>
      <c r="I13" s="36">
        <f t="shared" si="1"/>
        <v>4</v>
      </c>
    </row>
    <row r="14" spans="1:9" x14ac:dyDescent="0.35">
      <c r="A14" s="36">
        <f t="shared" si="0"/>
        <v>5</v>
      </c>
      <c r="C14" s="286"/>
      <c r="D14" s="364" t="s">
        <v>158</v>
      </c>
      <c r="E14" s="364"/>
      <c r="F14" s="364" t="s">
        <v>159</v>
      </c>
      <c r="H14" s="364" t="s">
        <v>159</v>
      </c>
      <c r="I14" s="36">
        <f t="shared" si="1"/>
        <v>5</v>
      </c>
    </row>
    <row r="15" spans="1:9" x14ac:dyDescent="0.35">
      <c r="A15" s="36">
        <f t="shared" si="0"/>
        <v>6</v>
      </c>
      <c r="C15" s="364"/>
      <c r="D15" s="364" t="s">
        <v>159</v>
      </c>
      <c r="E15" s="364" t="s">
        <v>158</v>
      </c>
      <c r="F15" s="364" t="s">
        <v>162</v>
      </c>
      <c r="H15" s="364" t="s">
        <v>162</v>
      </c>
      <c r="I15" s="36">
        <f t="shared" si="1"/>
        <v>6</v>
      </c>
    </row>
    <row r="16" spans="1:9" x14ac:dyDescent="0.35">
      <c r="A16" s="36">
        <f t="shared" si="0"/>
        <v>7</v>
      </c>
      <c r="C16" s="364"/>
      <c r="D16" s="364" t="s">
        <v>162</v>
      </c>
      <c r="E16" s="364" t="s">
        <v>165</v>
      </c>
      <c r="F16" s="364" t="s">
        <v>166</v>
      </c>
      <c r="G16" s="364"/>
      <c r="H16" s="364" t="s">
        <v>166</v>
      </c>
      <c r="I16" s="36">
        <f t="shared" si="1"/>
        <v>7</v>
      </c>
    </row>
    <row r="17" spans="1:12" ht="18" x14ac:dyDescent="0.35">
      <c r="A17" s="36">
        <f t="shared" si="0"/>
        <v>8</v>
      </c>
      <c r="B17" s="683" t="s">
        <v>167</v>
      </c>
      <c r="C17" s="683" t="s">
        <v>168</v>
      </c>
      <c r="D17" s="684" t="s">
        <v>166</v>
      </c>
      <c r="E17" s="684" t="s">
        <v>587</v>
      </c>
      <c r="F17" s="684" t="s">
        <v>175</v>
      </c>
      <c r="G17" s="685" t="s">
        <v>165</v>
      </c>
      <c r="H17" s="684" t="s">
        <v>176</v>
      </c>
      <c r="I17" s="36">
        <f t="shared" si="1"/>
        <v>8</v>
      </c>
    </row>
    <row r="18" spans="1:12" x14ac:dyDescent="0.35">
      <c r="A18" s="36">
        <f t="shared" si="0"/>
        <v>9</v>
      </c>
      <c r="B18" s="96" t="s">
        <v>177</v>
      </c>
      <c r="C18" s="288">
        <v>2020</v>
      </c>
      <c r="D18" s="846">
        <f>'Pg2 Appendix X C10 Comparison'!G28/12</f>
        <v>-0.12626623047534244</v>
      </c>
      <c r="E18" s="615">
        <v>4.1999999999999997E-3</v>
      </c>
      <c r="F18" s="616">
        <f>D18</f>
        <v>-0.12626623047534244</v>
      </c>
      <c r="G18" s="617">
        <f>(D18/2)*E18</f>
        <v>-2.6515908399821908E-4</v>
      </c>
      <c r="H18" s="617">
        <f t="shared" ref="H18:H53" si="2">F18+G18</f>
        <v>-0.12653138955934065</v>
      </c>
      <c r="I18" s="36">
        <f t="shared" si="1"/>
        <v>9</v>
      </c>
      <c r="J18" s="618"/>
    </row>
    <row r="19" spans="1:12" x14ac:dyDescent="0.35">
      <c r="A19" s="36">
        <f t="shared" si="0"/>
        <v>10</v>
      </c>
      <c r="B19" s="96" t="s">
        <v>178</v>
      </c>
      <c r="C19" s="288">
        <f>C18</f>
        <v>2020</v>
      </c>
      <c r="D19" s="847">
        <f>D18</f>
        <v>-0.12626623047534244</v>
      </c>
      <c r="E19" s="615">
        <v>3.8999999999999998E-3</v>
      </c>
      <c r="F19" s="619">
        <f>H18+D19</f>
        <v>-0.25279762003468309</v>
      </c>
      <c r="G19" s="620">
        <f t="shared" ref="G19:G53" si="3">(H18+F19)/2*E19</f>
        <v>-7.3969156870834626E-4</v>
      </c>
      <c r="H19" s="620">
        <f t="shared" si="2"/>
        <v>-0.25353731160339144</v>
      </c>
      <c r="I19" s="36">
        <f t="shared" si="1"/>
        <v>10</v>
      </c>
      <c r="J19" s="621"/>
    </row>
    <row r="20" spans="1:12" x14ac:dyDescent="0.35">
      <c r="A20" s="36">
        <f t="shared" si="0"/>
        <v>11</v>
      </c>
      <c r="B20" s="96" t="s">
        <v>179</v>
      </c>
      <c r="C20" s="288">
        <f t="shared" ref="C20:D29" si="4">C19</f>
        <v>2020</v>
      </c>
      <c r="D20" s="847">
        <f t="shared" si="4"/>
        <v>-0.12626623047534244</v>
      </c>
      <c r="E20" s="615">
        <v>4.1999999999999997E-3</v>
      </c>
      <c r="F20" s="619">
        <f>H19+D20</f>
        <v>-0.3798035420787339</v>
      </c>
      <c r="G20" s="620">
        <f>(H19+F20)/2*E20</f>
        <v>-1.3300157927324632E-3</v>
      </c>
      <c r="H20" s="620">
        <f t="shared" si="2"/>
        <v>-0.38113355787146636</v>
      </c>
      <c r="I20" s="36">
        <f t="shared" si="1"/>
        <v>11</v>
      </c>
      <c r="J20" s="621"/>
    </row>
    <row r="21" spans="1:12" x14ac:dyDescent="0.35">
      <c r="A21" s="36">
        <f t="shared" si="0"/>
        <v>12</v>
      </c>
      <c r="B21" s="96" t="s">
        <v>180</v>
      </c>
      <c r="C21" s="288">
        <f t="shared" si="4"/>
        <v>2020</v>
      </c>
      <c r="D21" s="847">
        <f t="shared" si="4"/>
        <v>-0.12626623047534244</v>
      </c>
      <c r="E21" s="615">
        <v>3.8999999999999998E-3</v>
      </c>
      <c r="F21" s="619">
        <f>H20+D21</f>
        <v>-0.50739978834680877</v>
      </c>
      <c r="G21" s="620">
        <f>(H20+F21)/2*E21</f>
        <v>-1.7326400251256365E-3</v>
      </c>
      <c r="H21" s="620">
        <f t="shared" si="2"/>
        <v>-0.5091324283719344</v>
      </c>
      <c r="I21" s="36">
        <f t="shared" si="1"/>
        <v>12</v>
      </c>
      <c r="J21" s="621"/>
      <c r="L21" s="622"/>
    </row>
    <row r="22" spans="1:12" x14ac:dyDescent="0.35">
      <c r="A22" s="36">
        <f t="shared" si="0"/>
        <v>13</v>
      </c>
      <c r="B22" s="96" t="s">
        <v>181</v>
      </c>
      <c r="C22" s="288">
        <f t="shared" si="4"/>
        <v>2020</v>
      </c>
      <c r="D22" s="847">
        <f t="shared" si="4"/>
        <v>-0.12626623047534244</v>
      </c>
      <c r="E22" s="615">
        <v>4.0000000000000001E-3</v>
      </c>
      <c r="F22" s="619">
        <f t="shared" ref="F22:F53" si="5">H21+D22</f>
        <v>-0.63539865884727686</v>
      </c>
      <c r="G22" s="620">
        <f t="shared" si="3"/>
        <v>-2.2890621744384222E-3</v>
      </c>
      <c r="H22" s="620">
        <f t="shared" si="2"/>
        <v>-0.63768772102171534</v>
      </c>
      <c r="I22" s="36">
        <f t="shared" si="1"/>
        <v>13</v>
      </c>
      <c r="J22" s="621"/>
    </row>
    <row r="23" spans="1:12" x14ac:dyDescent="0.35">
      <c r="A23" s="36">
        <f t="shared" si="0"/>
        <v>14</v>
      </c>
      <c r="B23" s="96" t="s">
        <v>182</v>
      </c>
      <c r="C23" s="288">
        <f t="shared" si="4"/>
        <v>2020</v>
      </c>
      <c r="D23" s="847">
        <f t="shared" si="4"/>
        <v>-0.12626623047534244</v>
      </c>
      <c r="E23" s="615">
        <v>3.8999999999999998E-3</v>
      </c>
      <c r="F23" s="619">
        <f t="shared" si="5"/>
        <v>-0.7639539514970578</v>
      </c>
      <c r="G23" s="620">
        <f>(H22+F23)/2*E23</f>
        <v>-2.7332012614116078E-3</v>
      </c>
      <c r="H23" s="620">
        <f t="shared" si="2"/>
        <v>-0.76668715275846944</v>
      </c>
      <c r="I23" s="36">
        <f t="shared" si="1"/>
        <v>14</v>
      </c>
      <c r="J23" s="621"/>
    </row>
    <row r="24" spans="1:12" x14ac:dyDescent="0.35">
      <c r="A24" s="36">
        <f t="shared" si="0"/>
        <v>15</v>
      </c>
      <c r="B24" s="96" t="s">
        <v>183</v>
      </c>
      <c r="C24" s="288">
        <f t="shared" si="4"/>
        <v>2020</v>
      </c>
      <c r="D24" s="847">
        <f t="shared" si="4"/>
        <v>-0.12626623047534244</v>
      </c>
      <c r="E24" s="615">
        <v>2.8999999999999998E-3</v>
      </c>
      <c r="F24" s="619">
        <f t="shared" si="5"/>
        <v>-0.8929533832338119</v>
      </c>
      <c r="G24" s="620">
        <f t="shared" si="3"/>
        <v>-2.4064787771888078E-3</v>
      </c>
      <c r="H24" s="620">
        <f t="shared" si="2"/>
        <v>-0.89535986201100071</v>
      </c>
      <c r="I24" s="36">
        <f t="shared" si="1"/>
        <v>15</v>
      </c>
      <c r="J24" s="621"/>
    </row>
    <row r="25" spans="1:12" x14ac:dyDescent="0.35">
      <c r="A25" s="36">
        <f t="shared" si="0"/>
        <v>16</v>
      </c>
      <c r="B25" s="96" t="s">
        <v>184</v>
      </c>
      <c r="C25" s="288">
        <f t="shared" si="4"/>
        <v>2020</v>
      </c>
      <c r="D25" s="847">
        <f t="shared" si="4"/>
        <v>-0.12626623047534244</v>
      </c>
      <c r="E25" s="615">
        <v>2.8999999999999998E-3</v>
      </c>
      <c r="F25" s="619">
        <f t="shared" si="5"/>
        <v>-1.0216260924863432</v>
      </c>
      <c r="G25" s="620">
        <f t="shared" si="3"/>
        <v>-2.7796296340211481E-3</v>
      </c>
      <c r="H25" s="620">
        <f t="shared" si="2"/>
        <v>-1.0244057221203644</v>
      </c>
      <c r="I25" s="36">
        <f t="shared" si="1"/>
        <v>16</v>
      </c>
      <c r="J25" s="621"/>
    </row>
    <row r="26" spans="1:12" x14ac:dyDescent="0.35">
      <c r="A26" s="36">
        <f t="shared" si="0"/>
        <v>17</v>
      </c>
      <c r="B26" s="96" t="s">
        <v>185</v>
      </c>
      <c r="C26" s="288">
        <f t="shared" si="4"/>
        <v>2020</v>
      </c>
      <c r="D26" s="847">
        <f t="shared" si="4"/>
        <v>-0.12626623047534244</v>
      </c>
      <c r="E26" s="615">
        <v>2.8E-3</v>
      </c>
      <c r="F26" s="619">
        <f t="shared" si="5"/>
        <v>-1.1506719525957068</v>
      </c>
      <c r="G26" s="620">
        <f t="shared" si="3"/>
        <v>-3.0451087446024998E-3</v>
      </c>
      <c r="H26" s="620">
        <f t="shared" si="2"/>
        <v>-1.1537170613403092</v>
      </c>
      <c r="I26" s="36">
        <f t="shared" si="1"/>
        <v>17</v>
      </c>
      <c r="J26" s="621"/>
    </row>
    <row r="27" spans="1:12" x14ac:dyDescent="0.35">
      <c r="A27" s="36">
        <f t="shared" si="0"/>
        <v>18</v>
      </c>
      <c r="B27" s="96" t="s">
        <v>186</v>
      </c>
      <c r="C27" s="288">
        <f t="shared" si="4"/>
        <v>2020</v>
      </c>
      <c r="D27" s="847">
        <f t="shared" si="4"/>
        <v>-0.12626623047534244</v>
      </c>
      <c r="E27" s="615">
        <v>2.8E-3</v>
      </c>
      <c r="F27" s="619">
        <f t="shared" si="5"/>
        <v>-1.2799832918156515</v>
      </c>
      <c r="G27" s="620">
        <f t="shared" si="3"/>
        <v>-3.4071804944183445E-3</v>
      </c>
      <c r="H27" s="620">
        <f t="shared" si="2"/>
        <v>-1.2833904723100698</v>
      </c>
      <c r="I27" s="36">
        <f t="shared" si="1"/>
        <v>18</v>
      </c>
      <c r="J27" s="621"/>
    </row>
    <row r="28" spans="1:12" x14ac:dyDescent="0.35">
      <c r="A28" s="36">
        <f t="shared" si="0"/>
        <v>19</v>
      </c>
      <c r="B28" s="96" t="s">
        <v>187</v>
      </c>
      <c r="C28" s="288">
        <f t="shared" si="4"/>
        <v>2020</v>
      </c>
      <c r="D28" s="847">
        <f t="shared" si="4"/>
        <v>-0.12626623047534244</v>
      </c>
      <c r="E28" s="615">
        <v>2.7000000000000001E-3</v>
      </c>
      <c r="F28" s="619">
        <f t="shared" si="5"/>
        <v>-1.4096567027854121</v>
      </c>
      <c r="G28" s="623">
        <f t="shared" si="3"/>
        <v>-3.635613686378901E-3</v>
      </c>
      <c r="H28" s="623">
        <f t="shared" si="2"/>
        <v>-1.413292316471791</v>
      </c>
      <c r="I28" s="36">
        <f t="shared" si="1"/>
        <v>19</v>
      </c>
      <c r="J28" s="621"/>
    </row>
    <row r="29" spans="1:12" x14ac:dyDescent="0.35">
      <c r="A29" s="36">
        <f t="shared" si="0"/>
        <v>20</v>
      </c>
      <c r="B29" s="295" t="s">
        <v>188</v>
      </c>
      <c r="C29" s="296">
        <f>C28</f>
        <v>2020</v>
      </c>
      <c r="D29" s="848">
        <f t="shared" si="4"/>
        <v>-0.12626623047534244</v>
      </c>
      <c r="E29" s="687">
        <v>2.8E-3</v>
      </c>
      <c r="F29" s="688">
        <f t="shared" si="5"/>
        <v>-1.5395585469471333</v>
      </c>
      <c r="G29" s="298">
        <f t="shared" si="3"/>
        <v>-4.1339912087864942E-3</v>
      </c>
      <c r="H29" s="298">
        <f t="shared" si="2"/>
        <v>-1.5436925381559199</v>
      </c>
      <c r="I29" s="36">
        <f t="shared" si="1"/>
        <v>20</v>
      </c>
      <c r="J29" s="621"/>
    </row>
    <row r="30" spans="1:12" x14ac:dyDescent="0.35">
      <c r="A30" s="36">
        <f t="shared" si="0"/>
        <v>21</v>
      </c>
      <c r="B30" s="96" t="s">
        <v>177</v>
      </c>
      <c r="C30" s="288">
        <f>C29+1</f>
        <v>2021</v>
      </c>
      <c r="D30" s="614"/>
      <c r="E30" s="615">
        <v>2.8E-3</v>
      </c>
      <c r="F30" s="624">
        <f t="shared" si="5"/>
        <v>-1.5436925381559199</v>
      </c>
      <c r="G30" s="184">
        <f t="shared" si="3"/>
        <v>-4.3223391068365757E-3</v>
      </c>
      <c r="H30" s="184">
        <f t="shared" si="2"/>
        <v>-1.5480148772627564</v>
      </c>
      <c r="I30" s="36">
        <f t="shared" si="1"/>
        <v>21</v>
      </c>
      <c r="J30" s="621"/>
    </row>
    <row r="31" spans="1:12" x14ac:dyDescent="0.35">
      <c r="A31" s="36">
        <f t="shared" si="0"/>
        <v>22</v>
      </c>
      <c r="B31" s="96" t="s">
        <v>178</v>
      </c>
      <c r="C31" s="288">
        <f>C30</f>
        <v>2021</v>
      </c>
      <c r="D31" s="614"/>
      <c r="E31" s="615">
        <v>2.5000000000000001E-3</v>
      </c>
      <c r="F31" s="624">
        <f t="shared" si="5"/>
        <v>-1.5480148772627564</v>
      </c>
      <c r="G31" s="184">
        <f t="shared" si="3"/>
        <v>-3.8700371931568913E-3</v>
      </c>
      <c r="H31" s="184">
        <f t="shared" si="2"/>
        <v>-1.5518849144559133</v>
      </c>
      <c r="I31" s="36">
        <f t="shared" si="1"/>
        <v>22</v>
      </c>
      <c r="J31" s="621"/>
    </row>
    <row r="32" spans="1:12" x14ac:dyDescent="0.35">
      <c r="A32" s="36">
        <f t="shared" si="0"/>
        <v>23</v>
      </c>
      <c r="B32" s="96" t="s">
        <v>179</v>
      </c>
      <c r="C32" s="288">
        <f t="shared" ref="C32:C40" si="6">C31</f>
        <v>2021</v>
      </c>
      <c r="D32" s="614"/>
      <c r="E32" s="615">
        <v>2.8E-3</v>
      </c>
      <c r="F32" s="624">
        <f t="shared" si="5"/>
        <v>-1.5518849144559133</v>
      </c>
      <c r="G32" s="184">
        <f t="shared" si="3"/>
        <v>-4.3452777604765574E-3</v>
      </c>
      <c r="H32" s="184">
        <f t="shared" si="2"/>
        <v>-1.5562301922163899</v>
      </c>
      <c r="I32" s="36">
        <f t="shared" si="1"/>
        <v>23</v>
      </c>
      <c r="J32" s="621"/>
    </row>
    <row r="33" spans="1:10" x14ac:dyDescent="0.35">
      <c r="A33" s="36">
        <f t="shared" si="0"/>
        <v>24</v>
      </c>
      <c r="B33" s="96" t="s">
        <v>180</v>
      </c>
      <c r="C33" s="288">
        <f t="shared" si="6"/>
        <v>2021</v>
      </c>
      <c r="D33" s="614"/>
      <c r="E33" s="615">
        <v>2.7000000000000001E-3</v>
      </c>
      <c r="F33" s="624">
        <f t="shared" si="5"/>
        <v>-1.5562301922163899</v>
      </c>
      <c r="G33" s="184">
        <f t="shared" si="3"/>
        <v>-4.2018215189842528E-3</v>
      </c>
      <c r="H33" s="184">
        <f t="shared" si="2"/>
        <v>-1.5604320137353742</v>
      </c>
      <c r="I33" s="36">
        <f t="shared" si="1"/>
        <v>24</v>
      </c>
      <c r="J33" s="621"/>
    </row>
    <row r="34" spans="1:10" x14ac:dyDescent="0.35">
      <c r="A34" s="36">
        <f t="shared" si="0"/>
        <v>25</v>
      </c>
      <c r="B34" s="96" t="s">
        <v>181</v>
      </c>
      <c r="C34" s="288">
        <f t="shared" si="6"/>
        <v>2021</v>
      </c>
      <c r="D34" s="614"/>
      <c r="E34" s="615">
        <v>2.8E-3</v>
      </c>
      <c r="F34" s="624">
        <f t="shared" si="5"/>
        <v>-1.5604320137353742</v>
      </c>
      <c r="G34" s="184">
        <f t="shared" si="3"/>
        <v>-4.3692096384590475E-3</v>
      </c>
      <c r="H34" s="184">
        <f t="shared" si="2"/>
        <v>-1.5648012233738333</v>
      </c>
      <c r="I34" s="36">
        <f t="shared" si="1"/>
        <v>25</v>
      </c>
      <c r="J34" s="621"/>
    </row>
    <row r="35" spans="1:10" x14ac:dyDescent="0.35">
      <c r="A35" s="36">
        <f t="shared" si="0"/>
        <v>26</v>
      </c>
      <c r="B35" s="96" t="s">
        <v>182</v>
      </c>
      <c r="C35" s="288">
        <f t="shared" si="6"/>
        <v>2021</v>
      </c>
      <c r="D35" s="614"/>
      <c r="E35" s="615">
        <v>2.7000000000000001E-3</v>
      </c>
      <c r="F35" s="624">
        <f t="shared" si="5"/>
        <v>-1.5648012233738333</v>
      </c>
      <c r="G35" s="184">
        <f t="shared" si="3"/>
        <v>-4.2249633031093501E-3</v>
      </c>
      <c r="H35" s="184">
        <f t="shared" si="2"/>
        <v>-1.5690261866769426</v>
      </c>
      <c r="I35" s="36">
        <f t="shared" si="1"/>
        <v>26</v>
      </c>
      <c r="J35" s="621"/>
    </row>
    <row r="36" spans="1:10" x14ac:dyDescent="0.35">
      <c r="A36" s="36">
        <f t="shared" si="0"/>
        <v>27</v>
      </c>
      <c r="B36" s="96" t="s">
        <v>183</v>
      </c>
      <c r="C36" s="288">
        <f t="shared" si="6"/>
        <v>2021</v>
      </c>
      <c r="D36" s="614"/>
      <c r="E36" s="615">
        <v>2.8E-3</v>
      </c>
      <c r="F36" s="624">
        <f t="shared" si="5"/>
        <v>-1.5690261866769426</v>
      </c>
      <c r="G36" s="184">
        <f t="shared" si="3"/>
        <v>-4.3932733226954394E-3</v>
      </c>
      <c r="H36" s="184">
        <f t="shared" si="2"/>
        <v>-1.5734194599996381</v>
      </c>
      <c r="I36" s="36">
        <f t="shared" si="1"/>
        <v>27</v>
      </c>
      <c r="J36" s="621"/>
    </row>
    <row r="37" spans="1:10" x14ac:dyDescent="0.35">
      <c r="A37" s="36">
        <f t="shared" si="0"/>
        <v>28</v>
      </c>
      <c r="B37" s="96" t="s">
        <v>184</v>
      </c>
      <c r="C37" s="288">
        <f t="shared" si="6"/>
        <v>2021</v>
      </c>
      <c r="D37" s="614"/>
      <c r="E37" s="615">
        <v>2.8E-3</v>
      </c>
      <c r="F37" s="624">
        <f t="shared" si="5"/>
        <v>-1.5734194599996381</v>
      </c>
      <c r="G37" s="184">
        <f t="shared" si="3"/>
        <v>-4.4055744879989865E-3</v>
      </c>
      <c r="H37" s="184">
        <f t="shared" si="2"/>
        <v>-1.577825034487637</v>
      </c>
      <c r="I37" s="36">
        <f t="shared" si="1"/>
        <v>28</v>
      </c>
      <c r="J37" s="621"/>
    </row>
    <row r="38" spans="1:10" x14ac:dyDescent="0.35">
      <c r="A38" s="36">
        <f t="shared" si="0"/>
        <v>29</v>
      </c>
      <c r="B38" s="96" t="s">
        <v>185</v>
      </c>
      <c r="C38" s="288">
        <f t="shared" si="6"/>
        <v>2021</v>
      </c>
      <c r="D38" s="614"/>
      <c r="E38" s="615">
        <v>2.7000000000000001E-3</v>
      </c>
      <c r="F38" s="624">
        <f t="shared" si="5"/>
        <v>-1.577825034487637</v>
      </c>
      <c r="G38" s="184">
        <f t="shared" si="3"/>
        <v>-4.2601275931166199E-3</v>
      </c>
      <c r="H38" s="184">
        <f t="shared" si="2"/>
        <v>-1.5820851620807537</v>
      </c>
      <c r="I38" s="36">
        <f t="shared" si="1"/>
        <v>29</v>
      </c>
      <c r="J38" s="621"/>
    </row>
    <row r="39" spans="1:10" x14ac:dyDescent="0.35">
      <c r="A39" s="36">
        <f t="shared" si="0"/>
        <v>30</v>
      </c>
      <c r="B39" s="96" t="s">
        <v>186</v>
      </c>
      <c r="C39" s="288">
        <f t="shared" si="6"/>
        <v>2021</v>
      </c>
      <c r="D39" s="614"/>
      <c r="E39" s="615">
        <v>2.8E-3</v>
      </c>
      <c r="F39" s="624">
        <f t="shared" si="5"/>
        <v>-1.5820851620807537</v>
      </c>
      <c r="G39" s="184">
        <f t="shared" si="3"/>
        <v>-4.4298384538261106E-3</v>
      </c>
      <c r="H39" s="184">
        <f t="shared" si="2"/>
        <v>-1.5865150005345798</v>
      </c>
      <c r="I39" s="36">
        <f t="shared" si="1"/>
        <v>30</v>
      </c>
      <c r="J39" s="621"/>
    </row>
    <row r="40" spans="1:10" x14ac:dyDescent="0.35">
      <c r="A40" s="36">
        <f t="shared" si="0"/>
        <v>31</v>
      </c>
      <c r="B40" s="96" t="s">
        <v>187</v>
      </c>
      <c r="C40" s="288">
        <f t="shared" si="6"/>
        <v>2021</v>
      </c>
      <c r="D40" s="614"/>
      <c r="E40" s="615">
        <v>2.7000000000000001E-3</v>
      </c>
      <c r="F40" s="624">
        <f t="shared" si="5"/>
        <v>-1.5865150005345798</v>
      </c>
      <c r="G40" s="184">
        <f t="shared" si="3"/>
        <v>-4.2835905014433654E-3</v>
      </c>
      <c r="H40" s="184">
        <f t="shared" si="2"/>
        <v>-1.5907985910360232</v>
      </c>
      <c r="I40" s="36">
        <f t="shared" si="1"/>
        <v>31</v>
      </c>
      <c r="J40" s="621"/>
    </row>
    <row r="41" spans="1:10" x14ac:dyDescent="0.35">
      <c r="A41" s="36">
        <f t="shared" si="0"/>
        <v>32</v>
      </c>
      <c r="B41" s="295" t="s">
        <v>188</v>
      </c>
      <c r="C41" s="296">
        <f>C40</f>
        <v>2021</v>
      </c>
      <c r="D41" s="686"/>
      <c r="E41" s="687">
        <v>2.8E-3</v>
      </c>
      <c r="F41" s="688">
        <f t="shared" si="5"/>
        <v>-1.5907985910360232</v>
      </c>
      <c r="G41" s="298">
        <f t="shared" si="3"/>
        <v>-4.4542360549008645E-3</v>
      </c>
      <c r="H41" s="298">
        <f t="shared" si="2"/>
        <v>-1.5952528270909241</v>
      </c>
      <c r="I41" s="36">
        <f t="shared" si="1"/>
        <v>32</v>
      </c>
      <c r="J41" s="621"/>
    </row>
    <row r="42" spans="1:10" x14ac:dyDescent="0.35">
      <c r="A42" s="36">
        <f t="shared" si="0"/>
        <v>33</v>
      </c>
      <c r="B42" s="96" t="s">
        <v>177</v>
      </c>
      <c r="C42" s="288">
        <f>C41+1</f>
        <v>2022</v>
      </c>
      <c r="D42" s="614"/>
      <c r="E42" s="615">
        <v>2.8E-3</v>
      </c>
      <c r="F42" s="624">
        <f t="shared" si="5"/>
        <v>-1.5952528270909241</v>
      </c>
      <c r="G42" s="184">
        <f t="shared" si="3"/>
        <v>-4.4667079158545878E-3</v>
      </c>
      <c r="H42" s="184">
        <f t="shared" si="2"/>
        <v>-1.5997195350067788</v>
      </c>
      <c r="I42" s="36">
        <f t="shared" si="1"/>
        <v>33</v>
      </c>
      <c r="J42" s="621"/>
    </row>
    <row r="43" spans="1:10" x14ac:dyDescent="0.35">
      <c r="A43" s="36">
        <f t="shared" si="0"/>
        <v>34</v>
      </c>
      <c r="B43" s="96" t="s">
        <v>178</v>
      </c>
      <c r="C43" s="288">
        <f>C42</f>
        <v>2022</v>
      </c>
      <c r="D43" s="614"/>
      <c r="E43" s="615">
        <v>2.5000000000000001E-3</v>
      </c>
      <c r="F43" s="624">
        <f t="shared" si="5"/>
        <v>-1.5997195350067788</v>
      </c>
      <c r="G43" s="184">
        <f t="shared" si="3"/>
        <v>-3.9992988375169474E-3</v>
      </c>
      <c r="H43" s="184">
        <f t="shared" si="2"/>
        <v>-1.6037188338442958</v>
      </c>
      <c r="I43" s="36">
        <f t="shared" si="1"/>
        <v>34</v>
      </c>
      <c r="J43" s="621"/>
    </row>
    <row r="44" spans="1:10" x14ac:dyDescent="0.35">
      <c r="A44" s="36">
        <f t="shared" si="0"/>
        <v>35</v>
      </c>
      <c r="B44" s="96" t="s">
        <v>179</v>
      </c>
      <c r="C44" s="288">
        <f t="shared" ref="C44:C52" si="7">C43</f>
        <v>2022</v>
      </c>
      <c r="D44" s="614"/>
      <c r="E44" s="615">
        <v>2.8E-3</v>
      </c>
      <c r="F44" s="624">
        <f t="shared" si="5"/>
        <v>-1.6037188338442958</v>
      </c>
      <c r="G44" s="184">
        <f t="shared" si="3"/>
        <v>-4.4904127347640283E-3</v>
      </c>
      <c r="H44" s="184">
        <f t="shared" si="2"/>
        <v>-1.6082092465790598</v>
      </c>
      <c r="I44" s="36">
        <f t="shared" si="1"/>
        <v>35</v>
      </c>
      <c r="J44" s="621"/>
    </row>
    <row r="45" spans="1:10" x14ac:dyDescent="0.35">
      <c r="A45" s="36">
        <f t="shared" si="0"/>
        <v>36</v>
      </c>
      <c r="B45" s="96" t="s">
        <v>180</v>
      </c>
      <c r="C45" s="288">
        <f t="shared" si="7"/>
        <v>2022</v>
      </c>
      <c r="D45" s="614"/>
      <c r="E45" s="615">
        <v>2.7000000000000001E-3</v>
      </c>
      <c r="F45" s="624">
        <f t="shared" si="5"/>
        <v>-1.6082092465790598</v>
      </c>
      <c r="G45" s="184">
        <f t="shared" si="3"/>
        <v>-4.3421649657634622E-3</v>
      </c>
      <c r="H45" s="184">
        <f t="shared" si="2"/>
        <v>-1.6125514115448234</v>
      </c>
      <c r="I45" s="36">
        <f t="shared" si="1"/>
        <v>36</v>
      </c>
      <c r="J45" s="621"/>
    </row>
    <row r="46" spans="1:10" x14ac:dyDescent="0.35">
      <c r="A46" s="36">
        <f t="shared" si="0"/>
        <v>37</v>
      </c>
      <c r="B46" s="96" t="s">
        <v>181</v>
      </c>
      <c r="C46" s="288">
        <f t="shared" si="7"/>
        <v>2022</v>
      </c>
      <c r="D46" s="614"/>
      <c r="E46" s="615">
        <v>2.8E-3</v>
      </c>
      <c r="F46" s="624">
        <f t="shared" si="5"/>
        <v>-1.6125514115448234</v>
      </c>
      <c r="G46" s="184">
        <f t="shared" si="3"/>
        <v>-4.5151439523255059E-3</v>
      </c>
      <c r="H46" s="184">
        <f t="shared" si="2"/>
        <v>-1.6170665554971488</v>
      </c>
      <c r="I46" s="36">
        <f t="shared" si="1"/>
        <v>37</v>
      </c>
      <c r="J46" s="621"/>
    </row>
    <row r="47" spans="1:10" x14ac:dyDescent="0.35">
      <c r="A47" s="36">
        <f t="shared" si="0"/>
        <v>38</v>
      </c>
      <c r="B47" s="96" t="s">
        <v>182</v>
      </c>
      <c r="C47" s="288">
        <f t="shared" si="7"/>
        <v>2022</v>
      </c>
      <c r="D47" s="614"/>
      <c r="E47" s="615">
        <v>2.7000000000000001E-3</v>
      </c>
      <c r="F47" s="624">
        <f t="shared" si="5"/>
        <v>-1.6170665554971488</v>
      </c>
      <c r="G47" s="184">
        <f t="shared" si="3"/>
        <v>-4.3660796998423023E-3</v>
      </c>
      <c r="H47" s="184">
        <f t="shared" si="2"/>
        <v>-1.6214326351969912</v>
      </c>
      <c r="I47" s="36">
        <f t="shared" si="1"/>
        <v>38</v>
      </c>
      <c r="J47" s="621"/>
    </row>
    <row r="48" spans="1:10" x14ac:dyDescent="0.35">
      <c r="A48" s="36">
        <f t="shared" si="0"/>
        <v>39</v>
      </c>
      <c r="B48" s="96" t="s">
        <v>183</v>
      </c>
      <c r="C48" s="288">
        <f t="shared" si="7"/>
        <v>2022</v>
      </c>
      <c r="D48" s="614"/>
      <c r="E48" s="615">
        <v>3.0999999999999999E-3</v>
      </c>
      <c r="F48" s="624">
        <f t="shared" si="5"/>
        <v>-1.6214326351969912</v>
      </c>
      <c r="G48" s="184">
        <f t="shared" si="3"/>
        <v>-5.0264411691106729E-3</v>
      </c>
      <c r="H48" s="184">
        <f t="shared" si="2"/>
        <v>-1.626459076366102</v>
      </c>
      <c r="I48" s="36">
        <f t="shared" si="1"/>
        <v>39</v>
      </c>
      <c r="J48" s="621"/>
    </row>
    <row r="49" spans="1:10" x14ac:dyDescent="0.35">
      <c r="A49" s="36">
        <f t="shared" si="0"/>
        <v>40</v>
      </c>
      <c r="B49" s="96" t="s">
        <v>184</v>
      </c>
      <c r="C49" s="288">
        <f t="shared" si="7"/>
        <v>2022</v>
      </c>
      <c r="D49" s="614"/>
      <c r="E49" s="615">
        <v>3.0999999999999999E-3</v>
      </c>
      <c r="F49" s="624">
        <f t="shared" si="5"/>
        <v>-1.626459076366102</v>
      </c>
      <c r="G49" s="184">
        <f t="shared" si="3"/>
        <v>-5.0420231367349156E-3</v>
      </c>
      <c r="H49" s="184">
        <f t="shared" si="2"/>
        <v>-1.6315010995028369</v>
      </c>
      <c r="I49" s="36">
        <f t="shared" si="1"/>
        <v>40</v>
      </c>
      <c r="J49" s="621"/>
    </row>
    <row r="50" spans="1:10" x14ac:dyDescent="0.35">
      <c r="A50" s="36">
        <f t="shared" si="0"/>
        <v>41</v>
      </c>
      <c r="B50" s="96" t="s">
        <v>185</v>
      </c>
      <c r="C50" s="288">
        <f t="shared" si="7"/>
        <v>2022</v>
      </c>
      <c r="D50" s="614"/>
      <c r="E50" s="615">
        <v>3.0000000000000001E-3</v>
      </c>
      <c r="F50" s="624">
        <f t="shared" si="5"/>
        <v>-1.6315010995028369</v>
      </c>
      <c r="G50" s="184">
        <f t="shared" si="3"/>
        <v>-4.894503298508511E-3</v>
      </c>
      <c r="H50" s="184">
        <f t="shared" si="2"/>
        <v>-1.6363956028013456</v>
      </c>
      <c r="I50" s="36">
        <f t="shared" si="1"/>
        <v>41</v>
      </c>
      <c r="J50" s="621"/>
    </row>
    <row r="51" spans="1:10" x14ac:dyDescent="0.35">
      <c r="A51" s="36">
        <f t="shared" si="0"/>
        <v>42</v>
      </c>
      <c r="B51" s="96" t="s">
        <v>186</v>
      </c>
      <c r="C51" s="288">
        <f t="shared" si="7"/>
        <v>2022</v>
      </c>
      <c r="D51" s="614"/>
      <c r="E51" s="615">
        <v>4.1999999999999997E-3</v>
      </c>
      <c r="F51" s="624">
        <f t="shared" si="5"/>
        <v>-1.6363956028013456</v>
      </c>
      <c r="G51" s="184">
        <f t="shared" si="3"/>
        <v>-6.8728615317656507E-3</v>
      </c>
      <c r="H51" s="184">
        <f t="shared" si="2"/>
        <v>-1.6432684643331112</v>
      </c>
      <c r="I51" s="36">
        <f t="shared" si="1"/>
        <v>42</v>
      </c>
      <c r="J51" s="621"/>
    </row>
    <row r="52" spans="1:10" x14ac:dyDescent="0.35">
      <c r="A52" s="36">
        <f t="shared" si="0"/>
        <v>43</v>
      </c>
      <c r="B52" s="96" t="s">
        <v>187</v>
      </c>
      <c r="C52" s="288">
        <f t="shared" si="7"/>
        <v>2022</v>
      </c>
      <c r="D52" s="614"/>
      <c r="E52" s="615">
        <v>4.0000000000000001E-3</v>
      </c>
      <c r="F52" s="624">
        <f t="shared" si="5"/>
        <v>-1.6432684643331112</v>
      </c>
      <c r="G52" s="184">
        <f t="shared" si="3"/>
        <v>-6.5730738573324451E-3</v>
      </c>
      <c r="H52" s="184">
        <f t="shared" si="2"/>
        <v>-1.6498415381904437</v>
      </c>
      <c r="I52" s="36">
        <f t="shared" si="1"/>
        <v>43</v>
      </c>
      <c r="J52" s="621"/>
    </row>
    <row r="53" spans="1:10" x14ac:dyDescent="0.35">
      <c r="A53" s="36">
        <f t="shared" si="0"/>
        <v>44</v>
      </c>
      <c r="B53" s="295" t="s">
        <v>188</v>
      </c>
      <c r="C53" s="296">
        <f>C52</f>
        <v>2022</v>
      </c>
      <c r="D53" s="686"/>
      <c r="E53" s="687">
        <v>4.1999999999999997E-3</v>
      </c>
      <c r="F53" s="688">
        <f t="shared" si="5"/>
        <v>-1.6498415381904437</v>
      </c>
      <c r="G53" s="298">
        <f t="shared" si="3"/>
        <v>-6.9293344603998629E-3</v>
      </c>
      <c r="H53" s="298">
        <f t="shared" si="2"/>
        <v>-1.6567708726508434</v>
      </c>
      <c r="I53" s="36">
        <f t="shared" si="1"/>
        <v>44</v>
      </c>
      <c r="J53" s="621"/>
    </row>
    <row r="54" spans="1:10" ht="16" thickBot="1" x14ac:dyDescent="0.4">
      <c r="A54" s="36">
        <f t="shared" si="0"/>
        <v>45</v>
      </c>
      <c r="D54" s="849">
        <f>SUM(D18:D29)</f>
        <v>-1.5151947657041089</v>
      </c>
      <c r="E54" s="672"/>
      <c r="F54" s="625"/>
      <c r="G54" s="302">
        <f>SUM(G18:G53)</f>
        <v>-0.14157610694673384</v>
      </c>
      <c r="H54" s="626"/>
      <c r="I54" s="36">
        <f t="shared" si="1"/>
        <v>45</v>
      </c>
    </row>
    <row r="55" spans="1:10" ht="16" thickTop="1" x14ac:dyDescent="0.35">
      <c r="D55" s="627"/>
      <c r="E55" s="627"/>
      <c r="F55" s="627"/>
      <c r="G55" s="304"/>
      <c r="H55" s="304"/>
    </row>
    <row r="56" spans="1:10" x14ac:dyDescent="0.35">
      <c r="B56" s="628"/>
    </row>
    <row r="57" spans="1:10" ht="18" x14ac:dyDescent="0.35">
      <c r="A57" s="306">
        <v>1</v>
      </c>
      <c r="B57" s="610" t="s">
        <v>194</v>
      </c>
      <c r="C57" s="629"/>
    </row>
    <row r="58" spans="1:10" ht="18" x14ac:dyDescent="0.35">
      <c r="A58" s="306">
        <v>2</v>
      </c>
      <c r="B58" s="610" t="s">
        <v>588</v>
      </c>
    </row>
    <row r="59" spans="1:10" ht="18" x14ac:dyDescent="0.35">
      <c r="A59" s="306">
        <v>3</v>
      </c>
      <c r="B59" s="610" t="s">
        <v>589</v>
      </c>
    </row>
    <row r="60" spans="1:10" x14ac:dyDescent="0.35">
      <c r="B60" s="610" t="s">
        <v>590</v>
      </c>
    </row>
  </sheetData>
  <mergeCells count="5">
    <mergeCell ref="B2:H2"/>
    <mergeCell ref="B4:H4"/>
    <mergeCell ref="B5:H5"/>
    <mergeCell ref="B6:H6"/>
    <mergeCell ref="B3:H3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&amp;CPage 17&amp;R&amp;F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66F-B29C-4CA8-8780-A2635AF8E741}">
  <sheetPr>
    <pageSetUpPr fitToPage="1"/>
  </sheetPr>
  <dimension ref="A1:I54"/>
  <sheetViews>
    <sheetView zoomScale="80" zoomScaleNormal="80" workbookViewId="0"/>
  </sheetViews>
  <sheetFormatPr defaultColWidth="8.81640625" defaultRowHeight="15.5" x14ac:dyDescent="0.35"/>
  <cols>
    <col min="1" max="1" width="5.1796875" style="36" customWidth="1"/>
    <col min="2" max="2" width="73.1796875" style="18" bestFit="1" customWidth="1"/>
    <col min="3" max="3" width="14.81640625" style="18" customWidth="1"/>
    <col min="4" max="4" width="51.1796875" style="18" bestFit="1" customWidth="1"/>
    <col min="5" max="5" width="5.1796875" style="36" customWidth="1"/>
    <col min="6" max="16384" width="8.81640625" style="18"/>
  </cols>
  <sheetData>
    <row r="1" spans="1:7" x14ac:dyDescent="0.35">
      <c r="A1" s="720" t="s">
        <v>650</v>
      </c>
      <c r="B1" s="162"/>
      <c r="C1" s="162"/>
      <c r="D1" s="162"/>
      <c r="E1" s="161"/>
    </row>
    <row r="2" spans="1:7" x14ac:dyDescent="0.35">
      <c r="A2" s="720"/>
      <c r="B2" s="744"/>
      <c r="C2" s="744"/>
      <c r="D2" s="744"/>
      <c r="E2" s="161"/>
    </row>
    <row r="3" spans="1:7" x14ac:dyDescent="0.35">
      <c r="A3" s="161"/>
      <c r="B3" s="853" t="s">
        <v>20</v>
      </c>
      <c r="C3" s="853"/>
      <c r="D3" s="853"/>
      <c r="E3" s="162"/>
    </row>
    <row r="4" spans="1:7" x14ac:dyDescent="0.35">
      <c r="B4" s="853" t="s">
        <v>58</v>
      </c>
      <c r="C4" s="853"/>
      <c r="D4" s="853"/>
      <c r="E4" s="158"/>
    </row>
    <row r="5" spans="1:7" x14ac:dyDescent="0.35">
      <c r="B5" s="853" t="s">
        <v>59</v>
      </c>
      <c r="C5" s="853"/>
      <c r="D5" s="853"/>
      <c r="E5" s="158"/>
    </row>
    <row r="6" spans="1:7" x14ac:dyDescent="0.35">
      <c r="A6" s="161"/>
      <c r="B6" s="855" t="s">
        <v>60</v>
      </c>
      <c r="C6" s="855"/>
      <c r="D6" s="855"/>
      <c r="E6" s="161"/>
    </row>
    <row r="7" spans="1:7" x14ac:dyDescent="0.35">
      <c r="B7" s="854" t="s">
        <v>4</v>
      </c>
      <c r="C7" s="853"/>
      <c r="D7" s="853"/>
      <c r="E7" s="158"/>
    </row>
    <row r="8" spans="1:7" ht="16" thickBot="1" x14ac:dyDescent="0.4">
      <c r="A8" s="161"/>
      <c r="B8" s="162"/>
      <c r="C8" s="163"/>
      <c r="D8" s="163"/>
      <c r="E8" s="161"/>
    </row>
    <row r="9" spans="1:7" x14ac:dyDescent="0.35">
      <c r="A9" s="165" t="s">
        <v>5</v>
      </c>
      <c r="B9" s="166"/>
      <c r="C9" s="225"/>
      <c r="D9" s="226"/>
      <c r="E9" s="169" t="s">
        <v>5</v>
      </c>
    </row>
    <row r="10" spans="1:7" x14ac:dyDescent="0.35">
      <c r="A10" s="165" t="s">
        <v>6</v>
      </c>
      <c r="B10" s="366" t="s">
        <v>29</v>
      </c>
      <c r="C10" s="366" t="s">
        <v>8</v>
      </c>
      <c r="D10" s="522" t="s">
        <v>9</v>
      </c>
      <c r="E10" s="169" t="s">
        <v>6</v>
      </c>
    </row>
    <row r="11" spans="1:7" x14ac:dyDescent="0.35">
      <c r="A11" s="165"/>
      <c r="B11" s="170"/>
      <c r="C11" s="227"/>
      <c r="D11" s="228"/>
      <c r="E11" s="169"/>
    </row>
    <row r="12" spans="1:7" x14ac:dyDescent="0.35">
      <c r="A12" s="165">
        <v>1</v>
      </c>
      <c r="B12" s="174" t="s">
        <v>31</v>
      </c>
      <c r="C12" s="229">
        <v>63.510368096713613</v>
      </c>
      <c r="D12" s="230" t="s">
        <v>61</v>
      </c>
      <c r="E12" s="169">
        <f>A12</f>
        <v>1</v>
      </c>
      <c r="G12" s="21"/>
    </row>
    <row r="13" spans="1:7" x14ac:dyDescent="0.35">
      <c r="A13" s="165">
        <f>A12+1</f>
        <v>2</v>
      </c>
      <c r="B13" s="178"/>
      <c r="C13" s="231"/>
      <c r="D13" s="232"/>
      <c r="E13" s="169">
        <f>E12+1</f>
        <v>2</v>
      </c>
    </row>
    <row r="14" spans="1:7" x14ac:dyDescent="0.35">
      <c r="A14" s="165">
        <f t="shared" ref="A14:A29" si="0">A13+1</f>
        <v>3</v>
      </c>
      <c r="B14" s="174" t="s">
        <v>33</v>
      </c>
      <c r="C14" s="233">
        <v>2905.8703000085202</v>
      </c>
      <c r="D14" s="230" t="s">
        <v>62</v>
      </c>
      <c r="E14" s="169">
        <f t="shared" ref="E14:E29" si="1">E13+1</f>
        <v>3</v>
      </c>
      <c r="G14" s="27"/>
    </row>
    <row r="15" spans="1:7" x14ac:dyDescent="0.35">
      <c r="A15" s="165">
        <f t="shared" si="0"/>
        <v>4</v>
      </c>
      <c r="B15" s="178"/>
      <c r="C15" s="231"/>
      <c r="D15" s="234"/>
      <c r="E15" s="169">
        <f t="shared" si="1"/>
        <v>4</v>
      </c>
    </row>
    <row r="16" spans="1:7" x14ac:dyDescent="0.35">
      <c r="A16" s="165">
        <f t="shared" si="0"/>
        <v>5</v>
      </c>
      <c r="B16" s="183" t="s">
        <v>36</v>
      </c>
      <c r="C16" s="523">
        <v>874.62452639739217</v>
      </c>
      <c r="D16" s="177" t="s">
        <v>63</v>
      </c>
      <c r="E16" s="169">
        <f t="shared" si="1"/>
        <v>5</v>
      </c>
      <c r="G16" s="27"/>
    </row>
    <row r="17" spans="1:9" x14ac:dyDescent="0.35">
      <c r="A17" s="165">
        <f t="shared" si="0"/>
        <v>6</v>
      </c>
      <c r="B17" s="185"/>
      <c r="C17" s="84"/>
      <c r="D17" s="177"/>
      <c r="E17" s="169">
        <f t="shared" si="1"/>
        <v>6</v>
      </c>
      <c r="G17" s="27"/>
    </row>
    <row r="18" spans="1:9" x14ac:dyDescent="0.35">
      <c r="A18" s="165">
        <f t="shared" si="0"/>
        <v>7</v>
      </c>
      <c r="B18" s="186" t="s">
        <v>38</v>
      </c>
      <c r="C18" s="235">
        <f>C12+C14+C16+1</f>
        <v>3845.0051945026262</v>
      </c>
      <c r="D18" s="187" t="s">
        <v>65</v>
      </c>
      <c r="E18" s="169">
        <f t="shared" si="1"/>
        <v>7</v>
      </c>
      <c r="G18" s="27"/>
    </row>
    <row r="19" spans="1:9" x14ac:dyDescent="0.35">
      <c r="A19" s="165">
        <f t="shared" si="0"/>
        <v>8</v>
      </c>
      <c r="B19" s="188"/>
      <c r="C19" s="231"/>
      <c r="D19" s="236"/>
      <c r="E19" s="169">
        <f t="shared" si="1"/>
        <v>8</v>
      </c>
    </row>
    <row r="20" spans="1:9" x14ac:dyDescent="0.35">
      <c r="A20" s="165">
        <f t="shared" si="0"/>
        <v>9</v>
      </c>
      <c r="B20" s="174" t="s">
        <v>39</v>
      </c>
      <c r="C20" s="237">
        <v>1417.5536010541682</v>
      </c>
      <c r="D20" s="177" t="s">
        <v>66</v>
      </c>
      <c r="E20" s="169">
        <f t="shared" si="1"/>
        <v>9</v>
      </c>
    </row>
    <row r="21" spans="1:9" x14ac:dyDescent="0.35">
      <c r="A21" s="165">
        <f t="shared" si="0"/>
        <v>10</v>
      </c>
      <c r="B21" s="174"/>
      <c r="C21" s="231"/>
      <c r="D21" s="238"/>
      <c r="E21" s="169">
        <f t="shared" si="1"/>
        <v>10</v>
      </c>
    </row>
    <row r="22" spans="1:9" x14ac:dyDescent="0.35">
      <c r="A22" s="165">
        <f t="shared" si="0"/>
        <v>11</v>
      </c>
      <c r="B22" s="174" t="s">
        <v>41</v>
      </c>
      <c r="C22" s="523">
        <v>106.95449561636043</v>
      </c>
      <c r="D22" s="187" t="s">
        <v>67</v>
      </c>
      <c r="E22" s="169">
        <f t="shared" si="1"/>
        <v>11</v>
      </c>
    </row>
    <row r="23" spans="1:9" x14ac:dyDescent="0.35">
      <c r="A23" s="165">
        <f t="shared" si="0"/>
        <v>12</v>
      </c>
      <c r="B23" s="185"/>
      <c r="C23" s="191"/>
      <c r="D23" s="239"/>
      <c r="E23" s="169">
        <f t="shared" si="1"/>
        <v>12</v>
      </c>
    </row>
    <row r="24" spans="1:9" x14ac:dyDescent="0.35">
      <c r="A24" s="165">
        <f t="shared" si="0"/>
        <v>13</v>
      </c>
      <c r="B24" s="185" t="s">
        <v>43</v>
      </c>
      <c r="C24" s="74">
        <f>C18+C20+C22</f>
        <v>5369.5132911731553</v>
      </c>
      <c r="D24" s="187" t="s">
        <v>68</v>
      </c>
      <c r="E24" s="169">
        <f t="shared" si="1"/>
        <v>13</v>
      </c>
      <c r="G24" s="27"/>
    </row>
    <row r="25" spans="1:9" x14ac:dyDescent="0.35">
      <c r="A25" s="165">
        <f t="shared" si="0"/>
        <v>14</v>
      </c>
      <c r="B25" s="193"/>
      <c r="C25" s="75"/>
      <c r="D25" s="187"/>
      <c r="E25" s="169">
        <f t="shared" si="1"/>
        <v>14</v>
      </c>
      <c r="G25" s="27"/>
    </row>
    <row r="26" spans="1:9" x14ac:dyDescent="0.35">
      <c r="A26" s="165">
        <f t="shared" si="0"/>
        <v>15</v>
      </c>
      <c r="B26" s="183" t="s">
        <v>44</v>
      </c>
      <c r="C26" s="524">
        <v>-108.76044997079637</v>
      </c>
      <c r="D26" s="187" t="s">
        <v>69</v>
      </c>
      <c r="E26" s="169">
        <f t="shared" si="1"/>
        <v>15</v>
      </c>
      <c r="G26" s="27"/>
    </row>
    <row r="27" spans="1:9" x14ac:dyDescent="0.35">
      <c r="A27" s="165">
        <f t="shared" si="0"/>
        <v>16</v>
      </c>
      <c r="B27" s="163"/>
      <c r="C27" s="194"/>
      <c r="D27" s="239"/>
      <c r="E27" s="169">
        <f t="shared" si="1"/>
        <v>16</v>
      </c>
    </row>
    <row r="28" spans="1:9" ht="16" thickBot="1" x14ac:dyDescent="0.4">
      <c r="A28" s="165">
        <f t="shared" si="0"/>
        <v>17</v>
      </c>
      <c r="B28" s="186" t="s">
        <v>46</v>
      </c>
      <c r="C28" s="196">
        <f>C24+C26</f>
        <v>5260.7528412023585</v>
      </c>
      <c r="D28" s="239" t="s">
        <v>70</v>
      </c>
      <c r="E28" s="169">
        <f t="shared" si="1"/>
        <v>17</v>
      </c>
      <c r="H28" s="21"/>
      <c r="I28" s="197"/>
    </row>
    <row r="29" spans="1:9" ht="16.5" thickTop="1" thickBot="1" x14ac:dyDescent="0.4">
      <c r="A29" s="165">
        <f t="shared" si="0"/>
        <v>18</v>
      </c>
      <c r="B29" s="198"/>
      <c r="C29" s="198"/>
      <c r="D29" s="240"/>
      <c r="E29" s="169">
        <f t="shared" si="1"/>
        <v>18</v>
      </c>
    </row>
    <row r="31" spans="1:9" ht="16" thickBot="1" x14ac:dyDescent="0.4">
      <c r="A31" s="161"/>
      <c r="B31" s="200"/>
      <c r="C31" s="201"/>
      <c r="D31" s="201"/>
      <c r="E31" s="161"/>
    </row>
    <row r="32" spans="1:9" x14ac:dyDescent="0.35">
      <c r="A32" s="165" t="s">
        <v>5</v>
      </c>
      <c r="B32" s="202"/>
      <c r="C32" s="202"/>
      <c r="D32" s="232"/>
      <c r="E32" s="169" t="s">
        <v>5</v>
      </c>
    </row>
    <row r="33" spans="1:5" x14ac:dyDescent="0.35">
      <c r="A33" s="165" t="s">
        <v>6</v>
      </c>
      <c r="B33" s="366" t="s">
        <v>47</v>
      </c>
      <c r="C33" s="366" t="str">
        <f>C10</f>
        <v>Amounts</v>
      </c>
      <c r="D33" s="522" t="str">
        <f>D10</f>
        <v>Reference</v>
      </c>
      <c r="E33" s="169" t="s">
        <v>6</v>
      </c>
    </row>
    <row r="34" spans="1:5" x14ac:dyDescent="0.35">
      <c r="A34" s="165">
        <f>A29+1</f>
        <v>19</v>
      </c>
      <c r="B34" s="203"/>
      <c r="C34" s="227"/>
      <c r="D34" s="228"/>
      <c r="E34" s="169">
        <f>E29+1</f>
        <v>19</v>
      </c>
    </row>
    <row r="35" spans="1:5" x14ac:dyDescent="0.35">
      <c r="A35" s="165">
        <f>A34+1</f>
        <v>20</v>
      </c>
      <c r="B35" s="174" t="str">
        <f>B12</f>
        <v>Section 1 - Direct Maintenance Expense Cost Component</v>
      </c>
      <c r="C35" s="241">
        <f>C12/12</f>
        <v>5.2925306747261347</v>
      </c>
      <c r="D35" s="230" t="str">
        <f>"Line "&amp;A12&amp;" / "&amp;C51&amp;" Months"</f>
        <v>Line 1 / 12 Months</v>
      </c>
      <c r="E35" s="169">
        <f>E34+1</f>
        <v>20</v>
      </c>
    </row>
    <row r="36" spans="1:5" x14ac:dyDescent="0.35">
      <c r="A36" s="165">
        <f t="shared" ref="A36:A54" si="2">A35+1</f>
        <v>21</v>
      </c>
      <c r="B36" s="178"/>
      <c r="C36" s="242"/>
      <c r="D36" s="243"/>
      <c r="E36" s="169">
        <f t="shared" ref="E36:E54" si="3">E35+1</f>
        <v>21</v>
      </c>
    </row>
    <row r="37" spans="1:5" x14ac:dyDescent="0.35">
      <c r="A37" s="165">
        <f t="shared" si="2"/>
        <v>22</v>
      </c>
      <c r="B37" s="174" t="str">
        <f>B14</f>
        <v>Section 2 - Non-Direct Expense Cost Component</v>
      </c>
      <c r="C37" s="244">
        <f>C14/12</f>
        <v>242.15585833404336</v>
      </c>
      <c r="D37" s="230" t="str">
        <f>"Line "&amp;A14&amp;" / "&amp;C51&amp;" Months"</f>
        <v>Line 3 / 12 Months</v>
      </c>
      <c r="E37" s="169">
        <f t="shared" si="3"/>
        <v>22</v>
      </c>
    </row>
    <row r="38" spans="1:5" x14ac:dyDescent="0.35">
      <c r="A38" s="165">
        <f t="shared" si="2"/>
        <v>23</v>
      </c>
      <c r="B38" s="178"/>
      <c r="C38" s="245"/>
      <c r="D38" s="246"/>
      <c r="E38" s="169">
        <f t="shared" si="3"/>
        <v>23</v>
      </c>
    </row>
    <row r="39" spans="1:5" x14ac:dyDescent="0.35">
      <c r="A39" s="165">
        <f t="shared" si="2"/>
        <v>24</v>
      </c>
      <c r="B39" s="174" t="str">
        <f>B16</f>
        <v>Section 3 - Cost Component Containing Other Specific Expenses</v>
      </c>
      <c r="C39" s="525">
        <f>C16/12</f>
        <v>72.885377199782681</v>
      </c>
      <c r="D39" s="230" t="str">
        <f>"Line "&amp;A16&amp;" / "&amp;C51&amp;" Months"</f>
        <v>Line 5 / 12 Months</v>
      </c>
      <c r="E39" s="169">
        <f t="shared" si="3"/>
        <v>24</v>
      </c>
    </row>
    <row r="40" spans="1:5" x14ac:dyDescent="0.35">
      <c r="A40" s="165">
        <f t="shared" si="2"/>
        <v>25</v>
      </c>
      <c r="B40" s="188"/>
      <c r="C40" s="247"/>
      <c r="D40" s="230"/>
      <c r="E40" s="169">
        <f t="shared" si="3"/>
        <v>25</v>
      </c>
    </row>
    <row r="41" spans="1:5" x14ac:dyDescent="0.35">
      <c r="A41" s="165">
        <f t="shared" si="2"/>
        <v>26</v>
      </c>
      <c r="B41" s="186" t="s">
        <v>51</v>
      </c>
      <c r="C41" s="374">
        <f>C18/12</f>
        <v>320.41709954188553</v>
      </c>
      <c r="D41" s="187" t="str">
        <f>"Sum Lines "&amp;A35&amp;", "&amp;A37&amp;", "&amp;A39</f>
        <v>Sum Lines 20, 22, 24</v>
      </c>
      <c r="E41" s="169">
        <f t="shared" si="3"/>
        <v>26</v>
      </c>
    </row>
    <row r="42" spans="1:5" x14ac:dyDescent="0.35">
      <c r="A42" s="165">
        <f t="shared" si="2"/>
        <v>27</v>
      </c>
      <c r="B42" s="203"/>
      <c r="C42" s="245"/>
      <c r="D42" s="234"/>
      <c r="E42" s="169">
        <f t="shared" si="3"/>
        <v>27</v>
      </c>
    </row>
    <row r="43" spans="1:5" x14ac:dyDescent="0.35">
      <c r="A43" s="165">
        <f t="shared" si="2"/>
        <v>28</v>
      </c>
      <c r="B43" s="174" t="str">
        <f>LEFT(B20,45)</f>
        <v>Section 4 - True-Up Adjustment Cost Component</v>
      </c>
      <c r="C43" s="374">
        <f>C20/12</f>
        <v>118.12946675451401</v>
      </c>
      <c r="D43" s="230" t="str">
        <f>"Line "&amp;A20&amp;" / "&amp;C51&amp;" Months"</f>
        <v>Line 9 / 12 Months</v>
      </c>
      <c r="E43" s="169">
        <f t="shared" si="3"/>
        <v>28</v>
      </c>
    </row>
    <row r="44" spans="1:5" x14ac:dyDescent="0.35">
      <c r="A44" s="165">
        <f t="shared" si="2"/>
        <v>29</v>
      </c>
      <c r="B44" s="174"/>
      <c r="C44" s="245"/>
      <c r="D44" s="248"/>
      <c r="E44" s="169">
        <f t="shared" si="3"/>
        <v>29</v>
      </c>
    </row>
    <row r="45" spans="1:5" x14ac:dyDescent="0.35">
      <c r="A45" s="165">
        <f t="shared" si="2"/>
        <v>30</v>
      </c>
      <c r="B45" s="174" t="str">
        <f>B22</f>
        <v>Section 5 - Interest True-Up Adjustment Cost Component</v>
      </c>
      <c r="C45" s="375">
        <f>C22/12</f>
        <v>8.9128746346967027</v>
      </c>
      <c r="D45" s="239" t="str">
        <f>"Line "&amp;A22&amp;" / "&amp;C51&amp;" Months"</f>
        <v>Line 11 / 12 Months</v>
      </c>
      <c r="E45" s="169">
        <f t="shared" si="3"/>
        <v>30</v>
      </c>
    </row>
    <row r="46" spans="1:5" x14ac:dyDescent="0.35">
      <c r="A46" s="165">
        <f t="shared" si="2"/>
        <v>31</v>
      </c>
      <c r="B46" s="188"/>
      <c r="C46" s="215"/>
      <c r="D46" s="249"/>
      <c r="E46" s="169">
        <f t="shared" si="3"/>
        <v>31</v>
      </c>
    </row>
    <row r="47" spans="1:5" x14ac:dyDescent="0.35">
      <c r="A47" s="165">
        <f t="shared" si="2"/>
        <v>32</v>
      </c>
      <c r="B47" s="183" t="str">
        <f>B26</f>
        <v>Other Adjustments</v>
      </c>
      <c r="C47" s="525">
        <f>C26/12</f>
        <v>-9.0633708308996983</v>
      </c>
      <c r="D47" s="239" t="str">
        <f>"Line "&amp;A26&amp;" / "&amp;C51&amp;" Months"</f>
        <v>Line 15 / 12 Months</v>
      </c>
      <c r="E47" s="169">
        <f t="shared" si="3"/>
        <v>32</v>
      </c>
    </row>
    <row r="48" spans="1:5" x14ac:dyDescent="0.35">
      <c r="A48" s="165">
        <f t="shared" si="2"/>
        <v>33</v>
      </c>
      <c r="B48" s="185"/>
      <c r="C48" s="215"/>
      <c r="D48" s="216"/>
      <c r="E48" s="169">
        <f t="shared" si="3"/>
        <v>33</v>
      </c>
    </row>
    <row r="49" spans="1:5" ht="16" thickBot="1" x14ac:dyDescent="0.4">
      <c r="A49" s="165">
        <f t="shared" si="2"/>
        <v>34</v>
      </c>
      <c r="B49" s="185" t="s">
        <v>55</v>
      </c>
      <c r="C49" s="371">
        <f>C41+C43+C45+C47</f>
        <v>438.39607010019654</v>
      </c>
      <c r="D49" s="187" t="str">
        <f>"Sum Lines "&amp;A41&amp;", "&amp;A43&amp;", "&amp;A45&amp;", "&amp;A47</f>
        <v>Sum Lines 26, 28, 30, 32</v>
      </c>
      <c r="E49" s="169">
        <f t="shared" si="3"/>
        <v>34</v>
      </c>
    </row>
    <row r="50" spans="1:5" ht="16" thickTop="1" x14ac:dyDescent="0.35">
      <c r="A50" s="165">
        <f t="shared" si="2"/>
        <v>35</v>
      </c>
      <c r="B50" s="203"/>
      <c r="C50" s="217"/>
      <c r="D50" s="250"/>
      <c r="E50" s="169">
        <f t="shared" si="3"/>
        <v>35</v>
      </c>
    </row>
    <row r="51" spans="1:5" x14ac:dyDescent="0.35">
      <c r="A51" s="165">
        <f t="shared" si="2"/>
        <v>36</v>
      </c>
      <c r="B51" s="178" t="s">
        <v>16</v>
      </c>
      <c r="C51" s="526">
        <v>12</v>
      </c>
      <c r="D51" s="250"/>
      <c r="E51" s="169">
        <f t="shared" si="3"/>
        <v>36</v>
      </c>
    </row>
    <row r="52" spans="1:5" x14ac:dyDescent="0.35">
      <c r="A52" s="165">
        <f t="shared" si="2"/>
        <v>37</v>
      </c>
      <c r="B52" s="203"/>
      <c r="C52" s="217"/>
      <c r="D52" s="251"/>
      <c r="E52" s="169">
        <f t="shared" si="3"/>
        <v>37</v>
      </c>
    </row>
    <row r="53" spans="1:5" ht="16" thickBot="1" x14ac:dyDescent="0.4">
      <c r="A53" s="165">
        <f t="shared" si="2"/>
        <v>38</v>
      </c>
      <c r="B53" s="186" t="str">
        <f>B28</f>
        <v>Total Annual Costs</v>
      </c>
      <c r="C53" s="376">
        <f>C49*C51</f>
        <v>5260.7528412023585</v>
      </c>
      <c r="D53" s="239" t="str">
        <f>"Line "&amp;A49&amp;" x Line "&amp;A51</f>
        <v>Line 34 x Line 36</v>
      </c>
      <c r="E53" s="169">
        <f t="shared" si="3"/>
        <v>38</v>
      </c>
    </row>
    <row r="54" spans="1:5" ht="16.5" thickTop="1" thickBot="1" x14ac:dyDescent="0.4">
      <c r="A54" s="165">
        <f t="shared" si="2"/>
        <v>39</v>
      </c>
      <c r="B54" s="164"/>
      <c r="C54" s="222"/>
      <c r="D54" s="252"/>
      <c r="E54" s="169">
        <f t="shared" si="3"/>
        <v>39</v>
      </c>
    </row>
  </sheetData>
  <mergeCells count="5">
    <mergeCell ref="B3:D3"/>
    <mergeCell ref="B4:D4"/>
    <mergeCell ref="B5:D5"/>
    <mergeCell ref="B6:D6"/>
    <mergeCell ref="B7:D7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Roman,Bold"&amp;9AS FILED</oddHeader>
    <oddFooter>&amp;CPage 4&amp;R&amp;F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1"/>
  <sheetViews>
    <sheetView zoomScale="80" zoomScaleNormal="80" workbookViewId="0"/>
  </sheetViews>
  <sheetFormatPr defaultColWidth="8.81640625" defaultRowHeight="15.5" x14ac:dyDescent="0.35"/>
  <cols>
    <col min="1" max="1" width="5.1796875" style="37" customWidth="1"/>
    <col min="2" max="2" width="82.6328125" style="18" customWidth="1"/>
    <col min="3" max="3" width="10.453125" style="18" customWidth="1"/>
    <col min="4" max="4" width="1.54296875" style="18" customWidth="1"/>
    <col min="5" max="5" width="16.81640625" style="18" customWidth="1"/>
    <col min="6" max="6" width="1.54296875" style="18" customWidth="1"/>
    <col min="7" max="7" width="43.453125" style="18" customWidth="1"/>
    <col min="8" max="8" width="5.1796875" style="36" customWidth="1"/>
    <col min="9" max="9" width="8.81640625" style="18"/>
    <col min="10" max="10" width="9.81640625" style="18" customWidth="1"/>
    <col min="11" max="16384" width="8.81640625" style="18"/>
  </cols>
  <sheetData>
    <row r="1" spans="1:8" x14ac:dyDescent="0.35">
      <c r="A1" s="383"/>
      <c r="B1" s="384"/>
      <c r="C1" s="384"/>
      <c r="D1" s="384"/>
      <c r="E1" s="385"/>
      <c r="F1" s="385"/>
      <c r="G1" s="605"/>
      <c r="H1" s="161"/>
    </row>
    <row r="2" spans="1:8" x14ac:dyDescent="0.35">
      <c r="A2" s="383"/>
      <c r="B2" s="856" t="s">
        <v>20</v>
      </c>
      <c r="C2" s="856"/>
      <c r="D2" s="856"/>
      <c r="E2" s="856"/>
      <c r="F2" s="856"/>
      <c r="G2" s="856"/>
      <c r="H2" s="161"/>
    </row>
    <row r="3" spans="1:8" x14ac:dyDescent="0.35">
      <c r="B3" s="856" t="s">
        <v>58</v>
      </c>
      <c r="C3" s="856"/>
      <c r="D3" s="856"/>
      <c r="E3" s="856"/>
      <c r="F3" s="856"/>
      <c r="G3" s="856"/>
      <c r="H3" s="383"/>
    </row>
    <row r="4" spans="1:8" x14ac:dyDescent="0.35">
      <c r="B4" s="856" t="s">
        <v>72</v>
      </c>
      <c r="C4" s="856"/>
      <c r="D4" s="856"/>
      <c r="E4" s="856"/>
      <c r="F4" s="856"/>
      <c r="G4" s="856"/>
      <c r="H4" s="383"/>
    </row>
    <row r="5" spans="1:8" x14ac:dyDescent="0.35">
      <c r="B5" s="857" t="s">
        <v>73</v>
      </c>
      <c r="C5" s="857"/>
      <c r="D5" s="857"/>
      <c r="E5" s="857"/>
      <c r="F5" s="857"/>
      <c r="G5" s="857"/>
      <c r="H5" s="383"/>
    </row>
    <row r="6" spans="1:8" x14ac:dyDescent="0.35">
      <c r="B6" s="858" t="s">
        <v>4</v>
      </c>
      <c r="C6" s="858"/>
      <c r="D6" s="858"/>
      <c r="E6" s="858"/>
      <c r="F6" s="858"/>
      <c r="G6" s="858"/>
      <c r="H6" s="386"/>
    </row>
    <row r="7" spans="1:8" x14ac:dyDescent="0.35">
      <c r="A7" s="387"/>
      <c r="B7" s="600"/>
      <c r="C7" s="600"/>
      <c r="D7" s="600"/>
      <c r="E7" s="600"/>
      <c r="F7" s="600"/>
      <c r="G7" s="385"/>
      <c r="H7" s="161"/>
    </row>
    <row r="8" spans="1:8" x14ac:dyDescent="0.35">
      <c r="A8" s="388" t="s">
        <v>5</v>
      </c>
      <c r="B8" s="384"/>
      <c r="C8" s="384"/>
      <c r="D8" s="384"/>
      <c r="E8" s="600"/>
      <c r="F8" s="600"/>
      <c r="G8" s="384"/>
      <c r="H8" s="388" t="s">
        <v>5</v>
      </c>
    </row>
    <row r="9" spans="1:8" x14ac:dyDescent="0.35">
      <c r="A9" s="388" t="s">
        <v>6</v>
      </c>
      <c r="B9" s="384"/>
      <c r="C9" s="384"/>
      <c r="D9" s="384"/>
      <c r="E9" s="606" t="s">
        <v>8</v>
      </c>
      <c r="F9" s="389"/>
      <c r="G9" s="606" t="s">
        <v>9</v>
      </c>
      <c r="H9" s="388" t="s">
        <v>6</v>
      </c>
    </row>
    <row r="10" spans="1:8" x14ac:dyDescent="0.35">
      <c r="A10" s="388"/>
      <c r="B10" s="384"/>
      <c r="C10" s="384"/>
      <c r="D10" s="384"/>
      <c r="E10" s="600"/>
      <c r="F10" s="389"/>
      <c r="G10" s="600"/>
      <c r="H10" s="388"/>
    </row>
    <row r="11" spans="1:8" x14ac:dyDescent="0.35">
      <c r="A11" s="388">
        <v>1</v>
      </c>
      <c r="B11" s="390" t="s">
        <v>74</v>
      </c>
      <c r="C11" s="390"/>
      <c r="D11" s="390"/>
      <c r="E11" s="385"/>
      <c r="F11" s="385"/>
      <c r="G11" s="600"/>
      <c r="H11" s="388">
        <f>A11</f>
        <v>1</v>
      </c>
    </row>
    <row r="12" spans="1:8" x14ac:dyDescent="0.35">
      <c r="A12" s="388">
        <f>A11+1</f>
        <v>2</v>
      </c>
      <c r="B12" s="391" t="s">
        <v>75</v>
      </c>
      <c r="C12" s="392"/>
      <c r="D12" s="392"/>
      <c r="E12" s="396">
        <f>E54</f>
        <v>8.1106772546305286E-3</v>
      </c>
      <c r="F12" s="25"/>
      <c r="G12" s="393" t="str">
        <f>"Page 2; Line "&amp;A54</f>
        <v>Page 2; Line 6</v>
      </c>
      <c r="H12" s="388">
        <f>H11+1</f>
        <v>2</v>
      </c>
    </row>
    <row r="13" spans="1:8" x14ac:dyDescent="0.35">
      <c r="A13" s="388">
        <f t="shared" ref="A13:A35" si="0">A12+1</f>
        <v>3</v>
      </c>
      <c r="B13" s="384"/>
      <c r="C13" s="394"/>
      <c r="D13" s="394"/>
      <c r="E13" s="395"/>
      <c r="F13" s="389"/>
      <c r="G13" s="393"/>
      <c r="H13" s="388">
        <f t="shared" ref="H13:H35" si="1">H12+1</f>
        <v>3</v>
      </c>
    </row>
    <row r="14" spans="1:8" x14ac:dyDescent="0.35">
      <c r="A14" s="388">
        <f t="shared" si="0"/>
        <v>4</v>
      </c>
      <c r="B14" s="391" t="s">
        <v>76</v>
      </c>
      <c r="C14" s="392"/>
      <c r="D14" s="392"/>
      <c r="E14" s="396">
        <f>E59</f>
        <v>8.830077462377614E-3</v>
      </c>
      <c r="F14" s="25"/>
      <c r="G14" s="393" t="str">
        <f>"Page 2; Line "&amp;A59</f>
        <v>Page 2; Line 11</v>
      </c>
      <c r="H14" s="388">
        <f t="shared" si="1"/>
        <v>4</v>
      </c>
    </row>
    <row r="15" spans="1:8" x14ac:dyDescent="0.35">
      <c r="A15" s="388">
        <f t="shared" si="0"/>
        <v>5</v>
      </c>
      <c r="B15" s="385"/>
      <c r="C15" s="387"/>
      <c r="D15" s="387"/>
      <c r="E15" s="398"/>
      <c r="F15" s="399"/>
      <c r="G15" s="393"/>
      <c r="H15" s="388">
        <f t="shared" si="1"/>
        <v>5</v>
      </c>
    </row>
    <row r="16" spans="1:8" x14ac:dyDescent="0.35">
      <c r="A16" s="388">
        <f t="shared" si="0"/>
        <v>6</v>
      </c>
      <c r="B16" s="385" t="s">
        <v>77</v>
      </c>
      <c r="C16" s="387"/>
      <c r="D16" s="387"/>
      <c r="E16" s="396">
        <f>E64</f>
        <v>1.0623916722634533E-2</v>
      </c>
      <c r="F16" s="399"/>
      <c r="G16" s="393" t="str">
        <f>"Page 2; Line "&amp;A64</f>
        <v>Page 2; Line 16</v>
      </c>
      <c r="H16" s="388">
        <f t="shared" si="1"/>
        <v>6</v>
      </c>
    </row>
    <row r="17" spans="1:8" x14ac:dyDescent="0.35">
      <c r="A17" s="388">
        <f t="shared" si="0"/>
        <v>7</v>
      </c>
      <c r="B17" s="385"/>
      <c r="C17" s="387"/>
      <c r="D17" s="387"/>
      <c r="E17" s="398"/>
      <c r="F17" s="399"/>
      <c r="G17" s="393"/>
      <c r="H17" s="388">
        <f t="shared" si="1"/>
        <v>7</v>
      </c>
    </row>
    <row r="18" spans="1:8" x14ac:dyDescent="0.35">
      <c r="A18" s="388">
        <f t="shared" si="0"/>
        <v>8</v>
      </c>
      <c r="B18" s="391" t="s">
        <v>78</v>
      </c>
      <c r="C18" s="392"/>
      <c r="D18" s="392"/>
      <c r="E18" s="396">
        <f>E69</f>
        <v>3.269614673830928E-4</v>
      </c>
      <c r="F18" s="397"/>
      <c r="G18" s="393" t="str">
        <f>"Page 2; Line "&amp;A69</f>
        <v>Page 2; Line 21</v>
      </c>
      <c r="H18" s="388">
        <f t="shared" si="1"/>
        <v>8</v>
      </c>
    </row>
    <row r="19" spans="1:8" x14ac:dyDescent="0.35">
      <c r="A19" s="388">
        <f t="shared" si="0"/>
        <v>9</v>
      </c>
      <c r="B19" s="384"/>
      <c r="C19" s="394"/>
      <c r="D19" s="394"/>
      <c r="E19" s="395"/>
      <c r="F19" s="389"/>
      <c r="G19" s="393"/>
      <c r="H19" s="388">
        <f t="shared" si="1"/>
        <v>9</v>
      </c>
    </row>
    <row r="20" spans="1:8" x14ac:dyDescent="0.35">
      <c r="A20" s="388">
        <f t="shared" si="0"/>
        <v>10</v>
      </c>
      <c r="B20" s="391" t="s">
        <v>79</v>
      </c>
      <c r="C20" s="394"/>
      <c r="D20" s="394"/>
      <c r="E20" s="396">
        <f>E82</f>
        <v>1.8463492923166225E-3</v>
      </c>
      <c r="F20" s="389"/>
      <c r="G20" s="393" t="str">
        <f>"Page 2; Line "&amp;A82</f>
        <v>Page 2; Line 34</v>
      </c>
      <c r="H20" s="388">
        <f t="shared" si="1"/>
        <v>10</v>
      </c>
    </row>
    <row r="21" spans="1:8" x14ac:dyDescent="0.35">
      <c r="A21" s="388">
        <f t="shared" si="0"/>
        <v>11</v>
      </c>
      <c r="B21" s="384"/>
      <c r="C21" s="394"/>
      <c r="D21" s="394"/>
      <c r="E21" s="395"/>
      <c r="F21" s="389"/>
      <c r="G21" s="393"/>
      <c r="H21" s="388">
        <f t="shared" si="1"/>
        <v>11</v>
      </c>
    </row>
    <row r="22" spans="1:8" x14ac:dyDescent="0.35">
      <c r="A22" s="388">
        <f t="shared" si="0"/>
        <v>12</v>
      </c>
      <c r="B22" s="391" t="s">
        <v>80</v>
      </c>
      <c r="C22" s="392"/>
      <c r="D22" s="392"/>
      <c r="E22" s="396">
        <f>E99</f>
        <v>4.0153994024885471E-3</v>
      </c>
      <c r="F22" s="397"/>
      <c r="G22" s="393" t="str">
        <f>"Page 2; Line "&amp;A99</f>
        <v>Page 2; Line 51</v>
      </c>
      <c r="H22" s="388">
        <f t="shared" si="1"/>
        <v>12</v>
      </c>
    </row>
    <row r="23" spans="1:8" x14ac:dyDescent="0.35">
      <c r="A23" s="388">
        <f t="shared" si="0"/>
        <v>13</v>
      </c>
      <c r="B23" s="400"/>
      <c r="C23" s="401"/>
      <c r="D23" s="401"/>
      <c r="E23" s="402"/>
      <c r="F23" s="403"/>
      <c r="G23" s="393"/>
      <c r="H23" s="388">
        <f t="shared" si="1"/>
        <v>13</v>
      </c>
    </row>
    <row r="24" spans="1:8" x14ac:dyDescent="0.35">
      <c r="A24" s="388">
        <f t="shared" si="0"/>
        <v>14</v>
      </c>
      <c r="B24" s="391" t="s">
        <v>81</v>
      </c>
      <c r="C24" s="392"/>
      <c r="D24" s="392"/>
      <c r="E24" s="636">
        <f>SUM(E12:E22)</f>
        <v>3.3753381601830938E-2</v>
      </c>
      <c r="F24" s="25"/>
      <c r="G24" s="393" t="str">
        <f>"Sum Lines "&amp;A12&amp;" thru "&amp;A22&amp;""</f>
        <v>Sum Lines 2 thru 12</v>
      </c>
      <c r="H24" s="388">
        <f t="shared" si="1"/>
        <v>14</v>
      </c>
    </row>
    <row r="25" spans="1:8" x14ac:dyDescent="0.35">
      <c r="A25" s="388">
        <f t="shared" si="0"/>
        <v>15</v>
      </c>
      <c r="B25" s="384"/>
      <c r="C25" s="394"/>
      <c r="D25" s="394"/>
      <c r="E25" s="404"/>
      <c r="F25" s="405"/>
      <c r="G25" s="393"/>
      <c r="H25" s="388">
        <f t="shared" si="1"/>
        <v>15</v>
      </c>
    </row>
    <row r="26" spans="1:8" x14ac:dyDescent="0.35">
      <c r="A26" s="388">
        <f t="shared" si="0"/>
        <v>16</v>
      </c>
      <c r="B26" s="385" t="s">
        <v>82</v>
      </c>
      <c r="C26" s="406">
        <v>1.0274999999999999E-2</v>
      </c>
      <c r="D26" s="394"/>
      <c r="E26" s="407">
        <f>E24*C26</f>
        <v>3.4681599595881286E-4</v>
      </c>
      <c r="F26" s="408"/>
      <c r="G26" s="393" t="str">
        <f>"Line "&amp;A24&amp;" x Franchise Fee Rate"</f>
        <v>Line 14 x Franchise Fee Rate</v>
      </c>
      <c r="H26" s="388">
        <f t="shared" si="1"/>
        <v>16</v>
      </c>
    </row>
    <row r="27" spans="1:8" x14ac:dyDescent="0.35">
      <c r="A27" s="388">
        <f t="shared" si="0"/>
        <v>17</v>
      </c>
      <c r="B27" s="384"/>
      <c r="C27" s="394"/>
      <c r="D27" s="394"/>
      <c r="E27" s="409"/>
      <c r="F27" s="410"/>
      <c r="G27" s="393"/>
      <c r="H27" s="388">
        <f t="shared" si="1"/>
        <v>17</v>
      </c>
    </row>
    <row r="28" spans="1:8" ht="16" thickBot="1" x14ac:dyDescent="0.4">
      <c r="A28" s="388">
        <f t="shared" si="0"/>
        <v>18</v>
      </c>
      <c r="B28" s="384" t="s">
        <v>83</v>
      </c>
      <c r="C28" s="394"/>
      <c r="D28" s="394"/>
      <c r="E28" s="637">
        <f>E24+E26</f>
        <v>3.4100197597789754E-2</v>
      </c>
      <c r="F28" s="25"/>
      <c r="G28" s="393" t="str">
        <f>"Line "&amp;A24&amp;" + Line "&amp;A26</f>
        <v>Line 14 + Line 16</v>
      </c>
      <c r="H28" s="388">
        <f t="shared" si="1"/>
        <v>18</v>
      </c>
    </row>
    <row r="29" spans="1:8" ht="16" thickTop="1" x14ac:dyDescent="0.35">
      <c r="A29" s="388">
        <f t="shared" si="0"/>
        <v>19</v>
      </c>
      <c r="B29" s="385"/>
      <c r="C29" s="387"/>
      <c r="D29" s="387"/>
      <c r="E29" s="394"/>
      <c r="F29" s="384"/>
      <c r="G29" s="384"/>
      <c r="H29" s="388">
        <f t="shared" si="1"/>
        <v>19</v>
      </c>
    </row>
    <row r="30" spans="1:8" x14ac:dyDescent="0.35">
      <c r="A30" s="388">
        <f t="shared" si="0"/>
        <v>20</v>
      </c>
      <c r="B30" s="390" t="s">
        <v>84</v>
      </c>
      <c r="C30" s="411"/>
      <c r="D30" s="411"/>
      <c r="E30" s="387"/>
      <c r="F30" s="385"/>
      <c r="G30" s="384"/>
      <c r="H30" s="388">
        <f t="shared" si="1"/>
        <v>20</v>
      </c>
    </row>
    <row r="31" spans="1:8" x14ac:dyDescent="0.35">
      <c r="A31" s="388">
        <f t="shared" si="0"/>
        <v>21</v>
      </c>
      <c r="B31" s="391" t="s">
        <v>85</v>
      </c>
      <c r="C31" s="392"/>
      <c r="D31" s="392"/>
      <c r="E31" s="283">
        <v>85194</v>
      </c>
      <c r="F31" s="389"/>
      <c r="G31" s="393" t="s">
        <v>86</v>
      </c>
      <c r="H31" s="388">
        <f t="shared" si="1"/>
        <v>21</v>
      </c>
    </row>
    <row r="32" spans="1:8" x14ac:dyDescent="0.35">
      <c r="A32" s="388">
        <f t="shared" si="0"/>
        <v>22</v>
      </c>
      <c r="B32" s="391"/>
      <c r="C32" s="392"/>
      <c r="D32" s="392"/>
      <c r="E32" s="392"/>
      <c r="F32" s="391"/>
      <c r="G32" s="393"/>
      <c r="H32" s="388">
        <f t="shared" si="1"/>
        <v>22</v>
      </c>
    </row>
    <row r="33" spans="1:10" x14ac:dyDescent="0.35">
      <c r="A33" s="388">
        <f t="shared" si="0"/>
        <v>23</v>
      </c>
      <c r="B33" s="391" t="s">
        <v>87</v>
      </c>
      <c r="C33" s="392"/>
      <c r="D33" s="392"/>
      <c r="E33" s="636">
        <f>+E28</f>
        <v>3.4100197597789754E-2</v>
      </c>
      <c r="F33" s="25"/>
      <c r="G33" s="393" t="str">
        <f>"Line "&amp;A28&amp;" Above"</f>
        <v>Line 18 Above</v>
      </c>
      <c r="H33" s="388">
        <f t="shared" si="1"/>
        <v>23</v>
      </c>
    </row>
    <row r="34" spans="1:10" x14ac:dyDescent="0.35">
      <c r="A34" s="388">
        <f t="shared" si="0"/>
        <v>24</v>
      </c>
      <c r="B34" s="384"/>
      <c r="C34" s="394"/>
      <c r="D34" s="394"/>
      <c r="E34" s="412"/>
      <c r="F34" s="413"/>
      <c r="G34" s="393"/>
      <c r="H34" s="388">
        <f t="shared" si="1"/>
        <v>24</v>
      </c>
    </row>
    <row r="35" spans="1:10" ht="16" thickBot="1" x14ac:dyDescent="0.4">
      <c r="A35" s="388">
        <f t="shared" si="0"/>
        <v>25</v>
      </c>
      <c r="B35" s="384" t="s">
        <v>88</v>
      </c>
      <c r="C35" s="392"/>
      <c r="D35" s="392"/>
      <c r="E35" s="759">
        <f>E31*E33</f>
        <v>2905.1322341461005</v>
      </c>
      <c r="F35" s="25" t="s">
        <v>34</v>
      </c>
      <c r="G35" s="393" t="str">
        <f>"Line "&amp;A31&amp;" x Line "&amp;A33</f>
        <v>Line 21 x Line 23</v>
      </c>
      <c r="H35" s="388">
        <f t="shared" si="1"/>
        <v>25</v>
      </c>
      <c r="J35" s="604"/>
    </row>
    <row r="36" spans="1:10" ht="16" thickTop="1" x14ac:dyDescent="0.35">
      <c r="A36" s="388"/>
      <c r="B36" s="384"/>
      <c r="C36" s="391"/>
      <c r="D36" s="391"/>
      <c r="E36" s="414"/>
      <c r="F36" s="415"/>
      <c r="G36" s="393"/>
      <c r="H36" s="388"/>
    </row>
    <row r="37" spans="1:10" x14ac:dyDescent="0.35">
      <c r="A37" s="25" t="s">
        <v>34</v>
      </c>
      <c r="B37" s="23" t="str">
        <f>'Pg3 Rev Appendix X C10'!B55</f>
        <v xml:space="preserve">Items in BOLD have changed due to A&amp;G adjustments and removal of CIAC related ADIT per SDG&amp;E's TO5 Cycle 4 Letter Order determination in ER22-527 as compared </v>
      </c>
      <c r="C37" s="384"/>
      <c r="D37" s="384"/>
      <c r="E37" s="400"/>
      <c r="F37" s="400"/>
      <c r="G37" s="385"/>
      <c r="H37" s="161"/>
    </row>
    <row r="38" spans="1:10" x14ac:dyDescent="0.35">
      <c r="A38" s="25"/>
      <c r="B38" s="23" t="str">
        <f>'Pg3 Rev Appendix X C10'!B56</f>
        <v>to the original Sunrise Appendix X Cycle 10 filing per ER22-139.</v>
      </c>
      <c r="C38" s="384"/>
      <c r="D38" s="384"/>
      <c r="E38" s="400"/>
      <c r="F38" s="400"/>
      <c r="G38" s="385"/>
      <c r="H38" s="161"/>
    </row>
    <row r="39" spans="1:10" x14ac:dyDescent="0.35">
      <c r="A39" s="25"/>
      <c r="B39" s="23"/>
      <c r="C39" s="384"/>
      <c r="D39" s="384"/>
      <c r="E39" s="400"/>
      <c r="F39" s="400"/>
      <c r="G39" s="385"/>
      <c r="H39" s="161"/>
    </row>
    <row r="40" spans="1:10" x14ac:dyDescent="0.35">
      <c r="A40" s="387"/>
      <c r="B40" s="859" t="str">
        <f>B2</f>
        <v>SAN DIEGO GAS &amp; ELECTRIC COMPANY</v>
      </c>
      <c r="C40" s="859"/>
      <c r="D40" s="859"/>
      <c r="E40" s="859"/>
      <c r="F40" s="859"/>
      <c r="G40" s="859"/>
      <c r="H40" s="161"/>
    </row>
    <row r="41" spans="1:10" x14ac:dyDescent="0.35">
      <c r="B41" s="859" t="str">
        <f>B3</f>
        <v>CITIZENS' SHARE OF THE BORDER EAST LINE</v>
      </c>
      <c r="C41" s="859"/>
      <c r="D41" s="859"/>
      <c r="E41" s="859"/>
      <c r="F41" s="859"/>
      <c r="G41" s="859"/>
      <c r="H41" s="401"/>
    </row>
    <row r="42" spans="1:10" x14ac:dyDescent="0.35">
      <c r="B42" s="856" t="str">
        <f>B4</f>
        <v xml:space="preserve">Section 2 - Non-Direct Expense Cost Component </v>
      </c>
      <c r="C42" s="856"/>
      <c r="D42" s="856"/>
      <c r="E42" s="856"/>
      <c r="F42" s="856"/>
      <c r="G42" s="856"/>
      <c r="H42" s="394"/>
    </row>
    <row r="43" spans="1:10" x14ac:dyDescent="0.35">
      <c r="B43" s="857" t="str">
        <f>B5</f>
        <v>Base Period &amp; True-Up Period 12 - Months Ending December 31, 2020</v>
      </c>
      <c r="C43" s="857"/>
      <c r="D43" s="857"/>
      <c r="E43" s="857"/>
      <c r="F43" s="857"/>
      <c r="G43" s="857"/>
      <c r="H43" s="394"/>
    </row>
    <row r="44" spans="1:10" x14ac:dyDescent="0.35">
      <c r="B44" s="858" t="str">
        <f>B6</f>
        <v>($1,000)</v>
      </c>
      <c r="C44" s="853"/>
      <c r="D44" s="853"/>
      <c r="E44" s="853"/>
      <c r="F44" s="853"/>
      <c r="G44" s="853"/>
      <c r="H44" s="88"/>
    </row>
    <row r="45" spans="1:10" x14ac:dyDescent="0.35">
      <c r="A45" s="416"/>
      <c r="B45" s="384"/>
      <c r="C45" s="384"/>
      <c r="D45" s="384"/>
      <c r="E45" s="384"/>
      <c r="F45" s="384"/>
      <c r="G45" s="384"/>
      <c r="H45" s="161"/>
    </row>
    <row r="46" spans="1:10" x14ac:dyDescent="0.35">
      <c r="A46" s="388" t="s">
        <v>5</v>
      </c>
      <c r="B46" s="384"/>
      <c r="C46" s="384"/>
      <c r="D46" s="384"/>
      <c r="E46" s="600"/>
      <c r="F46" s="600"/>
      <c r="G46" s="384"/>
      <c r="H46" s="388" t="s">
        <v>5</v>
      </c>
    </row>
    <row r="47" spans="1:10" x14ac:dyDescent="0.35">
      <c r="A47" s="388" t="s">
        <v>6</v>
      </c>
      <c r="B47" s="384"/>
      <c r="C47" s="384"/>
      <c r="D47" s="384"/>
      <c r="E47" s="606" t="s">
        <v>8</v>
      </c>
      <c r="F47" s="393"/>
      <c r="G47" s="606" t="s">
        <v>9</v>
      </c>
      <c r="H47" s="388" t="s">
        <v>6</v>
      </c>
    </row>
    <row r="48" spans="1:10" x14ac:dyDescent="0.35">
      <c r="A48" s="388"/>
      <c r="B48" s="384"/>
      <c r="C48" s="384"/>
      <c r="D48" s="384"/>
      <c r="E48" s="600"/>
      <c r="F48" s="600"/>
      <c r="G48" s="384"/>
      <c r="H48" s="388"/>
    </row>
    <row r="49" spans="1:10" x14ac:dyDescent="0.35">
      <c r="A49" s="388">
        <v>1</v>
      </c>
      <c r="B49" s="417" t="s">
        <v>89</v>
      </c>
      <c r="C49" s="417"/>
      <c r="D49" s="417"/>
      <c r="E49" s="640">
        <f>'Pg15 Rev AV-4'!C16</f>
        <v>5400948.2173625827</v>
      </c>
      <c r="F49" s="25"/>
      <c r="G49" s="393" t="s">
        <v>90</v>
      </c>
      <c r="H49" s="388">
        <f>A49</f>
        <v>1</v>
      </c>
    </row>
    <row r="50" spans="1:10" x14ac:dyDescent="0.35">
      <c r="A50" s="388">
        <f>A49+1</f>
        <v>2</v>
      </c>
      <c r="B50" s="384"/>
      <c r="C50" s="384"/>
      <c r="D50" s="384"/>
      <c r="E50" s="383"/>
      <c r="F50" s="600"/>
      <c r="G50" s="384"/>
      <c r="H50" s="388">
        <f>H49+1</f>
        <v>2</v>
      </c>
    </row>
    <row r="51" spans="1:10" x14ac:dyDescent="0.35">
      <c r="A51" s="388">
        <f t="shared" ref="A51:A99" si="2">A50+1</f>
        <v>3</v>
      </c>
      <c r="B51" s="390" t="s">
        <v>91</v>
      </c>
      <c r="C51" s="390"/>
      <c r="D51" s="390"/>
      <c r="E51" s="418"/>
      <c r="F51" s="419"/>
      <c r="G51" s="384"/>
      <c r="H51" s="388">
        <f t="shared" ref="H51:H99" si="3">H50+1</f>
        <v>3</v>
      </c>
    </row>
    <row r="52" spans="1:10" x14ac:dyDescent="0.35">
      <c r="A52" s="388">
        <f t="shared" si="2"/>
        <v>4</v>
      </c>
      <c r="B52" s="391" t="s">
        <v>92</v>
      </c>
      <c r="C52" s="391"/>
      <c r="D52" s="391"/>
      <c r="E52" s="641">
        <f>'Pg10 Rev Stmt AH'!E27</f>
        <v>43805.347860000002</v>
      </c>
      <c r="F52" s="25"/>
      <c r="G52" s="393" t="s">
        <v>93</v>
      </c>
      <c r="H52" s="388">
        <f t="shared" si="3"/>
        <v>4</v>
      </c>
      <c r="J52" s="420"/>
    </row>
    <row r="53" spans="1:10" x14ac:dyDescent="0.35">
      <c r="A53" s="388">
        <f t="shared" si="2"/>
        <v>5</v>
      </c>
      <c r="B53" s="391"/>
      <c r="C53" s="391"/>
      <c r="D53" s="391"/>
      <c r="E53" s="284"/>
      <c r="F53" s="421"/>
      <c r="G53" s="393"/>
      <c r="H53" s="388">
        <f t="shared" si="3"/>
        <v>5</v>
      </c>
      <c r="J53" s="420"/>
    </row>
    <row r="54" spans="1:10" x14ac:dyDescent="0.35">
      <c r="A54" s="388">
        <f t="shared" si="2"/>
        <v>6</v>
      </c>
      <c r="B54" s="391" t="s">
        <v>94</v>
      </c>
      <c r="C54" s="384"/>
      <c r="D54" s="384"/>
      <c r="E54" s="665">
        <f>E52/E49</f>
        <v>8.1106772546305286E-3</v>
      </c>
      <c r="F54" s="25"/>
      <c r="G54" s="393" t="s">
        <v>95</v>
      </c>
      <c r="H54" s="388">
        <f t="shared" si="3"/>
        <v>6</v>
      </c>
      <c r="J54" s="420"/>
    </row>
    <row r="55" spans="1:10" x14ac:dyDescent="0.35">
      <c r="A55" s="388">
        <f t="shared" si="2"/>
        <v>7</v>
      </c>
      <c r="B55" s="391"/>
      <c r="C55" s="391"/>
      <c r="D55" s="391"/>
      <c r="E55" s="424"/>
      <c r="F55" s="425"/>
      <c r="G55" s="393"/>
      <c r="H55" s="388">
        <f t="shared" si="3"/>
        <v>7</v>
      </c>
    </row>
    <row r="56" spans="1:10" x14ac:dyDescent="0.35">
      <c r="A56" s="388">
        <f t="shared" si="2"/>
        <v>8</v>
      </c>
      <c r="B56" s="390" t="s">
        <v>96</v>
      </c>
      <c r="C56" s="390"/>
      <c r="D56" s="390"/>
      <c r="E56" s="426"/>
      <c r="F56" s="427"/>
      <c r="G56" s="428"/>
      <c r="H56" s="388">
        <f t="shared" si="3"/>
        <v>8</v>
      </c>
    </row>
    <row r="57" spans="1:10" x14ac:dyDescent="0.35">
      <c r="A57" s="388">
        <f t="shared" si="2"/>
        <v>9</v>
      </c>
      <c r="B57" s="391" t="s">
        <v>97</v>
      </c>
      <c r="C57" s="391"/>
      <c r="D57" s="391"/>
      <c r="E57" s="429">
        <f>'Pg10 Rev Stmt AH'!E50</f>
        <v>47690.791129601894</v>
      </c>
      <c r="F57" s="25" t="s">
        <v>34</v>
      </c>
      <c r="G57" s="393" t="s">
        <v>98</v>
      </c>
      <c r="H57" s="388">
        <f t="shared" si="3"/>
        <v>9</v>
      </c>
    </row>
    <row r="58" spans="1:10" x14ac:dyDescent="0.35">
      <c r="A58" s="388">
        <f t="shared" si="2"/>
        <v>10</v>
      </c>
      <c r="B58" s="384"/>
      <c r="C58" s="384"/>
      <c r="D58" s="384"/>
      <c r="E58" s="426"/>
      <c r="F58" s="427"/>
      <c r="G58" s="393"/>
      <c r="H58" s="388">
        <f t="shared" si="3"/>
        <v>10</v>
      </c>
    </row>
    <row r="59" spans="1:10" x14ac:dyDescent="0.35">
      <c r="A59" s="388">
        <f t="shared" si="2"/>
        <v>11</v>
      </c>
      <c r="B59" s="430" t="s">
        <v>99</v>
      </c>
      <c r="C59" s="428"/>
      <c r="D59" s="428"/>
      <c r="E59" s="665">
        <f>E57/E49</f>
        <v>8.830077462377614E-3</v>
      </c>
      <c r="F59" s="25"/>
      <c r="G59" s="393" t="s">
        <v>100</v>
      </c>
      <c r="H59" s="388">
        <f t="shared" si="3"/>
        <v>11</v>
      </c>
    </row>
    <row r="60" spans="1:10" x14ac:dyDescent="0.35">
      <c r="A60" s="388">
        <f t="shared" si="2"/>
        <v>12</v>
      </c>
      <c r="B60" s="428"/>
      <c r="C60" s="428"/>
      <c r="D60" s="428"/>
      <c r="E60" s="431"/>
      <c r="F60" s="432"/>
      <c r="G60" s="393"/>
      <c r="H60" s="388">
        <f t="shared" si="3"/>
        <v>12</v>
      </c>
    </row>
    <row r="61" spans="1:10" x14ac:dyDescent="0.35">
      <c r="A61" s="388">
        <f t="shared" si="2"/>
        <v>13</v>
      </c>
      <c r="B61" s="390" t="s">
        <v>101</v>
      </c>
      <c r="C61" s="428"/>
      <c r="D61" s="428"/>
      <c r="E61" s="431"/>
      <c r="F61" s="432"/>
      <c r="G61" s="393"/>
      <c r="H61" s="388">
        <f t="shared" si="3"/>
        <v>13</v>
      </c>
    </row>
    <row r="62" spans="1:10" x14ac:dyDescent="0.35">
      <c r="A62" s="388">
        <f t="shared" si="2"/>
        <v>14</v>
      </c>
      <c r="B62" s="430" t="s">
        <v>77</v>
      </c>
      <c r="C62" s="428"/>
      <c r="D62" s="428"/>
      <c r="E62" s="433">
        <v>57379.224084521513</v>
      </c>
      <c r="F62" s="432"/>
      <c r="G62" s="393" t="s">
        <v>102</v>
      </c>
      <c r="H62" s="388">
        <f t="shared" si="3"/>
        <v>14</v>
      </c>
    </row>
    <row r="63" spans="1:10" x14ac:dyDescent="0.35">
      <c r="A63" s="388">
        <f t="shared" si="2"/>
        <v>15</v>
      </c>
      <c r="B63" s="428"/>
      <c r="C63" s="428"/>
      <c r="D63" s="428"/>
      <c r="E63" s="426"/>
      <c r="F63" s="432"/>
      <c r="G63" s="393"/>
      <c r="H63" s="388">
        <f t="shared" si="3"/>
        <v>15</v>
      </c>
    </row>
    <row r="64" spans="1:10" x14ac:dyDescent="0.35">
      <c r="A64" s="388">
        <f t="shared" si="2"/>
        <v>16</v>
      </c>
      <c r="B64" s="430" t="s">
        <v>103</v>
      </c>
      <c r="C64" s="428"/>
      <c r="D64" s="428"/>
      <c r="E64" s="422">
        <f>E62/E49</f>
        <v>1.0623916722634533E-2</v>
      </c>
      <c r="F64" s="432"/>
      <c r="G64" s="393" t="s">
        <v>104</v>
      </c>
      <c r="H64" s="388">
        <f t="shared" si="3"/>
        <v>16</v>
      </c>
    </row>
    <row r="65" spans="1:8" x14ac:dyDescent="0.35">
      <c r="A65" s="388">
        <f t="shared" si="2"/>
        <v>17</v>
      </c>
      <c r="B65" s="428"/>
      <c r="C65" s="428"/>
      <c r="D65" s="428"/>
      <c r="E65" s="431"/>
      <c r="F65" s="432"/>
      <c r="G65" s="393"/>
      <c r="H65" s="388">
        <f t="shared" si="3"/>
        <v>17</v>
      </c>
    </row>
    <row r="66" spans="1:8" x14ac:dyDescent="0.35">
      <c r="A66" s="388">
        <f t="shared" si="2"/>
        <v>18</v>
      </c>
      <c r="B66" s="390" t="s">
        <v>105</v>
      </c>
      <c r="C66" s="390"/>
      <c r="D66" s="390"/>
      <c r="E66" s="431"/>
      <c r="F66" s="432"/>
      <c r="G66" s="393"/>
      <c r="H66" s="388">
        <f t="shared" si="3"/>
        <v>18</v>
      </c>
    </row>
    <row r="67" spans="1:8" x14ac:dyDescent="0.35">
      <c r="A67" s="388">
        <f t="shared" si="2"/>
        <v>19</v>
      </c>
      <c r="B67" s="391" t="s">
        <v>78</v>
      </c>
      <c r="C67" s="391"/>
      <c r="D67" s="391"/>
      <c r="E67" s="433">
        <v>1765.9019544089692</v>
      </c>
      <c r="F67" s="600"/>
      <c r="G67" s="393" t="s">
        <v>106</v>
      </c>
      <c r="H67" s="388">
        <f t="shared" si="3"/>
        <v>19</v>
      </c>
    </row>
    <row r="68" spans="1:8" x14ac:dyDescent="0.35">
      <c r="A68" s="388">
        <f t="shared" si="2"/>
        <v>20</v>
      </c>
      <c r="B68" s="428"/>
      <c r="C68" s="428"/>
      <c r="D68" s="428"/>
      <c r="E68" s="431"/>
      <c r="F68" s="432"/>
      <c r="G68" s="393"/>
      <c r="H68" s="388">
        <f t="shared" si="3"/>
        <v>20</v>
      </c>
    </row>
    <row r="69" spans="1:8" x14ac:dyDescent="0.35">
      <c r="A69" s="388">
        <f t="shared" si="2"/>
        <v>21</v>
      </c>
      <c r="B69" s="430" t="s">
        <v>107</v>
      </c>
      <c r="C69" s="428"/>
      <c r="D69" s="428"/>
      <c r="E69" s="422">
        <f>E67/E49</f>
        <v>3.269614673830928E-4</v>
      </c>
      <c r="F69" s="423"/>
      <c r="G69" s="393" t="s">
        <v>108</v>
      </c>
      <c r="H69" s="388">
        <f t="shared" si="3"/>
        <v>21</v>
      </c>
    </row>
    <row r="70" spans="1:8" x14ac:dyDescent="0.35">
      <c r="A70" s="388">
        <f t="shared" si="2"/>
        <v>22</v>
      </c>
      <c r="B70" s="428"/>
      <c r="C70" s="428"/>
      <c r="D70" s="428"/>
      <c r="E70" s="431"/>
      <c r="F70" s="432"/>
      <c r="G70" s="393"/>
      <c r="H70" s="388">
        <f t="shared" si="3"/>
        <v>22</v>
      </c>
    </row>
    <row r="71" spans="1:8" x14ac:dyDescent="0.35">
      <c r="A71" s="388">
        <f t="shared" si="2"/>
        <v>23</v>
      </c>
      <c r="B71" s="390" t="s">
        <v>109</v>
      </c>
      <c r="C71" s="390"/>
      <c r="D71" s="390"/>
      <c r="E71" s="434"/>
      <c r="F71" s="435"/>
      <c r="G71" s="393"/>
      <c r="H71" s="388">
        <f t="shared" si="3"/>
        <v>23</v>
      </c>
    </row>
    <row r="72" spans="1:8" x14ac:dyDescent="0.35">
      <c r="A72" s="388">
        <f t="shared" si="2"/>
        <v>24</v>
      </c>
      <c r="B72" s="436" t="s">
        <v>110</v>
      </c>
      <c r="C72" s="384"/>
      <c r="D72" s="384"/>
      <c r="E72" s="434"/>
      <c r="F72" s="435"/>
      <c r="G72" s="393"/>
      <c r="H72" s="388">
        <f t="shared" si="3"/>
        <v>24</v>
      </c>
    </row>
    <row r="73" spans="1:8" x14ac:dyDescent="0.35">
      <c r="A73" s="388">
        <f t="shared" si="2"/>
        <v>25</v>
      </c>
      <c r="B73" s="391" t="s">
        <v>111</v>
      </c>
      <c r="C73" s="391"/>
      <c r="D73" s="391"/>
      <c r="E73" s="437">
        <f>'Pg11 Rev Stmt AL'!G15</f>
        <v>51269.428222656083</v>
      </c>
      <c r="F73" s="600"/>
      <c r="G73" s="393" t="s">
        <v>112</v>
      </c>
      <c r="H73" s="388">
        <f t="shared" si="3"/>
        <v>25</v>
      </c>
    </row>
    <row r="74" spans="1:8" x14ac:dyDescent="0.35">
      <c r="A74" s="388">
        <f t="shared" si="2"/>
        <v>26</v>
      </c>
      <c r="B74" s="391" t="s">
        <v>113</v>
      </c>
      <c r="C74" s="391"/>
      <c r="D74" s="391"/>
      <c r="E74" s="438">
        <f>'Pg11 Rev Stmt AL'!G19</f>
        <v>37308.787275766081</v>
      </c>
      <c r="F74" s="600"/>
      <c r="G74" s="393" t="s">
        <v>114</v>
      </c>
      <c r="H74" s="388">
        <f t="shared" si="3"/>
        <v>26</v>
      </c>
    </row>
    <row r="75" spans="1:8" x14ac:dyDescent="0.35">
      <c r="A75" s="388">
        <f t="shared" si="2"/>
        <v>27</v>
      </c>
      <c r="B75" s="391" t="s">
        <v>115</v>
      </c>
      <c r="C75" s="391"/>
      <c r="D75" s="391"/>
      <c r="E75" s="439">
        <f>'Pg11 Rev Stmt AL'!E29</f>
        <v>11437.017373700237</v>
      </c>
      <c r="F75" s="25" t="s">
        <v>34</v>
      </c>
      <c r="G75" s="393" t="s">
        <v>116</v>
      </c>
      <c r="H75" s="388">
        <f t="shared" si="3"/>
        <v>27</v>
      </c>
    </row>
    <row r="76" spans="1:8" x14ac:dyDescent="0.35">
      <c r="A76" s="388">
        <f t="shared" si="2"/>
        <v>28</v>
      </c>
      <c r="B76" s="391" t="s">
        <v>117</v>
      </c>
      <c r="C76" s="384"/>
      <c r="D76" s="384"/>
      <c r="E76" s="440">
        <f>SUM(E73:E75)</f>
        <v>100015.23287212239</v>
      </c>
      <c r="F76" s="25" t="s">
        <v>34</v>
      </c>
      <c r="G76" s="393" t="s">
        <v>118</v>
      </c>
      <c r="H76" s="388">
        <f t="shared" si="3"/>
        <v>28</v>
      </c>
    </row>
    <row r="77" spans="1:8" x14ac:dyDescent="0.35">
      <c r="A77" s="388">
        <f t="shared" si="2"/>
        <v>29</v>
      </c>
      <c r="B77" s="384"/>
      <c r="C77" s="384"/>
      <c r="D77" s="384"/>
      <c r="E77" s="441"/>
      <c r="F77" s="442"/>
      <c r="G77" s="393"/>
      <c r="H77" s="388">
        <f t="shared" si="3"/>
        <v>29</v>
      </c>
    </row>
    <row r="78" spans="1:8" x14ac:dyDescent="0.35">
      <c r="A78" s="388">
        <f t="shared" si="2"/>
        <v>30</v>
      </c>
      <c r="B78" s="391" t="s">
        <v>119</v>
      </c>
      <c r="C78" s="391"/>
      <c r="D78" s="391"/>
      <c r="E78" s="766">
        <f>'Pg13 Rev Stmt AV'!G110</f>
        <v>9.9705181226905595E-2</v>
      </c>
      <c r="F78" s="25" t="s">
        <v>34</v>
      </c>
      <c r="G78" s="393" t="s">
        <v>120</v>
      </c>
      <c r="H78" s="388">
        <f t="shared" si="3"/>
        <v>30</v>
      </c>
    </row>
    <row r="79" spans="1:8" x14ac:dyDescent="0.35">
      <c r="A79" s="388">
        <f t="shared" si="2"/>
        <v>31</v>
      </c>
      <c r="B79" s="384"/>
      <c r="C79" s="384"/>
      <c r="D79" s="384"/>
      <c r="E79" s="441"/>
      <c r="F79" s="442"/>
      <c r="G79" s="393"/>
      <c r="H79" s="388">
        <f t="shared" si="3"/>
        <v>31</v>
      </c>
    </row>
    <row r="80" spans="1:8" x14ac:dyDescent="0.35">
      <c r="A80" s="388">
        <f t="shared" si="2"/>
        <v>32</v>
      </c>
      <c r="B80" s="391" t="s">
        <v>121</v>
      </c>
      <c r="C80" s="384"/>
      <c r="D80" s="384"/>
      <c r="E80" s="644">
        <f>E76*E78</f>
        <v>9972.0369189661287</v>
      </c>
      <c r="F80" s="25"/>
      <c r="G80" s="393" t="s">
        <v>122</v>
      </c>
      <c r="H80" s="388">
        <f t="shared" si="3"/>
        <v>32</v>
      </c>
    </row>
    <row r="81" spans="1:9" x14ac:dyDescent="0.35">
      <c r="A81" s="388">
        <f t="shared" si="2"/>
        <v>33</v>
      </c>
      <c r="B81" s="384"/>
      <c r="C81" s="384"/>
      <c r="D81" s="384"/>
      <c r="E81" s="441"/>
      <c r="F81" s="442"/>
      <c r="G81" s="393"/>
      <c r="H81" s="388">
        <f t="shared" si="3"/>
        <v>33</v>
      </c>
    </row>
    <row r="82" spans="1:9" x14ac:dyDescent="0.35">
      <c r="A82" s="388">
        <f t="shared" si="2"/>
        <v>34</v>
      </c>
      <c r="B82" s="391" t="s">
        <v>123</v>
      </c>
      <c r="C82" s="384"/>
      <c r="D82" s="384"/>
      <c r="E82" s="422">
        <f>E80/E49</f>
        <v>1.8463492923166225E-3</v>
      </c>
      <c r="F82" s="423"/>
      <c r="G82" s="393" t="s">
        <v>124</v>
      </c>
      <c r="H82" s="388">
        <f t="shared" si="3"/>
        <v>34</v>
      </c>
    </row>
    <row r="83" spans="1:9" x14ac:dyDescent="0.35">
      <c r="A83" s="388">
        <f t="shared" si="2"/>
        <v>35</v>
      </c>
      <c r="B83" s="391"/>
      <c r="C83" s="384"/>
      <c r="D83" s="384"/>
      <c r="E83" s="444"/>
      <c r="F83" s="423"/>
      <c r="G83" s="393"/>
      <c r="H83" s="388">
        <f t="shared" si="3"/>
        <v>35</v>
      </c>
    </row>
    <row r="84" spans="1:9" x14ac:dyDescent="0.35">
      <c r="A84" s="388">
        <f t="shared" si="2"/>
        <v>36</v>
      </c>
      <c r="B84" s="390" t="s">
        <v>125</v>
      </c>
      <c r="C84" s="445"/>
      <c r="D84" s="445"/>
      <c r="E84" s="446"/>
      <c r="F84" s="446"/>
      <c r="G84" s="446"/>
      <c r="H84" s="388">
        <f t="shared" si="3"/>
        <v>36</v>
      </c>
    </row>
    <row r="85" spans="1:9" x14ac:dyDescent="0.35">
      <c r="A85" s="388">
        <f t="shared" si="2"/>
        <v>37</v>
      </c>
      <c r="B85" s="391" t="s">
        <v>126</v>
      </c>
      <c r="C85" s="445"/>
      <c r="D85" s="445"/>
      <c r="E85" s="32">
        <f>'Pg15 Rev AV-4'!C14</f>
        <v>29097.73014030722</v>
      </c>
      <c r="F85" s="446"/>
      <c r="G85" s="393" t="s">
        <v>127</v>
      </c>
      <c r="H85" s="388">
        <f t="shared" si="3"/>
        <v>37</v>
      </c>
    </row>
    <row r="86" spans="1:9" x14ac:dyDescent="0.35">
      <c r="A86" s="388">
        <f t="shared" si="2"/>
        <v>38</v>
      </c>
      <c r="B86" s="390"/>
      <c r="C86" s="445"/>
      <c r="D86" s="445"/>
      <c r="E86" s="447"/>
      <c r="F86" s="446"/>
      <c r="G86" s="446"/>
      <c r="H86" s="388">
        <f t="shared" si="3"/>
        <v>38</v>
      </c>
    </row>
    <row r="87" spans="1:9" x14ac:dyDescent="0.35">
      <c r="A87" s="388">
        <f t="shared" si="2"/>
        <v>39</v>
      </c>
      <c r="B87" s="391" t="s">
        <v>128</v>
      </c>
      <c r="C87" s="445"/>
      <c r="D87" s="445"/>
      <c r="E87" s="448">
        <f>'Pg15 Rev AV-4'!C15</f>
        <v>61211.878237450255</v>
      </c>
      <c r="F87" s="446"/>
      <c r="G87" s="393" t="s">
        <v>129</v>
      </c>
      <c r="H87" s="388">
        <f t="shared" si="3"/>
        <v>39</v>
      </c>
    </row>
    <row r="88" spans="1:9" ht="18" x14ac:dyDescent="0.6">
      <c r="A88" s="388">
        <f t="shared" si="2"/>
        <v>40</v>
      </c>
      <c r="B88" s="445"/>
      <c r="C88" s="449"/>
      <c r="D88" s="449"/>
      <c r="E88" s="450"/>
      <c r="F88" s="451"/>
      <c r="G88" s="445"/>
      <c r="H88" s="388">
        <f t="shared" si="3"/>
        <v>40</v>
      </c>
    </row>
    <row r="89" spans="1:9" x14ac:dyDescent="0.35">
      <c r="A89" s="388">
        <f t="shared" si="2"/>
        <v>41</v>
      </c>
      <c r="B89" s="391" t="s">
        <v>130</v>
      </c>
      <c r="C89" s="449"/>
      <c r="D89" s="449"/>
      <c r="E89" s="452">
        <f>E85+E87</f>
        <v>90309.608377757482</v>
      </c>
      <c r="F89" s="453"/>
      <c r="G89" s="393" t="s">
        <v>131</v>
      </c>
      <c r="H89" s="388">
        <f t="shared" si="3"/>
        <v>41</v>
      </c>
    </row>
    <row r="90" spans="1:9" x14ac:dyDescent="0.35">
      <c r="A90" s="388">
        <f t="shared" si="2"/>
        <v>42</v>
      </c>
      <c r="B90" s="454"/>
      <c r="C90" s="449"/>
      <c r="D90" s="449"/>
      <c r="E90" s="455"/>
      <c r="F90" s="453"/>
      <c r="G90" s="456"/>
      <c r="H90" s="388">
        <f t="shared" si="3"/>
        <v>42</v>
      </c>
    </row>
    <row r="91" spans="1:9" x14ac:dyDescent="0.35">
      <c r="A91" s="388">
        <f t="shared" si="2"/>
        <v>43</v>
      </c>
      <c r="B91" s="391" t="s">
        <v>119</v>
      </c>
      <c r="C91" s="449"/>
      <c r="D91" s="449"/>
      <c r="E91" s="767">
        <f>E78</f>
        <v>9.9705181226905595E-2</v>
      </c>
      <c r="F91" s="25" t="s">
        <v>34</v>
      </c>
      <c r="G91" s="393" t="s">
        <v>132</v>
      </c>
      <c r="H91" s="388">
        <f t="shared" si="3"/>
        <v>43</v>
      </c>
    </row>
    <row r="92" spans="1:9" x14ac:dyDescent="0.35">
      <c r="A92" s="388">
        <f t="shared" si="2"/>
        <v>44</v>
      </c>
      <c r="B92" s="445"/>
      <c r="C92" s="449"/>
      <c r="D92" s="449"/>
      <c r="E92" s="458"/>
      <c r="F92" s="459"/>
      <c r="G92" s="445"/>
      <c r="H92" s="388">
        <f t="shared" si="3"/>
        <v>44</v>
      </c>
    </row>
    <row r="93" spans="1:9" x14ac:dyDescent="0.35">
      <c r="A93" s="388">
        <f t="shared" si="2"/>
        <v>45</v>
      </c>
      <c r="B93" s="391" t="s">
        <v>133</v>
      </c>
      <c r="C93" s="449"/>
      <c r="D93" s="449"/>
      <c r="E93" s="460">
        <f>E89*E91</f>
        <v>9004.3358698351822</v>
      </c>
      <c r="F93" s="461"/>
      <c r="G93" s="393" t="s">
        <v>134</v>
      </c>
      <c r="H93" s="388">
        <f t="shared" si="3"/>
        <v>45</v>
      </c>
    </row>
    <row r="94" spans="1:9" x14ac:dyDescent="0.35">
      <c r="A94" s="388">
        <f t="shared" si="2"/>
        <v>46</v>
      </c>
      <c r="B94" s="454"/>
      <c r="C94" s="449"/>
      <c r="D94" s="449"/>
      <c r="E94" s="462"/>
      <c r="F94" s="461"/>
      <c r="G94" s="456"/>
      <c r="H94" s="388">
        <f t="shared" si="3"/>
        <v>46</v>
      </c>
    </row>
    <row r="95" spans="1:9" x14ac:dyDescent="0.35">
      <c r="A95" s="388">
        <f t="shared" si="2"/>
        <v>47</v>
      </c>
      <c r="B95" s="391" t="s">
        <v>135</v>
      </c>
      <c r="C95" s="449"/>
      <c r="D95" s="449"/>
      <c r="E95" s="463">
        <v>12682.628375034114</v>
      </c>
      <c r="F95" s="461"/>
      <c r="G95" s="393" t="s">
        <v>136</v>
      </c>
      <c r="H95" s="388">
        <f t="shared" si="3"/>
        <v>47</v>
      </c>
      <c r="I95" s="449"/>
    </row>
    <row r="96" spans="1:9" x14ac:dyDescent="0.35">
      <c r="A96" s="388">
        <f t="shared" si="2"/>
        <v>48</v>
      </c>
      <c r="B96" s="391"/>
      <c r="C96" s="449"/>
      <c r="D96" s="449"/>
      <c r="E96" s="254"/>
      <c r="F96" s="461"/>
      <c r="G96" s="393"/>
      <c r="H96" s="388">
        <f t="shared" si="3"/>
        <v>48</v>
      </c>
    </row>
    <row r="97" spans="1:8" x14ac:dyDescent="0.35">
      <c r="A97" s="388">
        <f t="shared" si="2"/>
        <v>49</v>
      </c>
      <c r="B97" s="391" t="s">
        <v>137</v>
      </c>
      <c r="C97" s="449"/>
      <c r="D97" s="449"/>
      <c r="E97" s="254">
        <f>E93+E95</f>
        <v>21686.964244869298</v>
      </c>
      <c r="F97" s="461"/>
      <c r="G97" s="393" t="s">
        <v>138</v>
      </c>
      <c r="H97" s="388">
        <f t="shared" si="3"/>
        <v>49</v>
      </c>
    </row>
    <row r="98" spans="1:8" x14ac:dyDescent="0.35">
      <c r="A98" s="388">
        <f t="shared" si="2"/>
        <v>50</v>
      </c>
      <c r="B98" s="445"/>
      <c r="C98" s="449"/>
      <c r="D98" s="449"/>
      <c r="E98" s="464"/>
      <c r="F98" s="445"/>
      <c r="G98" s="445"/>
      <c r="H98" s="388">
        <f t="shared" si="3"/>
        <v>50</v>
      </c>
    </row>
    <row r="99" spans="1:8" ht="16" thickBot="1" x14ac:dyDescent="0.4">
      <c r="A99" s="388">
        <f t="shared" si="2"/>
        <v>51</v>
      </c>
      <c r="B99" s="391" t="s">
        <v>139</v>
      </c>
      <c r="C99" s="449"/>
      <c r="D99" s="449"/>
      <c r="E99" s="465">
        <f>E97/E49</f>
        <v>4.0153994024885471E-3</v>
      </c>
      <c r="F99" s="466"/>
      <c r="G99" s="393" t="s">
        <v>140</v>
      </c>
      <c r="H99" s="388">
        <f t="shared" si="3"/>
        <v>51</v>
      </c>
    </row>
    <row r="100" spans="1:8" ht="16" thickTop="1" x14ac:dyDescent="0.35">
      <c r="A100" s="394"/>
    </row>
    <row r="101" spans="1:8" x14ac:dyDescent="0.35">
      <c r="A101" s="394"/>
    </row>
    <row r="102" spans="1:8" x14ac:dyDescent="0.35">
      <c r="A102" s="25" t="s">
        <v>34</v>
      </c>
      <c r="B102" s="23" t="str">
        <f>B37</f>
        <v xml:space="preserve">Items in BOLD have changed due to A&amp;G adjustments and removal of CIAC related ADIT per SDG&amp;E's TO5 Cycle 4 Letter Order determination in ER22-527 as compared </v>
      </c>
    </row>
    <row r="103" spans="1:8" x14ac:dyDescent="0.35">
      <c r="A103" s="394"/>
      <c r="B103" s="23" t="str">
        <f>B38</f>
        <v>to the original Sunrise Appendix X Cycle 10 filing per ER22-139.</v>
      </c>
    </row>
    <row r="104" spans="1:8" x14ac:dyDescent="0.35">
      <c r="A104" s="394"/>
    </row>
    <row r="105" spans="1:8" x14ac:dyDescent="0.35">
      <c r="A105" s="394"/>
    </row>
    <row r="106" spans="1:8" x14ac:dyDescent="0.35">
      <c r="A106" s="394"/>
    </row>
    <row r="107" spans="1:8" x14ac:dyDescent="0.35">
      <c r="A107" s="394"/>
    </row>
    <row r="108" spans="1:8" x14ac:dyDescent="0.35">
      <c r="A108" s="394"/>
    </row>
    <row r="109" spans="1:8" x14ac:dyDescent="0.35">
      <c r="A109" s="394"/>
    </row>
    <row r="110" spans="1:8" x14ac:dyDescent="0.35">
      <c r="A110" s="394"/>
    </row>
    <row r="111" spans="1:8" x14ac:dyDescent="0.35">
      <c r="A111" s="394"/>
    </row>
    <row r="112" spans="1:8" x14ac:dyDescent="0.35">
      <c r="A112" s="394"/>
    </row>
    <row r="113" spans="1:1" x14ac:dyDescent="0.35">
      <c r="A113" s="394"/>
    </row>
    <row r="114" spans="1:1" x14ac:dyDescent="0.35">
      <c r="A114" s="394"/>
    </row>
    <row r="115" spans="1:1" x14ac:dyDescent="0.35">
      <c r="A115" s="394"/>
    </row>
    <row r="116" spans="1:1" x14ac:dyDescent="0.35">
      <c r="A116" s="394"/>
    </row>
    <row r="117" spans="1:1" x14ac:dyDescent="0.35">
      <c r="A117" s="394"/>
    </row>
    <row r="118" spans="1:1" x14ac:dyDescent="0.35">
      <c r="A118" s="394"/>
    </row>
    <row r="119" spans="1:1" x14ac:dyDescent="0.35">
      <c r="A119" s="394"/>
    </row>
    <row r="120" spans="1:1" x14ac:dyDescent="0.35">
      <c r="A120" s="394"/>
    </row>
    <row r="121" spans="1:1" x14ac:dyDescent="0.35">
      <c r="A121" s="394"/>
    </row>
    <row r="122" spans="1:1" x14ac:dyDescent="0.35">
      <c r="A122" s="394"/>
    </row>
    <row r="123" spans="1:1" x14ac:dyDescent="0.35">
      <c r="A123" s="394"/>
    </row>
    <row r="124" spans="1:1" x14ac:dyDescent="0.35">
      <c r="A124" s="394"/>
    </row>
    <row r="125" spans="1:1" x14ac:dyDescent="0.35">
      <c r="A125" s="394"/>
    </row>
    <row r="126" spans="1:1" x14ac:dyDescent="0.35">
      <c r="A126" s="394"/>
    </row>
    <row r="127" spans="1:1" x14ac:dyDescent="0.35">
      <c r="A127" s="394"/>
    </row>
    <row r="128" spans="1:1" x14ac:dyDescent="0.35">
      <c r="A128" s="394"/>
    </row>
    <row r="129" spans="1:1" x14ac:dyDescent="0.35">
      <c r="A129" s="394"/>
    </row>
    <row r="130" spans="1:1" x14ac:dyDescent="0.35">
      <c r="A130" s="394"/>
    </row>
    <row r="131" spans="1:1" x14ac:dyDescent="0.35">
      <c r="A131" s="394"/>
    </row>
    <row r="132" spans="1:1" x14ac:dyDescent="0.35">
      <c r="A132" s="394"/>
    </row>
    <row r="133" spans="1:1" x14ac:dyDescent="0.35">
      <c r="A133" s="394"/>
    </row>
    <row r="134" spans="1:1" x14ac:dyDescent="0.35">
      <c r="A134" s="394"/>
    </row>
    <row r="135" spans="1:1" x14ac:dyDescent="0.35">
      <c r="A135" s="394"/>
    </row>
    <row r="136" spans="1:1" x14ac:dyDescent="0.35">
      <c r="A136" s="394"/>
    </row>
    <row r="137" spans="1:1" x14ac:dyDescent="0.35">
      <c r="A137" s="394"/>
    </row>
    <row r="138" spans="1:1" x14ac:dyDescent="0.35">
      <c r="A138" s="394"/>
    </row>
    <row r="139" spans="1:1" x14ac:dyDescent="0.35">
      <c r="A139" s="394"/>
    </row>
    <row r="140" spans="1:1" x14ac:dyDescent="0.35">
      <c r="A140" s="394"/>
    </row>
    <row r="141" spans="1:1" x14ac:dyDescent="0.35">
      <c r="A141" s="394"/>
    </row>
    <row r="142" spans="1:1" x14ac:dyDescent="0.35">
      <c r="A142" s="394"/>
    </row>
    <row r="143" spans="1:1" x14ac:dyDescent="0.35">
      <c r="A143" s="394"/>
    </row>
    <row r="144" spans="1:1" x14ac:dyDescent="0.35">
      <c r="A144" s="394"/>
    </row>
    <row r="145" spans="1:6" x14ac:dyDescent="0.35">
      <c r="A145" s="394"/>
    </row>
    <row r="146" spans="1:6" x14ac:dyDescent="0.35">
      <c r="A146" s="394"/>
    </row>
    <row r="147" spans="1:6" x14ac:dyDescent="0.35">
      <c r="A147" s="394"/>
    </row>
    <row r="148" spans="1:6" x14ac:dyDescent="0.35">
      <c r="A148" s="394"/>
    </row>
    <row r="149" spans="1:6" x14ac:dyDescent="0.35">
      <c r="A149" s="394"/>
    </row>
    <row r="150" spans="1:6" x14ac:dyDescent="0.35">
      <c r="A150" s="394"/>
    </row>
    <row r="151" spans="1:6" x14ac:dyDescent="0.35">
      <c r="A151" s="394"/>
    </row>
    <row r="152" spans="1:6" x14ac:dyDescent="0.35">
      <c r="A152" s="394"/>
    </row>
    <row r="153" spans="1:6" x14ac:dyDescent="0.35">
      <c r="A153" s="394"/>
    </row>
    <row r="154" spans="1:6" x14ac:dyDescent="0.35">
      <c r="A154" s="394"/>
    </row>
    <row r="155" spans="1:6" x14ac:dyDescent="0.35">
      <c r="A155" s="394"/>
      <c r="B155" s="385"/>
      <c r="C155" s="385"/>
      <c r="D155" s="385"/>
      <c r="E155" s="385"/>
      <c r="F155" s="385"/>
    </row>
    <row r="156" spans="1:6" x14ac:dyDescent="0.35">
      <c r="A156" s="394"/>
      <c r="B156" s="385"/>
      <c r="C156" s="385"/>
      <c r="D156" s="385"/>
      <c r="E156" s="385"/>
      <c r="F156" s="385"/>
    </row>
    <row r="161" spans="1:6" x14ac:dyDescent="0.35">
      <c r="A161" s="387"/>
      <c r="B161" s="385"/>
      <c r="C161" s="385"/>
      <c r="D161" s="385"/>
      <c r="E161" s="467"/>
      <c r="F161" s="467"/>
    </row>
  </sheetData>
  <mergeCells count="10">
    <mergeCell ref="B44:G44"/>
    <mergeCell ref="B40:G40"/>
    <mergeCell ref="B41:G41"/>
    <mergeCell ref="B42:G42"/>
    <mergeCell ref="B43:G43"/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Roman,Bold"&amp;9REVISED</oddHeader>
    <oddFooter>&amp;CPage 5.&amp;P&amp;R&amp;F</oddFooter>
  </headerFooter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59"/>
  <sheetViews>
    <sheetView zoomScale="80" zoomScaleNormal="80" workbookViewId="0"/>
  </sheetViews>
  <sheetFormatPr defaultColWidth="8.81640625" defaultRowHeight="15.5" x14ac:dyDescent="0.35"/>
  <cols>
    <col min="1" max="1" width="5.1796875" style="37" customWidth="1"/>
    <col min="2" max="2" width="93.1796875" style="18" bestFit="1" customWidth="1"/>
    <col min="3" max="3" width="10.453125" style="18" customWidth="1"/>
    <col min="4" max="4" width="1.54296875" style="18" customWidth="1"/>
    <col min="5" max="5" width="16.81640625" style="18" customWidth="1"/>
    <col min="6" max="6" width="1.54296875" style="18" customWidth="1"/>
    <col min="7" max="7" width="43.453125" style="18" customWidth="1"/>
    <col min="8" max="8" width="5.1796875" style="36" customWidth="1"/>
    <col min="9" max="9" width="8.81640625" style="18"/>
    <col min="10" max="10" width="9.81640625" style="18" bestFit="1" customWidth="1"/>
    <col min="11" max="16384" width="8.81640625" style="18"/>
  </cols>
  <sheetData>
    <row r="1" spans="1:8" x14ac:dyDescent="0.35">
      <c r="A1" s="720" t="s">
        <v>650</v>
      </c>
      <c r="B1" s="384"/>
      <c r="C1" s="384"/>
      <c r="D1" s="384"/>
      <c r="E1" s="385"/>
      <c r="F1" s="385"/>
      <c r="G1" s="385"/>
      <c r="H1" s="161"/>
    </row>
    <row r="2" spans="1:8" x14ac:dyDescent="0.35">
      <c r="A2" s="720"/>
      <c r="B2" s="384"/>
      <c r="C2" s="384"/>
      <c r="D2" s="384"/>
      <c r="E2" s="385"/>
      <c r="F2" s="385"/>
      <c r="G2" s="385"/>
      <c r="H2" s="161"/>
    </row>
    <row r="3" spans="1:8" x14ac:dyDescent="0.35">
      <c r="A3" s="383"/>
      <c r="B3" s="856" t="s">
        <v>20</v>
      </c>
      <c r="C3" s="856"/>
      <c r="D3" s="856"/>
      <c r="E3" s="856"/>
      <c r="F3" s="856"/>
      <c r="G3" s="856"/>
      <c r="H3" s="161"/>
    </row>
    <row r="4" spans="1:8" x14ac:dyDescent="0.35">
      <c r="B4" s="856" t="s">
        <v>58</v>
      </c>
      <c r="C4" s="856"/>
      <c r="D4" s="856"/>
      <c r="E4" s="856"/>
      <c r="F4" s="856"/>
      <c r="G4" s="856"/>
      <c r="H4" s="383"/>
    </row>
    <row r="5" spans="1:8" x14ac:dyDescent="0.35">
      <c r="B5" s="856" t="s">
        <v>72</v>
      </c>
      <c r="C5" s="856"/>
      <c r="D5" s="856"/>
      <c r="E5" s="856"/>
      <c r="F5" s="856"/>
      <c r="G5" s="856"/>
      <c r="H5" s="383"/>
    </row>
    <row r="6" spans="1:8" x14ac:dyDescent="0.35">
      <c r="B6" s="857" t="s">
        <v>73</v>
      </c>
      <c r="C6" s="857"/>
      <c r="D6" s="857"/>
      <c r="E6" s="857"/>
      <c r="F6" s="857"/>
      <c r="G6" s="857"/>
      <c r="H6" s="383"/>
    </row>
    <row r="7" spans="1:8" x14ac:dyDescent="0.35">
      <c r="B7" s="858" t="s">
        <v>4</v>
      </c>
      <c r="C7" s="858"/>
      <c r="D7" s="858"/>
      <c r="E7" s="858"/>
      <c r="F7" s="858"/>
      <c r="G7" s="858"/>
      <c r="H7" s="386"/>
    </row>
    <row r="8" spans="1:8" x14ac:dyDescent="0.35">
      <c r="A8" s="387"/>
      <c r="B8" s="600"/>
      <c r="C8" s="600"/>
      <c r="D8" s="600"/>
      <c r="E8" s="600"/>
      <c r="F8" s="600"/>
      <c r="G8" s="385"/>
      <c r="H8" s="161"/>
    </row>
    <row r="9" spans="1:8" x14ac:dyDescent="0.35">
      <c r="A9" s="388" t="s">
        <v>5</v>
      </c>
      <c r="B9" s="384"/>
      <c r="C9" s="384"/>
      <c r="D9" s="384"/>
      <c r="E9" s="600"/>
      <c r="F9" s="600"/>
      <c r="G9" s="384"/>
      <c r="H9" s="388" t="s">
        <v>5</v>
      </c>
    </row>
    <row r="10" spans="1:8" x14ac:dyDescent="0.35">
      <c r="A10" s="388" t="s">
        <v>6</v>
      </c>
      <c r="B10" s="384"/>
      <c r="C10" s="384"/>
      <c r="D10" s="384"/>
      <c r="E10" s="606" t="s">
        <v>8</v>
      </c>
      <c r="F10" s="389"/>
      <c r="G10" s="606" t="s">
        <v>9</v>
      </c>
      <c r="H10" s="388" t="s">
        <v>6</v>
      </c>
    </row>
    <row r="11" spans="1:8" x14ac:dyDescent="0.35">
      <c r="A11" s="388"/>
      <c r="B11" s="384"/>
      <c r="C11" s="384"/>
      <c r="D11" s="384"/>
      <c r="E11" s="600"/>
      <c r="F11" s="389"/>
      <c r="G11" s="600"/>
      <c r="H11" s="388"/>
    </row>
    <row r="12" spans="1:8" x14ac:dyDescent="0.35">
      <c r="A12" s="388">
        <v>1</v>
      </c>
      <c r="B12" s="390" t="s">
        <v>74</v>
      </c>
      <c r="C12" s="390"/>
      <c r="D12" s="390"/>
      <c r="E12" s="385"/>
      <c r="F12" s="385"/>
      <c r="G12" s="600"/>
      <c r="H12" s="388">
        <f>A12</f>
        <v>1</v>
      </c>
    </row>
    <row r="13" spans="1:8" x14ac:dyDescent="0.35">
      <c r="A13" s="388">
        <f>A12+1</f>
        <v>2</v>
      </c>
      <c r="B13" s="391" t="s">
        <v>75</v>
      </c>
      <c r="C13" s="392"/>
      <c r="D13" s="392"/>
      <c r="E13" s="396">
        <f>E53</f>
        <v>8.1106772546305286E-3</v>
      </c>
      <c r="F13" s="397"/>
      <c r="G13" s="393" t="str">
        <f>"Page 2; Line "&amp;A53</f>
        <v>Page 2; Line 6</v>
      </c>
      <c r="H13" s="388">
        <f>H12+1</f>
        <v>2</v>
      </c>
    </row>
    <row r="14" spans="1:8" x14ac:dyDescent="0.35">
      <c r="A14" s="388">
        <f t="shared" ref="A14:A36" si="0">A13+1</f>
        <v>3</v>
      </c>
      <c r="B14" s="384"/>
      <c r="C14" s="394"/>
      <c r="D14" s="394"/>
      <c r="E14" s="395"/>
      <c r="F14" s="389"/>
      <c r="G14" s="393"/>
      <c r="H14" s="388">
        <f t="shared" ref="H14:H36" si="1">H13+1</f>
        <v>3</v>
      </c>
    </row>
    <row r="15" spans="1:8" x14ac:dyDescent="0.35">
      <c r="A15" s="388">
        <f t="shared" si="0"/>
        <v>4</v>
      </c>
      <c r="B15" s="391" t="s">
        <v>76</v>
      </c>
      <c r="C15" s="392"/>
      <c r="D15" s="392"/>
      <c r="E15" s="396">
        <f>E58</f>
        <v>8.8318644408244013E-3</v>
      </c>
      <c r="F15" s="397"/>
      <c r="G15" s="393" t="str">
        <f>"Page 2; Line "&amp;A58</f>
        <v>Page 2; Line 11</v>
      </c>
      <c r="H15" s="388">
        <f t="shared" si="1"/>
        <v>4</v>
      </c>
    </row>
    <row r="16" spans="1:8" x14ac:dyDescent="0.35">
      <c r="A16" s="388">
        <f t="shared" si="0"/>
        <v>5</v>
      </c>
      <c r="B16" s="385"/>
      <c r="C16" s="387"/>
      <c r="D16" s="387"/>
      <c r="E16" s="398"/>
      <c r="F16" s="399"/>
      <c r="G16" s="393"/>
      <c r="H16" s="388">
        <f t="shared" si="1"/>
        <v>5</v>
      </c>
    </row>
    <row r="17" spans="1:8" x14ac:dyDescent="0.35">
      <c r="A17" s="388">
        <f t="shared" si="0"/>
        <v>6</v>
      </c>
      <c r="B17" s="385" t="s">
        <v>77</v>
      </c>
      <c r="C17" s="387"/>
      <c r="D17" s="387"/>
      <c r="E17" s="396">
        <f>E63</f>
        <v>1.0623916722634533E-2</v>
      </c>
      <c r="F17" s="399"/>
      <c r="G17" s="393" t="str">
        <f>"Page 2; Line "&amp;A63</f>
        <v>Page 2; Line 16</v>
      </c>
      <c r="H17" s="388">
        <f t="shared" si="1"/>
        <v>6</v>
      </c>
    </row>
    <row r="18" spans="1:8" x14ac:dyDescent="0.35">
      <c r="A18" s="388">
        <f t="shared" si="0"/>
        <v>7</v>
      </c>
      <c r="B18" s="385"/>
      <c r="C18" s="387"/>
      <c r="D18" s="387"/>
      <c r="E18" s="398"/>
      <c r="F18" s="399"/>
      <c r="G18" s="393"/>
      <c r="H18" s="388">
        <f t="shared" si="1"/>
        <v>7</v>
      </c>
    </row>
    <row r="19" spans="1:8" x14ac:dyDescent="0.35">
      <c r="A19" s="388">
        <f t="shared" si="0"/>
        <v>8</v>
      </c>
      <c r="B19" s="391" t="s">
        <v>78</v>
      </c>
      <c r="C19" s="392"/>
      <c r="D19" s="392"/>
      <c r="E19" s="396">
        <f>E68</f>
        <v>3.269614673830928E-4</v>
      </c>
      <c r="F19" s="397"/>
      <c r="G19" s="393" t="str">
        <f>"Page 2; Line "&amp;A68</f>
        <v>Page 2; Line 21</v>
      </c>
      <c r="H19" s="388">
        <f t="shared" si="1"/>
        <v>8</v>
      </c>
    </row>
    <row r="20" spans="1:8" x14ac:dyDescent="0.35">
      <c r="A20" s="388">
        <f t="shared" si="0"/>
        <v>9</v>
      </c>
      <c r="B20" s="384"/>
      <c r="C20" s="394"/>
      <c r="D20" s="394"/>
      <c r="E20" s="395"/>
      <c r="F20" s="389"/>
      <c r="G20" s="393"/>
      <c r="H20" s="388">
        <f t="shared" si="1"/>
        <v>9</v>
      </c>
    </row>
    <row r="21" spans="1:8" x14ac:dyDescent="0.35">
      <c r="A21" s="388">
        <f t="shared" si="0"/>
        <v>10</v>
      </c>
      <c r="B21" s="391" t="s">
        <v>79</v>
      </c>
      <c r="C21" s="394"/>
      <c r="D21" s="394"/>
      <c r="E21" s="396">
        <f>E81</f>
        <v>1.8499270974022901E-3</v>
      </c>
      <c r="F21" s="389"/>
      <c r="G21" s="393" t="str">
        <f>"Page 2; Line "&amp;A81</f>
        <v>Page 2; Line 34</v>
      </c>
      <c r="H21" s="388">
        <f t="shared" si="1"/>
        <v>10</v>
      </c>
    </row>
    <row r="22" spans="1:8" x14ac:dyDescent="0.35">
      <c r="A22" s="388">
        <f t="shared" si="0"/>
        <v>11</v>
      </c>
      <c r="B22" s="384"/>
      <c r="C22" s="394"/>
      <c r="D22" s="394"/>
      <c r="E22" s="395"/>
      <c r="F22" s="389"/>
      <c r="G22" s="393"/>
      <c r="H22" s="388">
        <f t="shared" si="1"/>
        <v>11</v>
      </c>
    </row>
    <row r="23" spans="1:8" x14ac:dyDescent="0.35">
      <c r="A23" s="388">
        <f t="shared" si="0"/>
        <v>12</v>
      </c>
      <c r="B23" s="391" t="s">
        <v>80</v>
      </c>
      <c r="C23" s="392"/>
      <c r="D23" s="392"/>
      <c r="E23" s="396">
        <f>E98</f>
        <v>4.0186098632801733E-3</v>
      </c>
      <c r="F23" s="397"/>
      <c r="G23" s="393" t="str">
        <f>"Page 2; Line "&amp;A98</f>
        <v>Page 2; Line 51</v>
      </c>
      <c r="H23" s="388">
        <f t="shared" si="1"/>
        <v>12</v>
      </c>
    </row>
    <row r="24" spans="1:8" x14ac:dyDescent="0.35">
      <c r="A24" s="388">
        <f t="shared" si="0"/>
        <v>13</v>
      </c>
      <c r="B24" s="400"/>
      <c r="C24" s="401"/>
      <c r="D24" s="401"/>
      <c r="E24" s="402"/>
      <c r="F24" s="403"/>
      <c r="G24" s="393"/>
      <c r="H24" s="388">
        <f t="shared" si="1"/>
        <v>13</v>
      </c>
    </row>
    <row r="25" spans="1:8" x14ac:dyDescent="0.35">
      <c r="A25" s="388">
        <f t="shared" si="0"/>
        <v>14</v>
      </c>
      <c r="B25" s="391" t="s">
        <v>81</v>
      </c>
      <c r="C25" s="392"/>
      <c r="D25" s="392"/>
      <c r="E25" s="636">
        <f>SUM(E13:E23)</f>
        <v>3.3761956846155017E-2</v>
      </c>
      <c r="F25" s="397"/>
      <c r="G25" s="393" t="str">
        <f>"Sum Lines "&amp;A13&amp;" thru "&amp;A23&amp;""</f>
        <v>Sum Lines 2 thru 12</v>
      </c>
      <c r="H25" s="388">
        <f t="shared" si="1"/>
        <v>14</v>
      </c>
    </row>
    <row r="26" spans="1:8" x14ac:dyDescent="0.35">
      <c r="A26" s="388">
        <f t="shared" si="0"/>
        <v>15</v>
      </c>
      <c r="B26" s="384"/>
      <c r="C26" s="394"/>
      <c r="D26" s="394"/>
      <c r="E26" s="404"/>
      <c r="F26" s="405"/>
      <c r="G26" s="393"/>
      <c r="H26" s="388">
        <f t="shared" si="1"/>
        <v>15</v>
      </c>
    </row>
    <row r="27" spans="1:8" x14ac:dyDescent="0.35">
      <c r="A27" s="388">
        <f t="shared" si="0"/>
        <v>16</v>
      </c>
      <c r="B27" s="385" t="s">
        <v>82</v>
      </c>
      <c r="C27" s="406">
        <v>1.0274999999999999E-2</v>
      </c>
      <c r="D27" s="394"/>
      <c r="E27" s="407">
        <f>E25*C27</f>
        <v>3.469041065942428E-4</v>
      </c>
      <c r="F27" s="408"/>
      <c r="G27" s="393" t="str">
        <f>"Line "&amp;A25&amp;" x Franchise Fee Rate"</f>
        <v>Line 14 x Franchise Fee Rate</v>
      </c>
      <c r="H27" s="388">
        <f t="shared" si="1"/>
        <v>16</v>
      </c>
    </row>
    <row r="28" spans="1:8" x14ac:dyDescent="0.35">
      <c r="A28" s="388">
        <f t="shared" si="0"/>
        <v>17</v>
      </c>
      <c r="B28" s="384"/>
      <c r="C28" s="394"/>
      <c r="D28" s="394"/>
      <c r="E28" s="409"/>
      <c r="F28" s="410"/>
      <c r="G28" s="393"/>
      <c r="H28" s="388">
        <f t="shared" si="1"/>
        <v>17</v>
      </c>
    </row>
    <row r="29" spans="1:8" ht="16" thickBot="1" x14ac:dyDescent="0.4">
      <c r="A29" s="388">
        <f t="shared" si="0"/>
        <v>18</v>
      </c>
      <c r="B29" s="384" t="s">
        <v>83</v>
      </c>
      <c r="C29" s="394"/>
      <c r="D29" s="394"/>
      <c r="E29" s="637">
        <f>E25+E27</f>
        <v>3.4108860952749259E-2</v>
      </c>
      <c r="F29" s="638"/>
      <c r="G29" s="393" t="str">
        <f>"Line "&amp;A25&amp;" + Line "&amp;A27</f>
        <v>Line 14 + Line 16</v>
      </c>
      <c r="H29" s="388">
        <f t="shared" si="1"/>
        <v>18</v>
      </c>
    </row>
    <row r="30" spans="1:8" ht="16" thickTop="1" x14ac:dyDescent="0.35">
      <c r="A30" s="388">
        <f t="shared" si="0"/>
        <v>19</v>
      </c>
      <c r="B30" s="385"/>
      <c r="C30" s="387"/>
      <c r="D30" s="387"/>
      <c r="E30" s="394"/>
      <c r="F30" s="384"/>
      <c r="G30" s="384"/>
      <c r="H30" s="388">
        <f t="shared" si="1"/>
        <v>19</v>
      </c>
    </row>
    <row r="31" spans="1:8" x14ac:dyDescent="0.35">
      <c r="A31" s="388">
        <f t="shared" si="0"/>
        <v>20</v>
      </c>
      <c r="B31" s="390" t="s">
        <v>84</v>
      </c>
      <c r="C31" s="411"/>
      <c r="D31" s="411"/>
      <c r="E31" s="387"/>
      <c r="F31" s="385"/>
      <c r="G31" s="384"/>
      <c r="H31" s="388">
        <f t="shared" si="1"/>
        <v>20</v>
      </c>
    </row>
    <row r="32" spans="1:8" x14ac:dyDescent="0.35">
      <c r="A32" s="388">
        <f t="shared" si="0"/>
        <v>21</v>
      </c>
      <c r="B32" s="391" t="s">
        <v>85</v>
      </c>
      <c r="C32" s="392"/>
      <c r="D32" s="392"/>
      <c r="E32" s="283">
        <v>85194</v>
      </c>
      <c r="F32" s="389"/>
      <c r="G32" s="393" t="s">
        <v>86</v>
      </c>
      <c r="H32" s="388">
        <f t="shared" si="1"/>
        <v>21</v>
      </c>
    </row>
    <row r="33" spans="1:8" x14ac:dyDescent="0.35">
      <c r="A33" s="388">
        <f t="shared" si="0"/>
        <v>22</v>
      </c>
      <c r="B33" s="391"/>
      <c r="C33" s="392"/>
      <c r="D33" s="392"/>
      <c r="E33" s="392"/>
      <c r="F33" s="391"/>
      <c r="G33" s="393"/>
      <c r="H33" s="388">
        <f t="shared" si="1"/>
        <v>22</v>
      </c>
    </row>
    <row r="34" spans="1:8" x14ac:dyDescent="0.35">
      <c r="A34" s="388">
        <f t="shared" si="0"/>
        <v>23</v>
      </c>
      <c r="B34" s="391" t="s">
        <v>87</v>
      </c>
      <c r="C34" s="392"/>
      <c r="D34" s="392"/>
      <c r="E34" s="636">
        <f>+E29</f>
        <v>3.4108860952749259E-2</v>
      </c>
      <c r="F34" s="397"/>
      <c r="G34" s="393" t="str">
        <f>"Line "&amp;A29&amp;" Above"</f>
        <v>Line 18 Above</v>
      </c>
      <c r="H34" s="388">
        <f t="shared" si="1"/>
        <v>23</v>
      </c>
    </row>
    <row r="35" spans="1:8" x14ac:dyDescent="0.35">
      <c r="A35" s="388">
        <f t="shared" si="0"/>
        <v>24</v>
      </c>
      <c r="B35" s="384"/>
      <c r="C35" s="394"/>
      <c r="D35" s="394"/>
      <c r="E35" s="412"/>
      <c r="F35" s="413"/>
      <c r="G35" s="393"/>
      <c r="H35" s="388">
        <f t="shared" si="1"/>
        <v>24</v>
      </c>
    </row>
    <row r="36" spans="1:8" ht="16" thickBot="1" x14ac:dyDescent="0.4">
      <c r="A36" s="388">
        <f t="shared" si="0"/>
        <v>25</v>
      </c>
      <c r="B36" s="384" t="s">
        <v>88</v>
      </c>
      <c r="C36" s="392"/>
      <c r="D36" s="392"/>
      <c r="E36" s="639">
        <f>E32*E34</f>
        <v>2905.8703000085202</v>
      </c>
      <c r="F36" s="415"/>
      <c r="G36" s="393" t="str">
        <f>"Line "&amp;A32&amp;" x Line "&amp;A34</f>
        <v>Line 21 x Line 23</v>
      </c>
      <c r="H36" s="388">
        <f t="shared" si="1"/>
        <v>25</v>
      </c>
    </row>
    <row r="37" spans="1:8" ht="16" thickTop="1" x14ac:dyDescent="0.35">
      <c r="A37" s="388"/>
      <c r="B37" s="384"/>
      <c r="C37" s="391"/>
      <c r="D37" s="391"/>
      <c r="E37" s="414"/>
      <c r="F37" s="415"/>
      <c r="G37" s="393"/>
      <c r="H37" s="388"/>
    </row>
    <row r="38" spans="1:8" x14ac:dyDescent="0.35">
      <c r="A38" s="387"/>
      <c r="B38" s="384"/>
      <c r="C38" s="384"/>
      <c r="D38" s="384"/>
      <c r="E38" s="400"/>
      <c r="F38" s="400"/>
      <c r="G38" s="385"/>
      <c r="H38" s="161"/>
    </row>
    <row r="39" spans="1:8" x14ac:dyDescent="0.35">
      <c r="A39" s="387"/>
      <c r="B39" s="859" t="str">
        <f>B3</f>
        <v>SAN DIEGO GAS &amp; ELECTRIC COMPANY</v>
      </c>
      <c r="C39" s="859"/>
      <c r="D39" s="859"/>
      <c r="E39" s="859"/>
      <c r="F39" s="859"/>
      <c r="G39" s="859"/>
      <c r="H39" s="161"/>
    </row>
    <row r="40" spans="1:8" x14ac:dyDescent="0.35">
      <c r="B40" s="859" t="str">
        <f>B4</f>
        <v>CITIZENS' SHARE OF THE BORDER EAST LINE</v>
      </c>
      <c r="C40" s="859"/>
      <c r="D40" s="859"/>
      <c r="E40" s="859"/>
      <c r="F40" s="859"/>
      <c r="G40" s="859"/>
      <c r="H40" s="401"/>
    </row>
    <row r="41" spans="1:8" x14ac:dyDescent="0.35">
      <c r="B41" s="856" t="str">
        <f>B5</f>
        <v xml:space="preserve">Section 2 - Non-Direct Expense Cost Component </v>
      </c>
      <c r="C41" s="856"/>
      <c r="D41" s="856"/>
      <c r="E41" s="856"/>
      <c r="F41" s="856"/>
      <c r="G41" s="856"/>
      <c r="H41" s="394"/>
    </row>
    <row r="42" spans="1:8" x14ac:dyDescent="0.35">
      <c r="B42" s="857" t="str">
        <f>B6</f>
        <v>Base Period &amp; True-Up Period 12 - Months Ending December 31, 2020</v>
      </c>
      <c r="C42" s="857"/>
      <c r="D42" s="857"/>
      <c r="E42" s="857"/>
      <c r="F42" s="857"/>
      <c r="G42" s="857"/>
      <c r="H42" s="394"/>
    </row>
    <row r="43" spans="1:8" x14ac:dyDescent="0.35">
      <c r="B43" s="858" t="str">
        <f>B7</f>
        <v>($1,000)</v>
      </c>
      <c r="C43" s="853"/>
      <c r="D43" s="853"/>
      <c r="E43" s="853"/>
      <c r="F43" s="853"/>
      <c r="G43" s="853"/>
      <c r="H43" s="88"/>
    </row>
    <row r="44" spans="1:8" x14ac:dyDescent="0.35">
      <c r="A44" s="416"/>
      <c r="B44" s="384"/>
      <c r="C44" s="384"/>
      <c r="D44" s="384"/>
      <c r="E44" s="384"/>
      <c r="F44" s="384"/>
      <c r="G44" s="384"/>
      <c r="H44" s="161"/>
    </row>
    <row r="45" spans="1:8" x14ac:dyDescent="0.35">
      <c r="A45" s="388" t="s">
        <v>5</v>
      </c>
      <c r="B45" s="384"/>
      <c r="C45" s="384"/>
      <c r="D45" s="384"/>
      <c r="E45" s="600"/>
      <c r="F45" s="600"/>
      <c r="G45" s="384"/>
      <c r="H45" s="388" t="s">
        <v>5</v>
      </c>
    </row>
    <row r="46" spans="1:8" x14ac:dyDescent="0.35">
      <c r="A46" s="388" t="s">
        <v>6</v>
      </c>
      <c r="B46" s="384"/>
      <c r="C46" s="384"/>
      <c r="D46" s="384"/>
      <c r="E46" s="606" t="s">
        <v>8</v>
      </c>
      <c r="F46" s="393"/>
      <c r="G46" s="606" t="s">
        <v>9</v>
      </c>
      <c r="H46" s="388" t="s">
        <v>6</v>
      </c>
    </row>
    <row r="47" spans="1:8" x14ac:dyDescent="0.35">
      <c r="A47" s="388"/>
      <c r="B47" s="384"/>
      <c r="C47" s="384"/>
      <c r="D47" s="384"/>
      <c r="E47" s="600"/>
      <c r="F47" s="600"/>
      <c r="G47" s="384"/>
      <c r="H47" s="388"/>
    </row>
    <row r="48" spans="1:8" x14ac:dyDescent="0.35">
      <c r="A48" s="388">
        <v>1</v>
      </c>
      <c r="B48" s="417" t="s">
        <v>89</v>
      </c>
      <c r="C48" s="417"/>
      <c r="D48" s="417"/>
      <c r="E48" s="640">
        <f>'Pg16 As Filed AV-4'!C80</f>
        <v>5400948.2173625827</v>
      </c>
      <c r="F48" s="600"/>
      <c r="G48" s="393" t="s">
        <v>90</v>
      </c>
      <c r="H48" s="388">
        <f>A48</f>
        <v>1</v>
      </c>
    </row>
    <row r="49" spans="1:10" x14ac:dyDescent="0.35">
      <c r="A49" s="388">
        <f>A48+1</f>
        <v>2</v>
      </c>
      <c r="B49" s="384"/>
      <c r="C49" s="384"/>
      <c r="D49" s="384"/>
      <c r="E49" s="383"/>
      <c r="F49" s="600"/>
      <c r="G49" s="384"/>
      <c r="H49" s="388">
        <f>H48+1</f>
        <v>2</v>
      </c>
    </row>
    <row r="50" spans="1:10" x14ac:dyDescent="0.35">
      <c r="A50" s="388">
        <f t="shared" ref="A50:A98" si="2">A49+1</f>
        <v>3</v>
      </c>
      <c r="B50" s="390" t="s">
        <v>91</v>
      </c>
      <c r="C50" s="390"/>
      <c r="D50" s="390"/>
      <c r="E50" s="418"/>
      <c r="F50" s="419"/>
      <c r="G50" s="384"/>
      <c r="H50" s="388">
        <f t="shared" ref="H50:H98" si="3">H49+1</f>
        <v>3</v>
      </c>
    </row>
    <row r="51" spans="1:10" x14ac:dyDescent="0.35">
      <c r="A51" s="388">
        <f t="shared" si="2"/>
        <v>4</v>
      </c>
      <c r="B51" s="391" t="s">
        <v>92</v>
      </c>
      <c r="C51" s="391"/>
      <c r="D51" s="391"/>
      <c r="E51" s="641">
        <v>43805.347860000002</v>
      </c>
      <c r="F51" s="600"/>
      <c r="G51" s="393" t="s">
        <v>141</v>
      </c>
      <c r="H51" s="388">
        <f t="shared" si="3"/>
        <v>4</v>
      </c>
      <c r="J51" s="420"/>
    </row>
    <row r="52" spans="1:10" x14ac:dyDescent="0.35">
      <c r="A52" s="388">
        <f t="shared" si="2"/>
        <v>5</v>
      </c>
      <c r="B52" s="391"/>
      <c r="C52" s="391"/>
      <c r="D52" s="391"/>
      <c r="E52" s="284"/>
      <c r="F52" s="421"/>
      <c r="G52" s="393"/>
      <c r="H52" s="388">
        <f t="shared" si="3"/>
        <v>5</v>
      </c>
      <c r="J52" s="420"/>
    </row>
    <row r="53" spans="1:10" x14ac:dyDescent="0.35">
      <c r="A53" s="388">
        <f t="shared" si="2"/>
        <v>6</v>
      </c>
      <c r="B53" s="391" t="s">
        <v>94</v>
      </c>
      <c r="C53" s="384"/>
      <c r="D53" s="384"/>
      <c r="E53" s="422">
        <f>E51/E48</f>
        <v>8.1106772546305286E-3</v>
      </c>
      <c r="F53" s="423"/>
      <c r="G53" s="393" t="str">
        <f>"Line "&amp;A51&amp;" / Line "&amp;A48</f>
        <v>Line 4 / Line 1</v>
      </c>
      <c r="H53" s="388">
        <f t="shared" si="3"/>
        <v>6</v>
      </c>
      <c r="J53" s="420"/>
    </row>
    <row r="54" spans="1:10" x14ac:dyDescent="0.35">
      <c r="A54" s="388">
        <f t="shared" si="2"/>
        <v>7</v>
      </c>
      <c r="B54" s="391"/>
      <c r="C54" s="391"/>
      <c r="D54" s="391"/>
      <c r="E54" s="424"/>
      <c r="F54" s="425"/>
      <c r="G54" s="393"/>
      <c r="H54" s="388">
        <f t="shared" si="3"/>
        <v>7</v>
      </c>
    </row>
    <row r="55" spans="1:10" x14ac:dyDescent="0.35">
      <c r="A55" s="388">
        <f t="shared" si="2"/>
        <v>8</v>
      </c>
      <c r="B55" s="390" t="s">
        <v>96</v>
      </c>
      <c r="C55" s="390"/>
      <c r="D55" s="390"/>
      <c r="E55" s="426"/>
      <c r="F55" s="427"/>
      <c r="G55" s="428"/>
      <c r="H55" s="388">
        <f t="shared" si="3"/>
        <v>8</v>
      </c>
    </row>
    <row r="56" spans="1:10" x14ac:dyDescent="0.35">
      <c r="A56" s="388">
        <f t="shared" si="2"/>
        <v>9</v>
      </c>
      <c r="B56" s="391" t="s">
        <v>97</v>
      </c>
      <c r="C56" s="391"/>
      <c r="D56" s="391"/>
      <c r="E56" s="433">
        <v>47700.442507658532</v>
      </c>
      <c r="F56" s="600"/>
      <c r="G56" s="393" t="s">
        <v>142</v>
      </c>
      <c r="H56" s="388">
        <f t="shared" si="3"/>
        <v>9</v>
      </c>
    </row>
    <row r="57" spans="1:10" x14ac:dyDescent="0.35">
      <c r="A57" s="388">
        <f t="shared" si="2"/>
        <v>10</v>
      </c>
      <c r="B57" s="384"/>
      <c r="C57" s="384"/>
      <c r="D57" s="384"/>
      <c r="E57" s="426"/>
      <c r="F57" s="427"/>
      <c r="G57" s="393"/>
      <c r="H57" s="388">
        <f t="shared" si="3"/>
        <v>10</v>
      </c>
    </row>
    <row r="58" spans="1:10" x14ac:dyDescent="0.35">
      <c r="A58" s="388">
        <f t="shared" si="2"/>
        <v>11</v>
      </c>
      <c r="B58" s="430" t="s">
        <v>99</v>
      </c>
      <c r="C58" s="428"/>
      <c r="D58" s="428"/>
      <c r="E58" s="422">
        <f>E56/E48</f>
        <v>8.8318644408244013E-3</v>
      </c>
      <c r="F58" s="423"/>
      <c r="G58" s="393" t="str">
        <f>"Line "&amp;A56&amp;" / Line "&amp;A48</f>
        <v>Line 9 / Line 1</v>
      </c>
      <c r="H58" s="388">
        <f t="shared" si="3"/>
        <v>11</v>
      </c>
    </row>
    <row r="59" spans="1:10" x14ac:dyDescent="0.35">
      <c r="A59" s="388">
        <f t="shared" si="2"/>
        <v>12</v>
      </c>
      <c r="B59" s="428"/>
      <c r="C59" s="428"/>
      <c r="D59" s="428"/>
      <c r="E59" s="431"/>
      <c r="F59" s="432"/>
      <c r="G59" s="393"/>
      <c r="H59" s="388">
        <f t="shared" si="3"/>
        <v>12</v>
      </c>
    </row>
    <row r="60" spans="1:10" x14ac:dyDescent="0.35">
      <c r="A60" s="388">
        <f t="shared" si="2"/>
        <v>13</v>
      </c>
      <c r="B60" s="390" t="s">
        <v>101</v>
      </c>
      <c r="C60" s="428"/>
      <c r="D60" s="428"/>
      <c r="E60" s="431"/>
      <c r="F60" s="432"/>
      <c r="G60" s="393"/>
      <c r="H60" s="388">
        <f t="shared" si="3"/>
        <v>13</v>
      </c>
    </row>
    <row r="61" spans="1:10" x14ac:dyDescent="0.35">
      <c r="A61" s="388">
        <f t="shared" si="2"/>
        <v>14</v>
      </c>
      <c r="B61" s="430" t="s">
        <v>77</v>
      </c>
      <c r="C61" s="428"/>
      <c r="D61" s="428"/>
      <c r="E61" s="433">
        <v>57379.224084521513</v>
      </c>
      <c r="F61" s="432"/>
      <c r="G61" s="393" t="s">
        <v>102</v>
      </c>
      <c r="H61" s="388">
        <f t="shared" si="3"/>
        <v>14</v>
      </c>
    </row>
    <row r="62" spans="1:10" x14ac:dyDescent="0.35">
      <c r="A62" s="388">
        <f t="shared" si="2"/>
        <v>15</v>
      </c>
      <c r="B62" s="428"/>
      <c r="C62" s="428"/>
      <c r="D62" s="428"/>
      <c r="E62" s="426"/>
      <c r="F62" s="432"/>
      <c r="G62" s="393"/>
      <c r="H62" s="388">
        <f t="shared" si="3"/>
        <v>15</v>
      </c>
    </row>
    <row r="63" spans="1:10" x14ac:dyDescent="0.35">
      <c r="A63" s="388">
        <f t="shared" si="2"/>
        <v>16</v>
      </c>
      <c r="B63" s="430" t="s">
        <v>103</v>
      </c>
      <c r="C63" s="428"/>
      <c r="D63" s="428"/>
      <c r="E63" s="422">
        <f>E61/E48</f>
        <v>1.0623916722634533E-2</v>
      </c>
      <c r="F63" s="432"/>
      <c r="G63" s="393" t="str">
        <f>"Line "&amp;A61&amp;" / Line "&amp;A48</f>
        <v>Line 14 / Line 1</v>
      </c>
      <c r="H63" s="388">
        <f t="shared" si="3"/>
        <v>16</v>
      </c>
    </row>
    <row r="64" spans="1:10" x14ac:dyDescent="0.35">
      <c r="A64" s="388">
        <f t="shared" si="2"/>
        <v>17</v>
      </c>
      <c r="B64" s="428"/>
      <c r="C64" s="428"/>
      <c r="D64" s="428"/>
      <c r="E64" s="431"/>
      <c r="F64" s="432"/>
      <c r="G64" s="393"/>
      <c r="H64" s="388">
        <f t="shared" si="3"/>
        <v>17</v>
      </c>
    </row>
    <row r="65" spans="1:8" x14ac:dyDescent="0.35">
      <c r="A65" s="388">
        <f t="shared" si="2"/>
        <v>18</v>
      </c>
      <c r="B65" s="390" t="s">
        <v>105</v>
      </c>
      <c r="C65" s="390"/>
      <c r="D65" s="390"/>
      <c r="E65" s="431"/>
      <c r="F65" s="432"/>
      <c r="G65" s="393"/>
      <c r="H65" s="388">
        <f t="shared" si="3"/>
        <v>18</v>
      </c>
    </row>
    <row r="66" spans="1:8" x14ac:dyDescent="0.35">
      <c r="A66" s="388">
        <f t="shared" si="2"/>
        <v>19</v>
      </c>
      <c r="B66" s="391" t="s">
        <v>78</v>
      </c>
      <c r="C66" s="391"/>
      <c r="D66" s="391"/>
      <c r="E66" s="433">
        <v>1765.9019544089692</v>
      </c>
      <c r="F66" s="600"/>
      <c r="G66" s="393" t="s">
        <v>106</v>
      </c>
      <c r="H66" s="388">
        <f t="shared" si="3"/>
        <v>19</v>
      </c>
    </row>
    <row r="67" spans="1:8" x14ac:dyDescent="0.35">
      <c r="A67" s="388">
        <f t="shared" si="2"/>
        <v>20</v>
      </c>
      <c r="B67" s="428"/>
      <c r="C67" s="428"/>
      <c r="D67" s="428"/>
      <c r="E67" s="431"/>
      <c r="F67" s="432"/>
      <c r="G67" s="393"/>
      <c r="H67" s="388">
        <f t="shared" si="3"/>
        <v>20</v>
      </c>
    </row>
    <row r="68" spans="1:8" x14ac:dyDescent="0.35">
      <c r="A68" s="388">
        <f t="shared" si="2"/>
        <v>21</v>
      </c>
      <c r="B68" s="430" t="s">
        <v>107</v>
      </c>
      <c r="C68" s="428"/>
      <c r="D68" s="428"/>
      <c r="E68" s="422">
        <f>E66/E48</f>
        <v>3.269614673830928E-4</v>
      </c>
      <c r="F68" s="423"/>
      <c r="G68" s="393" t="str">
        <f>"Line "&amp;A66&amp;" / Line "&amp;A48</f>
        <v>Line 19 / Line 1</v>
      </c>
      <c r="H68" s="388">
        <f t="shared" si="3"/>
        <v>21</v>
      </c>
    </row>
    <row r="69" spans="1:8" x14ac:dyDescent="0.35">
      <c r="A69" s="388">
        <f t="shared" si="2"/>
        <v>22</v>
      </c>
      <c r="B69" s="428"/>
      <c r="C69" s="428"/>
      <c r="D69" s="428"/>
      <c r="E69" s="431"/>
      <c r="F69" s="432"/>
      <c r="G69" s="393"/>
      <c r="H69" s="388">
        <f t="shared" si="3"/>
        <v>22</v>
      </c>
    </row>
    <row r="70" spans="1:8" x14ac:dyDescent="0.35">
      <c r="A70" s="388">
        <f t="shared" si="2"/>
        <v>23</v>
      </c>
      <c r="B70" s="390" t="s">
        <v>109</v>
      </c>
      <c r="C70" s="390"/>
      <c r="D70" s="390"/>
      <c r="E70" s="434"/>
      <c r="F70" s="435"/>
      <c r="G70" s="393"/>
      <c r="H70" s="388">
        <f t="shared" si="3"/>
        <v>23</v>
      </c>
    </row>
    <row r="71" spans="1:8" x14ac:dyDescent="0.35">
      <c r="A71" s="388">
        <f t="shared" si="2"/>
        <v>24</v>
      </c>
      <c r="B71" s="436" t="s">
        <v>110</v>
      </c>
      <c r="C71" s="384"/>
      <c r="D71" s="384"/>
      <c r="E71" s="434"/>
      <c r="F71" s="435"/>
      <c r="G71" s="393"/>
      <c r="H71" s="388">
        <f t="shared" si="3"/>
        <v>24</v>
      </c>
    </row>
    <row r="72" spans="1:8" x14ac:dyDescent="0.35">
      <c r="A72" s="388">
        <f t="shared" si="2"/>
        <v>25</v>
      </c>
      <c r="B72" s="391" t="s">
        <v>111</v>
      </c>
      <c r="C72" s="391"/>
      <c r="D72" s="391"/>
      <c r="E72" s="437">
        <v>51269.428222656083</v>
      </c>
      <c r="F72" s="600"/>
      <c r="G72" s="393" t="s">
        <v>112</v>
      </c>
      <c r="H72" s="388">
        <f t="shared" si="3"/>
        <v>25</v>
      </c>
    </row>
    <row r="73" spans="1:8" x14ac:dyDescent="0.35">
      <c r="A73" s="388">
        <f t="shared" si="2"/>
        <v>26</v>
      </c>
      <c r="B73" s="391" t="s">
        <v>113</v>
      </c>
      <c r="C73" s="391"/>
      <c r="D73" s="391"/>
      <c r="E73" s="438">
        <v>37308.787275766081</v>
      </c>
      <c r="F73" s="600"/>
      <c r="G73" s="393" t="s">
        <v>114</v>
      </c>
      <c r="H73" s="388">
        <f t="shared" si="3"/>
        <v>26</v>
      </c>
    </row>
    <row r="74" spans="1:8" x14ac:dyDescent="0.35">
      <c r="A74" s="388">
        <f t="shared" si="2"/>
        <v>27</v>
      </c>
      <c r="B74" s="391" t="s">
        <v>115</v>
      </c>
      <c r="C74" s="391"/>
      <c r="D74" s="391"/>
      <c r="E74" s="438">
        <v>11438.223795957318</v>
      </c>
      <c r="F74" s="600"/>
      <c r="G74" s="393" t="s">
        <v>116</v>
      </c>
      <c r="H74" s="388">
        <f t="shared" si="3"/>
        <v>27</v>
      </c>
    </row>
    <row r="75" spans="1:8" x14ac:dyDescent="0.35">
      <c r="A75" s="388">
        <f t="shared" si="2"/>
        <v>28</v>
      </c>
      <c r="B75" s="391" t="s">
        <v>117</v>
      </c>
      <c r="C75" s="384"/>
      <c r="D75" s="384"/>
      <c r="E75" s="642">
        <f>SUM(E72:E74)</f>
        <v>100016.43929437947</v>
      </c>
      <c r="F75" s="643"/>
      <c r="G75" s="393" t="str">
        <f>"Sum Lines "&amp;A72&amp;" thru "&amp;A74</f>
        <v>Sum Lines 25 thru 27</v>
      </c>
      <c r="H75" s="388">
        <f t="shared" si="3"/>
        <v>28</v>
      </c>
    </row>
    <row r="76" spans="1:8" x14ac:dyDescent="0.35">
      <c r="A76" s="388">
        <f t="shared" si="2"/>
        <v>29</v>
      </c>
      <c r="B76" s="384"/>
      <c r="C76" s="384"/>
      <c r="D76" s="384"/>
      <c r="E76" s="441"/>
      <c r="F76" s="442"/>
      <c r="G76" s="393"/>
      <c r="H76" s="388">
        <f t="shared" si="3"/>
        <v>29</v>
      </c>
    </row>
    <row r="77" spans="1:8" x14ac:dyDescent="0.35">
      <c r="A77" s="388">
        <f t="shared" si="2"/>
        <v>30</v>
      </c>
      <c r="B77" s="391" t="s">
        <v>119</v>
      </c>
      <c r="C77" s="391"/>
      <c r="D77" s="391"/>
      <c r="E77" s="443">
        <v>9.9897182197798071E-2</v>
      </c>
      <c r="F77" s="600"/>
      <c r="G77" s="393" t="s">
        <v>120</v>
      </c>
      <c r="H77" s="388">
        <f t="shared" si="3"/>
        <v>30</v>
      </c>
    </row>
    <row r="78" spans="1:8" x14ac:dyDescent="0.35">
      <c r="A78" s="388">
        <f t="shared" si="2"/>
        <v>31</v>
      </c>
      <c r="B78" s="384"/>
      <c r="C78" s="384"/>
      <c r="D78" s="384"/>
      <c r="E78" s="441"/>
      <c r="F78" s="442"/>
      <c r="G78" s="393"/>
      <c r="H78" s="388">
        <f t="shared" si="3"/>
        <v>31</v>
      </c>
    </row>
    <row r="79" spans="1:8" x14ac:dyDescent="0.35">
      <c r="A79" s="388">
        <f t="shared" si="2"/>
        <v>32</v>
      </c>
      <c r="B79" s="391" t="s">
        <v>121</v>
      </c>
      <c r="C79" s="384"/>
      <c r="D79" s="384"/>
      <c r="E79" s="644">
        <f>E75*E77</f>
        <v>9991.3604589656352</v>
      </c>
      <c r="F79" s="643"/>
      <c r="G79" s="393" t="str">
        <f>"Line "&amp;A75&amp;" x Line "&amp;A77</f>
        <v>Line 28 x Line 30</v>
      </c>
      <c r="H79" s="388">
        <f t="shared" si="3"/>
        <v>32</v>
      </c>
    </row>
    <row r="80" spans="1:8" x14ac:dyDescent="0.35">
      <c r="A80" s="388">
        <f t="shared" si="2"/>
        <v>33</v>
      </c>
      <c r="B80" s="384"/>
      <c r="C80" s="384"/>
      <c r="D80" s="384"/>
      <c r="E80" s="441"/>
      <c r="F80" s="442"/>
      <c r="G80" s="393"/>
      <c r="H80" s="388">
        <f t="shared" si="3"/>
        <v>33</v>
      </c>
    </row>
    <row r="81" spans="1:9" x14ac:dyDescent="0.35">
      <c r="A81" s="388">
        <f t="shared" si="2"/>
        <v>34</v>
      </c>
      <c r="B81" s="391" t="s">
        <v>123</v>
      </c>
      <c r="C81" s="384"/>
      <c r="D81" s="384"/>
      <c r="E81" s="422">
        <f>E79/E48</f>
        <v>1.8499270974022901E-3</v>
      </c>
      <c r="F81" s="423"/>
      <c r="G81" s="393" t="str">
        <f>"Line "&amp;A79&amp;" / Line "&amp;A48</f>
        <v>Line 32 / Line 1</v>
      </c>
      <c r="H81" s="388">
        <f t="shared" si="3"/>
        <v>34</v>
      </c>
    </row>
    <row r="82" spans="1:9" x14ac:dyDescent="0.35">
      <c r="A82" s="388">
        <f t="shared" si="2"/>
        <v>35</v>
      </c>
      <c r="B82" s="391"/>
      <c r="C82" s="384"/>
      <c r="D82" s="384"/>
      <c r="E82" s="444"/>
      <c r="F82" s="423"/>
      <c r="G82" s="393"/>
      <c r="H82" s="388">
        <f t="shared" si="3"/>
        <v>35</v>
      </c>
    </row>
    <row r="83" spans="1:9" x14ac:dyDescent="0.35">
      <c r="A83" s="388">
        <f t="shared" si="2"/>
        <v>36</v>
      </c>
      <c r="B83" s="390" t="s">
        <v>125</v>
      </c>
      <c r="C83" s="445"/>
      <c r="D83" s="445"/>
      <c r="E83" s="446"/>
      <c r="F83" s="446"/>
      <c r="G83" s="446"/>
      <c r="H83" s="388">
        <f t="shared" si="3"/>
        <v>36</v>
      </c>
    </row>
    <row r="84" spans="1:9" x14ac:dyDescent="0.35">
      <c r="A84" s="388">
        <f t="shared" si="2"/>
        <v>37</v>
      </c>
      <c r="B84" s="391" t="s">
        <v>126</v>
      </c>
      <c r="C84" s="445"/>
      <c r="D84" s="445"/>
      <c r="E84" s="32">
        <v>29097.73014030722</v>
      </c>
      <c r="F84" s="446"/>
      <c r="G84" s="393" t="s">
        <v>127</v>
      </c>
      <c r="H84" s="388">
        <f t="shared" si="3"/>
        <v>37</v>
      </c>
    </row>
    <row r="85" spans="1:9" x14ac:dyDescent="0.35">
      <c r="A85" s="388">
        <f t="shared" si="2"/>
        <v>38</v>
      </c>
      <c r="B85" s="390"/>
      <c r="C85" s="445"/>
      <c r="D85" s="445"/>
      <c r="E85" s="447"/>
      <c r="F85" s="446"/>
      <c r="G85" s="446"/>
      <c r="H85" s="388">
        <f t="shared" si="3"/>
        <v>38</v>
      </c>
    </row>
    <row r="86" spans="1:9" x14ac:dyDescent="0.35">
      <c r="A86" s="388">
        <f t="shared" si="2"/>
        <v>39</v>
      </c>
      <c r="B86" s="391" t="s">
        <v>128</v>
      </c>
      <c r="C86" s="445"/>
      <c r="D86" s="445"/>
      <c r="E86" s="448">
        <v>61211.878237450255</v>
      </c>
      <c r="F86" s="446"/>
      <c r="G86" s="393" t="s">
        <v>129</v>
      </c>
      <c r="H86" s="388">
        <f t="shared" si="3"/>
        <v>39</v>
      </c>
    </row>
    <row r="87" spans="1:9" ht="18" x14ac:dyDescent="0.6">
      <c r="A87" s="388">
        <f t="shared" si="2"/>
        <v>40</v>
      </c>
      <c r="B87" s="445"/>
      <c r="C87" s="449"/>
      <c r="D87" s="449"/>
      <c r="E87" s="450"/>
      <c r="F87" s="451"/>
      <c r="G87" s="445"/>
      <c r="H87" s="388">
        <f t="shared" si="3"/>
        <v>40</v>
      </c>
    </row>
    <row r="88" spans="1:9" x14ac:dyDescent="0.35">
      <c r="A88" s="388">
        <f t="shared" si="2"/>
        <v>41</v>
      </c>
      <c r="B88" s="391" t="s">
        <v>130</v>
      </c>
      <c r="C88" s="449"/>
      <c r="D88" s="449"/>
      <c r="E88" s="452">
        <f>E84+E86</f>
        <v>90309.608377757482</v>
      </c>
      <c r="F88" s="453"/>
      <c r="G88" s="393" t="str">
        <f>"Line "&amp;A84&amp;" + Line "&amp;A86</f>
        <v>Line 37 + Line 39</v>
      </c>
      <c r="H88" s="388">
        <f t="shared" si="3"/>
        <v>41</v>
      </c>
    </row>
    <row r="89" spans="1:9" x14ac:dyDescent="0.35">
      <c r="A89" s="388">
        <f t="shared" si="2"/>
        <v>42</v>
      </c>
      <c r="B89" s="454"/>
      <c r="C89" s="449"/>
      <c r="D89" s="449"/>
      <c r="E89" s="455"/>
      <c r="F89" s="453"/>
      <c r="G89" s="456"/>
      <c r="H89" s="388">
        <f t="shared" si="3"/>
        <v>42</v>
      </c>
    </row>
    <row r="90" spans="1:9" x14ac:dyDescent="0.35">
      <c r="A90" s="388">
        <f t="shared" si="2"/>
        <v>43</v>
      </c>
      <c r="B90" s="391" t="s">
        <v>119</v>
      </c>
      <c r="C90" s="449"/>
      <c r="D90" s="449"/>
      <c r="E90" s="457">
        <f>E77</f>
        <v>9.9897182197798071E-2</v>
      </c>
      <c r="F90" s="453"/>
      <c r="G90" s="393" t="str">
        <f>"Line "&amp;A77</f>
        <v>Line 30</v>
      </c>
      <c r="H90" s="388">
        <f t="shared" si="3"/>
        <v>43</v>
      </c>
    </row>
    <row r="91" spans="1:9" x14ac:dyDescent="0.35">
      <c r="A91" s="388">
        <f t="shared" si="2"/>
        <v>44</v>
      </c>
      <c r="B91" s="445"/>
      <c r="C91" s="449"/>
      <c r="D91" s="449"/>
      <c r="E91" s="458"/>
      <c r="F91" s="459"/>
      <c r="G91" s="445"/>
      <c r="H91" s="388">
        <f t="shared" si="3"/>
        <v>44</v>
      </c>
    </row>
    <row r="92" spans="1:9" x14ac:dyDescent="0.35">
      <c r="A92" s="388">
        <f t="shared" si="2"/>
        <v>45</v>
      </c>
      <c r="B92" s="391" t="s">
        <v>133</v>
      </c>
      <c r="C92" s="449"/>
      <c r="D92" s="449"/>
      <c r="E92" s="460">
        <f>E88*E90</f>
        <v>9021.6754023246303</v>
      </c>
      <c r="F92" s="461"/>
      <c r="G92" s="393" t="str">
        <f>"Line "&amp;A88&amp;" * Line "&amp;A90</f>
        <v>Line 41 * Line 43</v>
      </c>
      <c r="H92" s="388">
        <f t="shared" si="3"/>
        <v>45</v>
      </c>
    </row>
    <row r="93" spans="1:9" x14ac:dyDescent="0.35">
      <c r="A93" s="388">
        <f t="shared" si="2"/>
        <v>46</v>
      </c>
      <c r="B93" s="454"/>
      <c r="C93" s="449"/>
      <c r="D93" s="449"/>
      <c r="E93" s="462"/>
      <c r="F93" s="461"/>
      <c r="G93" s="456"/>
      <c r="H93" s="388">
        <f t="shared" si="3"/>
        <v>46</v>
      </c>
    </row>
    <row r="94" spans="1:9" x14ac:dyDescent="0.35">
      <c r="A94" s="388">
        <f t="shared" si="2"/>
        <v>47</v>
      </c>
      <c r="B94" s="391" t="s">
        <v>135</v>
      </c>
      <c r="C94" s="449"/>
      <c r="D94" s="449"/>
      <c r="E94" s="463">
        <v>12682.628375034114</v>
      </c>
      <c r="F94" s="461"/>
      <c r="G94" s="393" t="s">
        <v>136</v>
      </c>
      <c r="H94" s="388">
        <f t="shared" si="3"/>
        <v>47</v>
      </c>
      <c r="I94" s="449"/>
    </row>
    <row r="95" spans="1:9" x14ac:dyDescent="0.35">
      <c r="A95" s="388">
        <f t="shared" si="2"/>
        <v>48</v>
      </c>
      <c r="B95" s="391"/>
      <c r="C95" s="449"/>
      <c r="D95" s="449"/>
      <c r="E95" s="254"/>
      <c r="F95" s="461"/>
      <c r="G95" s="393"/>
      <c r="H95" s="388">
        <f t="shared" si="3"/>
        <v>48</v>
      </c>
    </row>
    <row r="96" spans="1:9" x14ac:dyDescent="0.35">
      <c r="A96" s="388">
        <f t="shared" si="2"/>
        <v>49</v>
      </c>
      <c r="B96" s="391" t="s">
        <v>137</v>
      </c>
      <c r="C96" s="449"/>
      <c r="D96" s="449"/>
      <c r="E96" s="254">
        <f>E92+E94</f>
        <v>21704.303777358742</v>
      </c>
      <c r="F96" s="461"/>
      <c r="G96" s="393" t="str">
        <f>"Line "&amp;A92&amp;" + Line "&amp;A94</f>
        <v>Line 45 + Line 47</v>
      </c>
      <c r="H96" s="388">
        <f t="shared" si="3"/>
        <v>49</v>
      </c>
    </row>
    <row r="97" spans="1:8" x14ac:dyDescent="0.35">
      <c r="A97" s="388">
        <f t="shared" si="2"/>
        <v>50</v>
      </c>
      <c r="B97" s="445"/>
      <c r="C97" s="449"/>
      <c r="D97" s="449"/>
      <c r="E97" s="464"/>
      <c r="F97" s="445"/>
      <c r="G97" s="445"/>
      <c r="H97" s="388">
        <f t="shared" si="3"/>
        <v>50</v>
      </c>
    </row>
    <row r="98" spans="1:8" ht="16" thickBot="1" x14ac:dyDescent="0.4">
      <c r="A98" s="388">
        <f t="shared" si="2"/>
        <v>51</v>
      </c>
      <c r="B98" s="391" t="s">
        <v>139</v>
      </c>
      <c r="C98" s="449"/>
      <c r="D98" s="449"/>
      <c r="E98" s="465">
        <f>E96/E48</f>
        <v>4.0186098632801733E-3</v>
      </c>
      <c r="F98" s="466"/>
      <c r="G98" s="393" t="str">
        <f>"Line "&amp;A96&amp;" / Line "&amp;A48&amp;""</f>
        <v>Line 49 / Line 1</v>
      </c>
      <c r="H98" s="388">
        <f t="shared" si="3"/>
        <v>51</v>
      </c>
    </row>
    <row r="99" spans="1:8" ht="16" thickTop="1" x14ac:dyDescent="0.35">
      <c r="A99" s="394"/>
    </row>
    <row r="100" spans="1:8" x14ac:dyDescent="0.35">
      <c r="A100" s="394"/>
    </row>
    <row r="101" spans="1:8" x14ac:dyDescent="0.35">
      <c r="A101" s="394"/>
    </row>
    <row r="102" spans="1:8" x14ac:dyDescent="0.35">
      <c r="A102" s="394"/>
    </row>
    <row r="103" spans="1:8" x14ac:dyDescent="0.35">
      <c r="A103" s="394"/>
    </row>
    <row r="104" spans="1:8" x14ac:dyDescent="0.35">
      <c r="A104" s="394"/>
    </row>
    <row r="105" spans="1:8" x14ac:dyDescent="0.35">
      <c r="A105" s="394"/>
    </row>
    <row r="106" spans="1:8" x14ac:dyDescent="0.35">
      <c r="A106" s="394"/>
    </row>
    <row r="107" spans="1:8" x14ac:dyDescent="0.35">
      <c r="A107" s="394"/>
    </row>
    <row r="108" spans="1:8" x14ac:dyDescent="0.35">
      <c r="A108" s="394"/>
    </row>
    <row r="109" spans="1:8" x14ac:dyDescent="0.35">
      <c r="A109" s="394"/>
    </row>
    <row r="110" spans="1:8" x14ac:dyDescent="0.35">
      <c r="A110" s="394"/>
    </row>
    <row r="111" spans="1:8" x14ac:dyDescent="0.35">
      <c r="A111" s="394"/>
    </row>
    <row r="112" spans="1:8" x14ac:dyDescent="0.35">
      <c r="A112" s="394"/>
    </row>
    <row r="113" spans="1:1" x14ac:dyDescent="0.35">
      <c r="A113" s="394"/>
    </row>
    <row r="114" spans="1:1" x14ac:dyDescent="0.35">
      <c r="A114" s="394"/>
    </row>
    <row r="115" spans="1:1" x14ac:dyDescent="0.35">
      <c r="A115" s="394"/>
    </row>
    <row r="116" spans="1:1" x14ac:dyDescent="0.35">
      <c r="A116" s="394"/>
    </row>
    <row r="117" spans="1:1" x14ac:dyDescent="0.35">
      <c r="A117" s="394"/>
    </row>
    <row r="118" spans="1:1" x14ac:dyDescent="0.35">
      <c r="A118" s="394"/>
    </row>
    <row r="119" spans="1:1" x14ac:dyDescent="0.35">
      <c r="A119" s="394"/>
    </row>
    <row r="120" spans="1:1" x14ac:dyDescent="0.35">
      <c r="A120" s="394"/>
    </row>
    <row r="121" spans="1:1" x14ac:dyDescent="0.35">
      <c r="A121" s="394"/>
    </row>
    <row r="122" spans="1:1" x14ac:dyDescent="0.35">
      <c r="A122" s="394"/>
    </row>
    <row r="123" spans="1:1" x14ac:dyDescent="0.35">
      <c r="A123" s="394"/>
    </row>
    <row r="124" spans="1:1" x14ac:dyDescent="0.35">
      <c r="A124" s="394"/>
    </row>
    <row r="125" spans="1:1" x14ac:dyDescent="0.35">
      <c r="A125" s="394"/>
    </row>
    <row r="126" spans="1:1" x14ac:dyDescent="0.35">
      <c r="A126" s="394"/>
    </row>
    <row r="127" spans="1:1" x14ac:dyDescent="0.35">
      <c r="A127" s="394"/>
    </row>
    <row r="128" spans="1:1" x14ac:dyDescent="0.35">
      <c r="A128" s="394"/>
    </row>
    <row r="129" spans="1:1" x14ac:dyDescent="0.35">
      <c r="A129" s="394"/>
    </row>
    <row r="130" spans="1:1" x14ac:dyDescent="0.35">
      <c r="A130" s="394"/>
    </row>
    <row r="131" spans="1:1" x14ac:dyDescent="0.35">
      <c r="A131" s="394"/>
    </row>
    <row r="132" spans="1:1" x14ac:dyDescent="0.35">
      <c r="A132" s="394"/>
    </row>
    <row r="133" spans="1:1" x14ac:dyDescent="0.35">
      <c r="A133" s="394"/>
    </row>
    <row r="134" spans="1:1" x14ac:dyDescent="0.35">
      <c r="A134" s="394"/>
    </row>
    <row r="135" spans="1:1" x14ac:dyDescent="0.35">
      <c r="A135" s="394"/>
    </row>
    <row r="136" spans="1:1" x14ac:dyDescent="0.35">
      <c r="A136" s="394"/>
    </row>
    <row r="137" spans="1:1" x14ac:dyDescent="0.35">
      <c r="A137" s="394"/>
    </row>
    <row r="138" spans="1:1" x14ac:dyDescent="0.35">
      <c r="A138" s="394"/>
    </row>
    <row r="139" spans="1:1" x14ac:dyDescent="0.35">
      <c r="A139" s="394"/>
    </row>
    <row r="140" spans="1:1" x14ac:dyDescent="0.35">
      <c r="A140" s="394"/>
    </row>
    <row r="141" spans="1:1" x14ac:dyDescent="0.35">
      <c r="A141" s="394"/>
    </row>
    <row r="142" spans="1:1" x14ac:dyDescent="0.35">
      <c r="A142" s="394"/>
    </row>
    <row r="143" spans="1:1" x14ac:dyDescent="0.35">
      <c r="A143" s="394"/>
    </row>
    <row r="144" spans="1:1" x14ac:dyDescent="0.35">
      <c r="A144" s="394"/>
    </row>
    <row r="145" spans="1:6" x14ac:dyDescent="0.35">
      <c r="A145" s="394"/>
    </row>
    <row r="146" spans="1:6" x14ac:dyDescent="0.35">
      <c r="A146" s="394"/>
    </row>
    <row r="147" spans="1:6" x14ac:dyDescent="0.35">
      <c r="A147" s="394"/>
    </row>
    <row r="148" spans="1:6" x14ac:dyDescent="0.35">
      <c r="A148" s="394"/>
    </row>
    <row r="149" spans="1:6" x14ac:dyDescent="0.35">
      <c r="A149" s="394"/>
    </row>
    <row r="150" spans="1:6" x14ac:dyDescent="0.35">
      <c r="A150" s="394"/>
    </row>
    <row r="151" spans="1:6" x14ac:dyDescent="0.35">
      <c r="A151" s="394"/>
    </row>
    <row r="152" spans="1:6" x14ac:dyDescent="0.35">
      <c r="A152" s="394"/>
    </row>
    <row r="153" spans="1:6" x14ac:dyDescent="0.35">
      <c r="A153" s="394"/>
      <c r="B153" s="385"/>
      <c r="C153" s="385"/>
      <c r="D153" s="385"/>
      <c r="E153" s="385"/>
      <c r="F153" s="385"/>
    </row>
    <row r="154" spans="1:6" x14ac:dyDescent="0.35">
      <c r="A154" s="394"/>
      <c r="B154" s="385"/>
      <c r="C154" s="385"/>
      <c r="D154" s="385"/>
      <c r="E154" s="385"/>
      <c r="F154" s="385"/>
    </row>
    <row r="159" spans="1:6" x14ac:dyDescent="0.35">
      <c r="A159" s="387"/>
      <c r="B159" s="385"/>
      <c r="C159" s="385"/>
      <c r="D159" s="385"/>
      <c r="E159" s="467"/>
      <c r="F159" s="467"/>
    </row>
  </sheetData>
  <mergeCells count="10">
    <mergeCell ref="B40:G40"/>
    <mergeCell ref="B41:G41"/>
    <mergeCell ref="B42:G42"/>
    <mergeCell ref="B43:G43"/>
    <mergeCell ref="B3:G3"/>
    <mergeCell ref="B4:G4"/>
    <mergeCell ref="B5:G5"/>
    <mergeCell ref="B6:G6"/>
    <mergeCell ref="B7:G7"/>
    <mergeCell ref="B39:G39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Roman,Bold"&amp;9AS FILED</oddHeader>
    <oddFooter>&amp;CPage 6.&amp;P&amp;R&amp;F</oddFooter>
  </headerFooter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0EC5-A901-485B-BB5C-15F094ED6230}">
  <sheetPr>
    <pageSetUpPr fitToPage="1"/>
  </sheetPr>
  <dimension ref="A1:J46"/>
  <sheetViews>
    <sheetView zoomScale="80" zoomScaleNormal="80" workbookViewId="0"/>
  </sheetViews>
  <sheetFormatPr defaultColWidth="8.81640625" defaultRowHeight="15.5" x14ac:dyDescent="0.35"/>
  <cols>
    <col min="1" max="1" width="5.1796875" style="36" customWidth="1"/>
    <col min="2" max="2" width="66.81640625" style="18" customWidth="1"/>
    <col min="3" max="3" width="16.81640625" style="18" customWidth="1"/>
    <col min="4" max="4" width="1.81640625" style="18" customWidth="1"/>
    <col min="5" max="5" width="16.81640625" style="18" customWidth="1"/>
    <col min="6" max="6" width="1.81640625" style="18" customWidth="1"/>
    <col min="7" max="7" width="16.81640625" style="18" customWidth="1"/>
    <col min="8" max="8" width="1.54296875" style="18" customWidth="1"/>
    <col min="9" max="9" width="46.1796875" style="18" customWidth="1"/>
    <col min="10" max="10" width="5.1796875" style="36" customWidth="1"/>
    <col min="11" max="16384" width="8.81640625" style="18"/>
  </cols>
  <sheetData>
    <row r="1" spans="1:10" x14ac:dyDescent="0.35">
      <c r="A1" s="161"/>
      <c r="B1" s="385"/>
      <c r="C1" s="385"/>
      <c r="D1" s="385"/>
      <c r="E1" s="385"/>
      <c r="F1" s="385"/>
      <c r="G1" s="385"/>
      <c r="H1" s="385"/>
      <c r="I1" s="769"/>
      <c r="J1" s="161"/>
    </row>
    <row r="2" spans="1:10" x14ac:dyDescent="0.35">
      <c r="A2" s="161"/>
      <c r="B2" s="860" t="s">
        <v>20</v>
      </c>
      <c r="C2" s="860"/>
      <c r="D2" s="860"/>
      <c r="E2" s="860"/>
      <c r="F2" s="860"/>
      <c r="G2" s="860"/>
      <c r="H2" s="860"/>
      <c r="I2" s="860"/>
      <c r="J2" s="161"/>
    </row>
    <row r="3" spans="1:10" x14ac:dyDescent="0.35">
      <c r="B3" s="860" t="s">
        <v>58</v>
      </c>
      <c r="C3" s="860"/>
      <c r="D3" s="860"/>
      <c r="E3" s="860"/>
      <c r="F3" s="860"/>
      <c r="G3" s="860"/>
      <c r="H3" s="860"/>
      <c r="I3" s="860"/>
      <c r="J3" s="770"/>
    </row>
    <row r="4" spans="1:10" x14ac:dyDescent="0.35">
      <c r="B4" s="860" t="s">
        <v>36</v>
      </c>
      <c r="C4" s="860"/>
      <c r="D4" s="860"/>
      <c r="E4" s="860"/>
      <c r="F4" s="860"/>
      <c r="G4" s="860"/>
      <c r="H4" s="860"/>
      <c r="I4" s="860"/>
      <c r="J4" s="770"/>
    </row>
    <row r="5" spans="1:10" x14ac:dyDescent="0.35">
      <c r="B5" s="861" t="s">
        <v>73</v>
      </c>
      <c r="C5" s="861"/>
      <c r="D5" s="861"/>
      <c r="E5" s="861"/>
      <c r="F5" s="861"/>
      <c r="G5" s="861"/>
      <c r="H5" s="861"/>
      <c r="I5" s="861"/>
      <c r="J5" s="770"/>
    </row>
    <row r="6" spans="1:10" x14ac:dyDescent="0.35">
      <c r="B6" s="862" t="s">
        <v>4</v>
      </c>
      <c r="C6" s="862"/>
      <c r="D6" s="862"/>
      <c r="E6" s="862"/>
      <c r="F6" s="862"/>
      <c r="G6" s="862"/>
      <c r="H6" s="862"/>
      <c r="I6" s="862"/>
      <c r="J6" s="771"/>
    </row>
    <row r="7" spans="1:10" x14ac:dyDescent="0.35">
      <c r="B7" s="772"/>
      <c r="C7" s="772"/>
      <c r="D7" s="772"/>
      <c r="E7" s="772"/>
      <c r="F7" s="772"/>
      <c r="G7" s="772"/>
      <c r="H7" s="772"/>
      <c r="I7" s="772"/>
      <c r="J7" s="771"/>
    </row>
    <row r="8" spans="1:10" x14ac:dyDescent="0.35">
      <c r="A8" s="161"/>
      <c r="B8" s="385"/>
      <c r="C8" s="773" t="s">
        <v>293</v>
      </c>
      <c r="D8" s="385"/>
      <c r="E8" s="773" t="s">
        <v>294</v>
      </c>
      <c r="F8" s="769"/>
      <c r="G8" s="773" t="s">
        <v>671</v>
      </c>
      <c r="H8" s="385"/>
      <c r="I8" s="385"/>
      <c r="J8" s="161"/>
    </row>
    <row r="9" spans="1:10" x14ac:dyDescent="0.35">
      <c r="A9" s="161" t="s">
        <v>5</v>
      </c>
      <c r="B9" s="385"/>
      <c r="C9" s="774" t="s">
        <v>299</v>
      </c>
      <c r="D9" s="385"/>
      <c r="E9" s="774" t="s">
        <v>672</v>
      </c>
      <c r="F9" s="385"/>
      <c r="G9" s="385"/>
      <c r="H9" s="385"/>
      <c r="I9" s="385"/>
      <c r="J9" s="161" t="s">
        <v>5</v>
      </c>
    </row>
    <row r="10" spans="1:10" x14ac:dyDescent="0.35">
      <c r="A10" s="161" t="s">
        <v>6</v>
      </c>
      <c r="B10" s="385"/>
      <c r="C10" s="775" t="s">
        <v>673</v>
      </c>
      <c r="D10" s="385"/>
      <c r="E10" s="775" t="s">
        <v>674</v>
      </c>
      <c r="F10" s="385"/>
      <c r="G10" s="775" t="s">
        <v>8</v>
      </c>
      <c r="H10" s="385"/>
      <c r="I10" s="775" t="s">
        <v>9</v>
      </c>
      <c r="J10" s="161" t="s">
        <v>6</v>
      </c>
    </row>
    <row r="11" spans="1:10" x14ac:dyDescent="0.35">
      <c r="A11" s="161"/>
      <c r="B11" s="385"/>
      <c r="C11" s="385"/>
      <c r="D11" s="385"/>
      <c r="E11" s="385"/>
      <c r="F11" s="385"/>
      <c r="G11" s="769"/>
      <c r="H11" s="385"/>
      <c r="I11" s="769"/>
      <c r="J11" s="161"/>
    </row>
    <row r="12" spans="1:10" x14ac:dyDescent="0.35">
      <c r="A12" s="161">
        <v>1</v>
      </c>
      <c r="B12" s="776" t="s">
        <v>675</v>
      </c>
      <c r="C12" s="385"/>
      <c r="D12" s="385"/>
      <c r="E12" s="385"/>
      <c r="F12" s="385"/>
      <c r="G12" s="385"/>
      <c r="H12" s="385"/>
      <c r="I12" s="769"/>
      <c r="J12" s="161">
        <f>A12</f>
        <v>1</v>
      </c>
    </row>
    <row r="13" spans="1:10" x14ac:dyDescent="0.35">
      <c r="A13" s="161">
        <f>A12+1</f>
        <v>2</v>
      </c>
      <c r="B13" s="385"/>
      <c r="C13" s="385"/>
      <c r="D13" s="385"/>
      <c r="E13" s="385"/>
      <c r="F13" s="385"/>
      <c r="G13" s="385"/>
      <c r="H13" s="385"/>
      <c r="I13" s="385"/>
      <c r="J13" s="161">
        <f>J12+1</f>
        <v>2</v>
      </c>
    </row>
    <row r="14" spans="1:10" x14ac:dyDescent="0.35">
      <c r="A14" s="161">
        <f t="shared" ref="A14:A42" si="0">A13+1</f>
        <v>3</v>
      </c>
      <c r="B14" s="777" t="s">
        <v>676</v>
      </c>
      <c r="C14" s="385"/>
      <c r="D14" s="385"/>
      <c r="E14" s="385"/>
      <c r="F14" s="385"/>
      <c r="G14" s="778">
        <v>57.124678355316064</v>
      </c>
      <c r="H14" s="779"/>
      <c r="I14" s="393" t="s">
        <v>677</v>
      </c>
      <c r="J14" s="161">
        <f t="shared" ref="J14:J42" si="1">J13+1</f>
        <v>3</v>
      </c>
    </row>
    <row r="15" spans="1:10" x14ac:dyDescent="0.35">
      <c r="A15" s="161">
        <f t="shared" si="0"/>
        <v>4</v>
      </c>
      <c r="B15" s="777"/>
      <c r="C15" s="385"/>
      <c r="D15" s="385"/>
      <c r="E15" s="385"/>
      <c r="F15" s="385"/>
      <c r="G15" s="780"/>
      <c r="H15" s="385"/>
      <c r="I15" s="385"/>
      <c r="J15" s="161">
        <f t="shared" si="1"/>
        <v>4</v>
      </c>
    </row>
    <row r="16" spans="1:10" x14ac:dyDescent="0.35">
      <c r="A16" s="161">
        <f t="shared" si="0"/>
        <v>5</v>
      </c>
      <c r="B16" s="777" t="s">
        <v>119</v>
      </c>
      <c r="C16" s="385"/>
      <c r="D16" s="385"/>
      <c r="E16" s="385"/>
      <c r="F16" s="385"/>
      <c r="G16" s="820">
        <f>'Pg13 Rev Stmt AV'!G110</f>
        <v>9.9705181226905595E-2</v>
      </c>
      <c r="H16" s="25" t="s">
        <v>34</v>
      </c>
      <c r="I16" s="393" t="s">
        <v>120</v>
      </c>
      <c r="J16" s="161">
        <f t="shared" si="1"/>
        <v>5</v>
      </c>
    </row>
    <row r="17" spans="1:10" x14ac:dyDescent="0.35">
      <c r="A17" s="161">
        <f t="shared" si="0"/>
        <v>6</v>
      </c>
      <c r="B17" s="777"/>
      <c r="C17" s="385"/>
      <c r="D17" s="385"/>
      <c r="E17" s="385"/>
      <c r="F17" s="385"/>
      <c r="G17" s="782"/>
      <c r="H17" s="385"/>
      <c r="I17" s="774"/>
      <c r="J17" s="161">
        <f t="shared" si="1"/>
        <v>6</v>
      </c>
    </row>
    <row r="18" spans="1:10" x14ac:dyDescent="0.35">
      <c r="A18" s="161">
        <f t="shared" si="0"/>
        <v>7</v>
      </c>
      <c r="B18" s="777" t="s">
        <v>678</v>
      </c>
      <c r="C18" s="385"/>
      <c r="D18" s="385"/>
      <c r="E18" s="385"/>
      <c r="F18" s="385"/>
      <c r="G18" s="783">
        <f>G14*G16</f>
        <v>5.6956264079454799</v>
      </c>
      <c r="H18" s="784"/>
      <c r="I18" s="774" t="str">
        <f>"Line "&amp;A14&amp;" x Line "&amp;A16</f>
        <v>Line 3 x Line 5</v>
      </c>
      <c r="J18" s="161">
        <f t="shared" si="1"/>
        <v>7</v>
      </c>
    </row>
    <row r="19" spans="1:10" x14ac:dyDescent="0.35">
      <c r="A19" s="161">
        <f t="shared" si="0"/>
        <v>8</v>
      </c>
      <c r="B19" s="777"/>
      <c r="C19" s="385"/>
      <c r="D19" s="385"/>
      <c r="E19" s="385"/>
      <c r="F19" s="385"/>
      <c r="G19" s="785"/>
      <c r="H19" s="786"/>
      <c r="I19" s="385"/>
      <c r="J19" s="161">
        <f t="shared" si="1"/>
        <v>8</v>
      </c>
    </row>
    <row r="20" spans="1:10" x14ac:dyDescent="0.35">
      <c r="A20" s="161">
        <f t="shared" si="0"/>
        <v>9</v>
      </c>
      <c r="B20" s="787" t="s">
        <v>679</v>
      </c>
      <c r="C20" s="385"/>
      <c r="D20" s="385"/>
      <c r="E20" s="385"/>
      <c r="F20" s="385"/>
      <c r="G20" s="788"/>
      <c r="H20" s="786"/>
      <c r="I20" s="774"/>
      <c r="J20" s="161">
        <f t="shared" si="1"/>
        <v>9</v>
      </c>
    </row>
    <row r="21" spans="1:10" x14ac:dyDescent="0.35">
      <c r="A21" s="161">
        <f t="shared" si="0"/>
        <v>10</v>
      </c>
      <c r="B21" s="789" t="s">
        <v>680</v>
      </c>
      <c r="C21" s="385"/>
      <c r="D21" s="790"/>
      <c r="E21" s="791"/>
      <c r="F21" s="385"/>
      <c r="G21" s="792">
        <v>76.67795653445603</v>
      </c>
      <c r="H21" s="273"/>
      <c r="I21" s="793" t="s">
        <v>695</v>
      </c>
      <c r="J21" s="161">
        <f t="shared" si="1"/>
        <v>10</v>
      </c>
    </row>
    <row r="22" spans="1:10" x14ac:dyDescent="0.35">
      <c r="A22" s="161">
        <f t="shared" si="0"/>
        <v>11</v>
      </c>
      <c r="B22" s="385"/>
      <c r="C22" s="769"/>
      <c r="D22" s="385"/>
      <c r="E22" s="769"/>
      <c r="F22" s="385"/>
      <c r="G22" s="769"/>
      <c r="H22" s="769"/>
      <c r="I22" s="385"/>
      <c r="J22" s="161">
        <f t="shared" si="1"/>
        <v>11</v>
      </c>
    </row>
    <row r="23" spans="1:10" x14ac:dyDescent="0.35">
      <c r="A23" s="161">
        <f t="shared" si="0"/>
        <v>12</v>
      </c>
      <c r="B23" s="776" t="s">
        <v>681</v>
      </c>
      <c r="C23" s="769"/>
      <c r="D23" s="385"/>
      <c r="E23" s="769"/>
      <c r="F23" s="385"/>
      <c r="G23" s="769"/>
      <c r="H23" s="769"/>
      <c r="I23" s="385"/>
      <c r="J23" s="161">
        <f t="shared" si="1"/>
        <v>12</v>
      </c>
    </row>
    <row r="24" spans="1:10" x14ac:dyDescent="0.35">
      <c r="A24" s="161">
        <f t="shared" si="0"/>
        <v>13</v>
      </c>
      <c r="B24" s="794" t="s">
        <v>682</v>
      </c>
      <c r="C24" s="385"/>
      <c r="D24" s="385"/>
      <c r="E24" s="385"/>
      <c r="F24" s="385"/>
      <c r="G24" s="385"/>
      <c r="H24" s="385"/>
      <c r="I24" s="385"/>
      <c r="J24" s="161">
        <f t="shared" si="1"/>
        <v>13</v>
      </c>
    </row>
    <row r="25" spans="1:10" x14ac:dyDescent="0.35">
      <c r="A25" s="161">
        <f t="shared" si="0"/>
        <v>14</v>
      </c>
      <c r="B25" s="385" t="s">
        <v>683</v>
      </c>
      <c r="C25" s="778">
        <v>46971.000010000003</v>
      </c>
      <c r="D25" s="387"/>
      <c r="E25" s="795">
        <v>1.0999999999999999E-2</v>
      </c>
      <c r="F25" s="385"/>
      <c r="G25" s="796">
        <f>C25*E25</f>
        <v>516.68100011000001</v>
      </c>
      <c r="H25" s="797"/>
      <c r="I25" s="774" t="s">
        <v>684</v>
      </c>
      <c r="J25" s="161">
        <f t="shared" si="1"/>
        <v>14</v>
      </c>
    </row>
    <row r="26" spans="1:10" x14ac:dyDescent="0.35">
      <c r="A26" s="161">
        <f t="shared" si="0"/>
        <v>15</v>
      </c>
      <c r="B26" s="385"/>
      <c r="C26" s="796"/>
      <c r="D26" s="387"/>
      <c r="E26" s="798"/>
      <c r="F26" s="385"/>
      <c r="G26" s="796"/>
      <c r="H26" s="797"/>
      <c r="I26" s="774"/>
      <c r="J26" s="161">
        <f t="shared" si="1"/>
        <v>15</v>
      </c>
    </row>
    <row r="27" spans="1:10" x14ac:dyDescent="0.35">
      <c r="A27" s="161">
        <f t="shared" si="0"/>
        <v>16</v>
      </c>
      <c r="B27" s="385" t="s">
        <v>685</v>
      </c>
      <c r="C27" s="799">
        <f>16615.00001</f>
        <v>16615.00001</v>
      </c>
      <c r="D27" s="387"/>
      <c r="E27" s="795">
        <v>1.61E-2</v>
      </c>
      <c r="F27" s="385"/>
      <c r="G27" s="116">
        <f>C27*E27</f>
        <v>267.50150016099997</v>
      </c>
      <c r="H27" s="660"/>
      <c r="I27" s="774" t="s">
        <v>684</v>
      </c>
      <c r="J27" s="161">
        <f t="shared" si="1"/>
        <v>16</v>
      </c>
    </row>
    <row r="28" spans="1:10" x14ac:dyDescent="0.35">
      <c r="A28" s="161">
        <f t="shared" si="0"/>
        <v>17</v>
      </c>
      <c r="B28" s="385"/>
      <c r="C28" s="800"/>
      <c r="D28" s="387"/>
      <c r="E28" s="798"/>
      <c r="F28" s="385"/>
      <c r="G28" s="116"/>
      <c r="H28" s="660"/>
      <c r="I28" s="385"/>
      <c r="J28" s="161">
        <f t="shared" si="1"/>
        <v>17</v>
      </c>
    </row>
    <row r="29" spans="1:10" x14ac:dyDescent="0.35">
      <c r="A29" s="161">
        <f t="shared" si="0"/>
        <v>18</v>
      </c>
      <c r="B29" s="385" t="s">
        <v>686</v>
      </c>
      <c r="C29" s="799">
        <v>19939</v>
      </c>
      <c r="D29" s="387"/>
      <c r="E29" s="801">
        <v>0</v>
      </c>
      <c r="F29" s="385"/>
      <c r="G29" s="116">
        <f>C29*E29</f>
        <v>0</v>
      </c>
      <c r="H29" s="660"/>
      <c r="I29" s="774" t="s">
        <v>684</v>
      </c>
      <c r="J29" s="161">
        <f t="shared" si="1"/>
        <v>18</v>
      </c>
    </row>
    <row r="30" spans="1:10" x14ac:dyDescent="0.35">
      <c r="A30" s="161">
        <f t="shared" si="0"/>
        <v>19</v>
      </c>
      <c r="B30" s="385"/>
      <c r="C30" s="800"/>
      <c r="D30" s="387"/>
      <c r="E30" s="802"/>
      <c r="F30" s="385"/>
      <c r="G30" s="116"/>
      <c r="H30" s="660"/>
      <c r="I30" s="774"/>
      <c r="J30" s="161">
        <f t="shared" si="1"/>
        <v>19</v>
      </c>
    </row>
    <row r="31" spans="1:10" x14ac:dyDescent="0.35">
      <c r="A31" s="161">
        <f t="shared" si="0"/>
        <v>20</v>
      </c>
      <c r="B31" s="385" t="s">
        <v>687</v>
      </c>
      <c r="C31" s="799">
        <v>0</v>
      </c>
      <c r="D31" s="387"/>
      <c r="E31" s="801">
        <v>0</v>
      </c>
      <c r="F31" s="385"/>
      <c r="G31" s="116">
        <f>C31*E31</f>
        <v>0</v>
      </c>
      <c r="H31" s="660"/>
      <c r="I31" s="774" t="s">
        <v>684</v>
      </c>
      <c r="J31" s="161">
        <f t="shared" si="1"/>
        <v>20</v>
      </c>
    </row>
    <row r="32" spans="1:10" x14ac:dyDescent="0.35">
      <c r="A32" s="161">
        <f t="shared" si="0"/>
        <v>21</v>
      </c>
      <c r="B32" s="385"/>
      <c r="C32" s="803"/>
      <c r="D32" s="387"/>
      <c r="E32" s="802"/>
      <c r="F32" s="385"/>
      <c r="G32" s="116"/>
      <c r="H32" s="660"/>
      <c r="I32" s="774"/>
      <c r="J32" s="161">
        <f t="shared" si="1"/>
        <v>21</v>
      </c>
    </row>
    <row r="33" spans="1:10" x14ac:dyDescent="0.35">
      <c r="A33" s="161">
        <f t="shared" si="0"/>
        <v>22</v>
      </c>
      <c r="B33" s="385" t="s">
        <v>688</v>
      </c>
      <c r="C33" s="804">
        <v>1669</v>
      </c>
      <c r="D33" s="387"/>
      <c r="E33" s="805">
        <v>0</v>
      </c>
      <c r="F33" s="385"/>
      <c r="G33" s="806">
        <f>C33*E33</f>
        <v>0</v>
      </c>
      <c r="H33" s="28"/>
      <c r="I33" s="774" t="s">
        <v>684</v>
      </c>
      <c r="J33" s="161">
        <f t="shared" si="1"/>
        <v>22</v>
      </c>
    </row>
    <row r="34" spans="1:10" x14ac:dyDescent="0.35">
      <c r="A34" s="161">
        <f t="shared" si="0"/>
        <v>23</v>
      </c>
      <c r="B34" s="385"/>
      <c r="C34" s="807">
        <f>SUM(C25:C33)</f>
        <v>85194.000020000007</v>
      </c>
      <c r="D34" s="387"/>
      <c r="E34" s="387"/>
      <c r="F34" s="385"/>
      <c r="G34" s="808"/>
      <c r="H34" s="809"/>
      <c r="I34" s="774" t="str">
        <f>"Col. a = Sum Lines "&amp;A25&amp;" thru "&amp;A33</f>
        <v>Col. a = Sum Lines 14 thru 22</v>
      </c>
      <c r="J34" s="161">
        <f t="shared" si="1"/>
        <v>23</v>
      </c>
    </row>
    <row r="35" spans="1:10" x14ac:dyDescent="0.35">
      <c r="A35" s="161">
        <f t="shared" si="0"/>
        <v>24</v>
      </c>
      <c r="B35" s="385"/>
      <c r="C35" s="807"/>
      <c r="D35" s="387"/>
      <c r="E35" s="387"/>
      <c r="F35" s="385"/>
      <c r="G35" s="387"/>
      <c r="H35" s="385"/>
      <c r="I35" s="385"/>
      <c r="J35" s="161">
        <f t="shared" si="1"/>
        <v>24</v>
      </c>
    </row>
    <row r="36" spans="1:10" x14ac:dyDescent="0.35">
      <c r="A36" s="161">
        <f t="shared" si="0"/>
        <v>25</v>
      </c>
      <c r="B36" s="385" t="s">
        <v>689</v>
      </c>
      <c r="C36" s="387"/>
      <c r="D36" s="387"/>
      <c r="E36" s="387"/>
      <c r="F36" s="385"/>
      <c r="G36" s="807">
        <f>SUM(G25:G33)</f>
        <v>784.18250027099998</v>
      </c>
      <c r="H36" s="809"/>
      <c r="I36" s="774" t="str">
        <f>"Sum Lines "&amp;A25&amp;" thru "&amp;A33</f>
        <v>Sum Lines 14 thru 22</v>
      </c>
      <c r="J36" s="161">
        <f t="shared" si="1"/>
        <v>25</v>
      </c>
    </row>
    <row r="37" spans="1:10" x14ac:dyDescent="0.35">
      <c r="A37" s="161">
        <f t="shared" si="0"/>
        <v>26</v>
      </c>
      <c r="B37" s="385"/>
      <c r="C37" s="387"/>
      <c r="D37" s="387"/>
      <c r="E37" s="387"/>
      <c r="F37" s="385"/>
      <c r="G37" s="808"/>
      <c r="H37" s="809"/>
      <c r="I37" s="385"/>
      <c r="J37" s="161">
        <f t="shared" si="1"/>
        <v>26</v>
      </c>
    </row>
    <row r="38" spans="1:10" x14ac:dyDescent="0.35">
      <c r="A38" s="161">
        <f t="shared" si="0"/>
        <v>27</v>
      </c>
      <c r="B38" s="385" t="s">
        <v>82</v>
      </c>
      <c r="C38" s="387"/>
      <c r="D38" s="387"/>
      <c r="E38" s="810">
        <v>1.0274999999999999E-2</v>
      </c>
      <c r="F38" s="385"/>
      <c r="G38" s="811">
        <f>G36*E38</f>
        <v>8.0574751902845243</v>
      </c>
      <c r="H38" s="29"/>
      <c r="I38" s="774" t="str">
        <f>"Line "&amp;A36&amp;" x Franchise Fee Rate"</f>
        <v>Line 25 x Franchise Fee Rate</v>
      </c>
      <c r="J38" s="161">
        <f t="shared" si="1"/>
        <v>27</v>
      </c>
    </row>
    <row r="39" spans="1:10" x14ac:dyDescent="0.35">
      <c r="A39" s="161">
        <f t="shared" si="0"/>
        <v>28</v>
      </c>
      <c r="B39" s="385"/>
      <c r="C39" s="385"/>
      <c r="D39" s="385"/>
      <c r="E39" s="385"/>
      <c r="F39" s="385"/>
      <c r="G39" s="808"/>
      <c r="H39" s="809"/>
      <c r="I39" s="385"/>
      <c r="J39" s="161">
        <f t="shared" si="1"/>
        <v>28</v>
      </c>
    </row>
    <row r="40" spans="1:10" x14ac:dyDescent="0.35">
      <c r="A40" s="161">
        <f t="shared" si="0"/>
        <v>29</v>
      </c>
      <c r="B40" s="385" t="s">
        <v>690</v>
      </c>
      <c r="C40" s="385"/>
      <c r="D40" s="385"/>
      <c r="E40" s="385"/>
      <c r="F40" s="385"/>
      <c r="G40" s="95">
        <f>G36+G38</f>
        <v>792.23997546128453</v>
      </c>
      <c r="H40" s="812"/>
      <c r="I40" s="774" t="str">
        <f>"Line "&amp;A36&amp;" + Line "&amp;A38</f>
        <v>Line 25 + Line 27</v>
      </c>
      <c r="J40" s="161">
        <f t="shared" si="1"/>
        <v>29</v>
      </c>
    </row>
    <row r="41" spans="1:10" x14ac:dyDescent="0.35">
      <c r="A41" s="161">
        <f t="shared" si="0"/>
        <v>30</v>
      </c>
      <c r="B41" s="385"/>
      <c r="C41" s="385"/>
      <c r="D41" s="385"/>
      <c r="E41" s="385"/>
      <c r="F41" s="385"/>
      <c r="G41" s="387"/>
      <c r="H41" s="385"/>
      <c r="I41" s="385"/>
      <c r="J41" s="161">
        <f t="shared" si="1"/>
        <v>30</v>
      </c>
    </row>
    <row r="42" spans="1:10" ht="16" thickBot="1" x14ac:dyDescent="0.4">
      <c r="A42" s="161">
        <f t="shared" si="0"/>
        <v>31</v>
      </c>
      <c r="B42" s="813" t="s">
        <v>691</v>
      </c>
      <c r="C42" s="385"/>
      <c r="D42" s="385"/>
      <c r="E42" s="385"/>
      <c r="F42" s="385"/>
      <c r="G42" s="814">
        <f>G18+G21+G40</f>
        <v>874.61355840368606</v>
      </c>
      <c r="H42" s="815"/>
      <c r="I42" s="774" t="str">
        <f>"Line "&amp;A18&amp;" + Line "&amp;A21&amp;" + Line "&amp;A40&amp;""</f>
        <v>Line 7 + Line 10 + Line 29</v>
      </c>
      <c r="J42" s="161">
        <f t="shared" si="1"/>
        <v>31</v>
      </c>
    </row>
    <row r="43" spans="1:10" ht="16" thickTop="1" x14ac:dyDescent="0.35">
      <c r="A43" s="161"/>
      <c r="B43" s="385"/>
      <c r="C43" s="385"/>
      <c r="D43" s="385"/>
      <c r="E43" s="385"/>
      <c r="F43" s="385"/>
      <c r="G43" s="816"/>
      <c r="H43" s="816"/>
      <c r="I43" s="774"/>
      <c r="J43" s="161"/>
    </row>
    <row r="44" spans="1:10" x14ac:dyDescent="0.35">
      <c r="A44" s="161"/>
      <c r="B44" s="813"/>
      <c r="C44" s="813"/>
      <c r="D44" s="813"/>
      <c r="E44" s="813"/>
      <c r="F44" s="813"/>
      <c r="G44" s="813"/>
      <c r="H44" s="813"/>
      <c r="I44" s="813"/>
      <c r="J44" s="161"/>
    </row>
    <row r="45" spans="1:10" x14ac:dyDescent="0.35">
      <c r="A45" s="25" t="s">
        <v>34</v>
      </c>
      <c r="B45" s="813" t="str">
        <f>'Pg5 Rev B.Sec.2-Non-Direct Exp'!B37</f>
        <v xml:space="preserve">Items in BOLD have changed due to A&amp;G adjustments and removal of CIAC related ADIT per SDG&amp;E's TO5 Cycle 4 Letter Order determination in ER22-527 as compared </v>
      </c>
      <c r="C45" s="813"/>
      <c r="D45" s="813"/>
      <c r="E45" s="813"/>
      <c r="F45" s="813"/>
      <c r="G45" s="813"/>
      <c r="H45" s="813"/>
      <c r="I45" s="813"/>
      <c r="J45" s="161"/>
    </row>
    <row r="46" spans="1:10" x14ac:dyDescent="0.35">
      <c r="A46" s="745"/>
      <c r="B46" s="813" t="str">
        <f>'Pg5 Rev B.Sec.2-Non-Direct Exp'!B38</f>
        <v>to the original Sunrise Appendix X Cycle 10 filing per ER22-139.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Roman,Bold"&amp;9REVISED</oddHeader>
    <oddFooter>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B5AA-1379-4C91-830E-0A95D6AE5116}">
  <sheetPr>
    <pageSetUpPr fitToPage="1"/>
  </sheetPr>
  <dimension ref="A1:J47"/>
  <sheetViews>
    <sheetView zoomScale="80" zoomScaleNormal="80" workbookViewId="0"/>
  </sheetViews>
  <sheetFormatPr defaultColWidth="8.81640625" defaultRowHeight="15.5" x14ac:dyDescent="0.35"/>
  <cols>
    <col min="1" max="1" width="5.1796875" style="36" customWidth="1"/>
    <col min="2" max="2" width="78.1796875" style="18" bestFit="1" customWidth="1"/>
    <col min="3" max="3" width="16.81640625" style="18" customWidth="1"/>
    <col min="4" max="4" width="1.81640625" style="18" customWidth="1"/>
    <col min="5" max="5" width="16.81640625" style="18" customWidth="1"/>
    <col min="6" max="6" width="1.81640625" style="18" customWidth="1"/>
    <col min="7" max="7" width="16.81640625" style="18" customWidth="1"/>
    <col min="8" max="8" width="1.54296875" style="18" customWidth="1"/>
    <col min="9" max="9" width="46.1796875" style="18" customWidth="1"/>
    <col min="10" max="10" width="5.1796875" style="36" customWidth="1"/>
    <col min="11" max="16384" width="8.81640625" style="18"/>
  </cols>
  <sheetData>
    <row r="1" spans="1:10" x14ac:dyDescent="0.35">
      <c r="A1" s="720" t="s">
        <v>650</v>
      </c>
    </row>
    <row r="2" spans="1:10" x14ac:dyDescent="0.35">
      <c r="A2" s="161"/>
      <c r="B2" s="385"/>
      <c r="C2" s="385"/>
      <c r="D2" s="385"/>
      <c r="E2" s="385"/>
      <c r="F2" s="385"/>
      <c r="G2" s="385"/>
      <c r="H2" s="385"/>
      <c r="I2" s="769"/>
      <c r="J2" s="161"/>
    </row>
    <row r="3" spans="1:10" x14ac:dyDescent="0.35">
      <c r="A3" s="161"/>
      <c r="B3" s="860" t="s">
        <v>20</v>
      </c>
      <c r="C3" s="860"/>
      <c r="D3" s="860"/>
      <c r="E3" s="860"/>
      <c r="F3" s="860"/>
      <c r="G3" s="860"/>
      <c r="H3" s="860"/>
      <c r="I3" s="860"/>
      <c r="J3" s="161"/>
    </row>
    <row r="4" spans="1:10" x14ac:dyDescent="0.35">
      <c r="B4" s="860" t="s">
        <v>58</v>
      </c>
      <c r="C4" s="860"/>
      <c r="D4" s="860"/>
      <c r="E4" s="860"/>
      <c r="F4" s="860"/>
      <c r="G4" s="860"/>
      <c r="H4" s="860"/>
      <c r="I4" s="860"/>
      <c r="J4" s="770"/>
    </row>
    <row r="5" spans="1:10" x14ac:dyDescent="0.35">
      <c r="B5" s="860" t="s">
        <v>36</v>
      </c>
      <c r="C5" s="860"/>
      <c r="D5" s="860"/>
      <c r="E5" s="860"/>
      <c r="F5" s="860"/>
      <c r="G5" s="860"/>
      <c r="H5" s="860"/>
      <c r="I5" s="860"/>
      <c r="J5" s="770"/>
    </row>
    <row r="6" spans="1:10" x14ac:dyDescent="0.35">
      <c r="B6" s="861" t="s">
        <v>73</v>
      </c>
      <c r="C6" s="861"/>
      <c r="D6" s="861"/>
      <c r="E6" s="861"/>
      <c r="F6" s="861"/>
      <c r="G6" s="861"/>
      <c r="H6" s="861"/>
      <c r="I6" s="861"/>
      <c r="J6" s="770"/>
    </row>
    <row r="7" spans="1:10" x14ac:dyDescent="0.35">
      <c r="B7" s="862" t="s">
        <v>4</v>
      </c>
      <c r="C7" s="862"/>
      <c r="D7" s="862"/>
      <c r="E7" s="862"/>
      <c r="F7" s="862"/>
      <c r="G7" s="862"/>
      <c r="H7" s="862"/>
      <c r="I7" s="862"/>
      <c r="J7" s="771"/>
    </row>
    <row r="8" spans="1:10" x14ac:dyDescent="0.35">
      <c r="B8" s="772"/>
      <c r="C8" s="772"/>
      <c r="D8" s="772"/>
      <c r="E8" s="772"/>
      <c r="F8" s="772"/>
      <c r="G8" s="772"/>
      <c r="H8" s="772"/>
      <c r="I8" s="772"/>
      <c r="J8" s="771"/>
    </row>
    <row r="9" spans="1:10" x14ac:dyDescent="0.35">
      <c r="A9" s="161"/>
      <c r="B9" s="385"/>
      <c r="C9" s="773" t="s">
        <v>293</v>
      </c>
      <c r="D9" s="385"/>
      <c r="E9" s="773" t="s">
        <v>294</v>
      </c>
      <c r="F9" s="769"/>
      <c r="G9" s="773" t="s">
        <v>671</v>
      </c>
      <c r="H9" s="385"/>
      <c r="I9" s="385"/>
      <c r="J9" s="161"/>
    </row>
    <row r="10" spans="1:10" x14ac:dyDescent="0.35">
      <c r="A10" s="161" t="s">
        <v>5</v>
      </c>
      <c r="B10" s="385"/>
      <c r="C10" s="774" t="s">
        <v>299</v>
      </c>
      <c r="D10" s="385"/>
      <c r="E10" s="774" t="s">
        <v>672</v>
      </c>
      <c r="F10" s="385"/>
      <c r="G10" s="385"/>
      <c r="H10" s="385"/>
      <c r="I10" s="385"/>
      <c r="J10" s="161" t="s">
        <v>5</v>
      </c>
    </row>
    <row r="11" spans="1:10" x14ac:dyDescent="0.35">
      <c r="A11" s="161" t="s">
        <v>6</v>
      </c>
      <c r="B11" s="385"/>
      <c r="C11" s="775" t="s">
        <v>673</v>
      </c>
      <c r="D11" s="385"/>
      <c r="E11" s="775" t="s">
        <v>674</v>
      </c>
      <c r="F11" s="385"/>
      <c r="G11" s="775" t="s">
        <v>8</v>
      </c>
      <c r="H11" s="385"/>
      <c r="I11" s="775" t="s">
        <v>9</v>
      </c>
      <c r="J11" s="161" t="s">
        <v>6</v>
      </c>
    </row>
    <row r="12" spans="1:10" x14ac:dyDescent="0.35">
      <c r="A12" s="161"/>
      <c r="B12" s="385"/>
      <c r="C12" s="385"/>
      <c r="D12" s="385"/>
      <c r="E12" s="385"/>
      <c r="F12" s="385"/>
      <c r="G12" s="769"/>
      <c r="H12" s="385"/>
      <c r="I12" s="769"/>
      <c r="J12" s="161"/>
    </row>
    <row r="13" spans="1:10" x14ac:dyDescent="0.35">
      <c r="A13" s="161">
        <v>1</v>
      </c>
      <c r="B13" s="776" t="s">
        <v>675</v>
      </c>
      <c r="C13" s="385"/>
      <c r="D13" s="385"/>
      <c r="E13" s="385"/>
      <c r="F13" s="385"/>
      <c r="G13" s="385"/>
      <c r="H13" s="385"/>
      <c r="I13" s="769"/>
      <c r="J13" s="161">
        <f>A13</f>
        <v>1</v>
      </c>
    </row>
    <row r="14" spans="1:10" x14ac:dyDescent="0.35">
      <c r="A14" s="161">
        <f>A13+1</f>
        <v>2</v>
      </c>
      <c r="B14" s="385"/>
      <c r="C14" s="385"/>
      <c r="D14" s="385"/>
      <c r="E14" s="385"/>
      <c r="F14" s="385"/>
      <c r="G14" s="385"/>
      <c r="H14" s="385"/>
      <c r="I14" s="385"/>
      <c r="J14" s="161">
        <f>J13+1</f>
        <v>2</v>
      </c>
    </row>
    <row r="15" spans="1:10" x14ac:dyDescent="0.35">
      <c r="A15" s="161">
        <f t="shared" ref="A15:A43" si="0">A14+1</f>
        <v>3</v>
      </c>
      <c r="B15" s="777" t="s">
        <v>676</v>
      </c>
      <c r="C15" s="385"/>
      <c r="D15" s="385"/>
      <c r="E15" s="385"/>
      <c r="F15" s="385"/>
      <c r="G15" s="778">
        <v>57.124678355316064</v>
      </c>
      <c r="H15" s="779"/>
      <c r="I15" s="393" t="s">
        <v>677</v>
      </c>
      <c r="J15" s="161">
        <f t="shared" ref="J15:J43" si="1">J14+1</f>
        <v>3</v>
      </c>
    </row>
    <row r="16" spans="1:10" x14ac:dyDescent="0.35">
      <c r="A16" s="161">
        <f t="shared" si="0"/>
        <v>4</v>
      </c>
      <c r="B16" s="777"/>
      <c r="C16" s="385"/>
      <c r="D16" s="385"/>
      <c r="E16" s="385"/>
      <c r="F16" s="385"/>
      <c r="G16" s="780"/>
      <c r="H16" s="385"/>
      <c r="I16" s="385"/>
      <c r="J16" s="161">
        <f t="shared" si="1"/>
        <v>4</v>
      </c>
    </row>
    <row r="17" spans="1:10" x14ac:dyDescent="0.35">
      <c r="A17" s="161">
        <f t="shared" si="0"/>
        <v>5</v>
      </c>
      <c r="B17" s="777" t="s">
        <v>119</v>
      </c>
      <c r="C17" s="385"/>
      <c r="D17" s="385"/>
      <c r="E17" s="385"/>
      <c r="F17" s="385"/>
      <c r="G17" s="781">
        <f>'Pg14 As Filed Stmt AV'!G111</f>
        <v>9.9897182197798071E-2</v>
      </c>
      <c r="H17" s="385"/>
      <c r="I17" s="393" t="s">
        <v>120</v>
      </c>
      <c r="J17" s="161">
        <f t="shared" si="1"/>
        <v>5</v>
      </c>
    </row>
    <row r="18" spans="1:10" x14ac:dyDescent="0.35">
      <c r="A18" s="161">
        <f t="shared" si="0"/>
        <v>6</v>
      </c>
      <c r="B18" s="777"/>
      <c r="C18" s="385"/>
      <c r="D18" s="385"/>
      <c r="E18" s="385"/>
      <c r="F18" s="385"/>
      <c r="G18" s="782"/>
      <c r="H18" s="385"/>
      <c r="I18" s="774"/>
      <c r="J18" s="161">
        <f t="shared" si="1"/>
        <v>6</v>
      </c>
    </row>
    <row r="19" spans="1:10" x14ac:dyDescent="0.35">
      <c r="A19" s="161">
        <f t="shared" si="0"/>
        <v>7</v>
      </c>
      <c r="B19" s="777" t="s">
        <v>678</v>
      </c>
      <c r="C19" s="385"/>
      <c r="D19" s="385"/>
      <c r="E19" s="385"/>
      <c r="F19" s="385"/>
      <c r="G19" s="783">
        <f>G15*G17</f>
        <v>5.7065944016516204</v>
      </c>
      <c r="H19" s="784"/>
      <c r="I19" s="774" t="str">
        <f>"Line "&amp;A15&amp;" x Line "&amp;A17</f>
        <v>Line 3 x Line 5</v>
      </c>
      <c r="J19" s="161">
        <f t="shared" si="1"/>
        <v>7</v>
      </c>
    </row>
    <row r="20" spans="1:10" x14ac:dyDescent="0.35">
      <c r="A20" s="161">
        <f t="shared" si="0"/>
        <v>8</v>
      </c>
      <c r="B20" s="777"/>
      <c r="C20" s="385"/>
      <c r="D20" s="385"/>
      <c r="E20" s="385"/>
      <c r="F20" s="385"/>
      <c r="G20" s="785"/>
      <c r="H20" s="786"/>
      <c r="I20" s="385"/>
      <c r="J20" s="161">
        <f t="shared" si="1"/>
        <v>8</v>
      </c>
    </row>
    <row r="21" spans="1:10" x14ac:dyDescent="0.35">
      <c r="A21" s="161">
        <f t="shared" si="0"/>
        <v>9</v>
      </c>
      <c r="B21" s="787" t="s">
        <v>679</v>
      </c>
      <c r="C21" s="385"/>
      <c r="D21" s="385"/>
      <c r="E21" s="385"/>
      <c r="F21" s="385"/>
      <c r="G21" s="788"/>
      <c r="H21" s="786"/>
      <c r="I21" s="774"/>
      <c r="J21" s="161">
        <f t="shared" si="1"/>
        <v>9</v>
      </c>
    </row>
    <row r="22" spans="1:10" x14ac:dyDescent="0.35">
      <c r="A22" s="161">
        <f t="shared" si="0"/>
        <v>10</v>
      </c>
      <c r="B22" s="789" t="s">
        <v>680</v>
      </c>
      <c r="C22" s="385"/>
      <c r="D22" s="790"/>
      <c r="E22" s="791"/>
      <c r="F22" s="385"/>
      <c r="G22" s="792">
        <v>76.67795653445603</v>
      </c>
      <c r="H22" s="273"/>
      <c r="I22" s="793" t="s">
        <v>695</v>
      </c>
      <c r="J22" s="161">
        <f t="shared" si="1"/>
        <v>10</v>
      </c>
    </row>
    <row r="23" spans="1:10" x14ac:dyDescent="0.35">
      <c r="A23" s="161">
        <f t="shared" si="0"/>
        <v>11</v>
      </c>
      <c r="B23" s="385"/>
      <c r="C23" s="769"/>
      <c r="D23" s="385"/>
      <c r="E23" s="769"/>
      <c r="F23" s="385"/>
      <c r="G23" s="769"/>
      <c r="H23" s="769"/>
      <c r="I23" s="385"/>
      <c r="J23" s="161">
        <f t="shared" si="1"/>
        <v>11</v>
      </c>
    </row>
    <row r="24" spans="1:10" x14ac:dyDescent="0.35">
      <c r="A24" s="161">
        <f t="shared" si="0"/>
        <v>12</v>
      </c>
      <c r="B24" s="776" t="s">
        <v>681</v>
      </c>
      <c r="C24" s="769"/>
      <c r="D24" s="385"/>
      <c r="E24" s="769"/>
      <c r="F24" s="385"/>
      <c r="G24" s="769"/>
      <c r="H24" s="769"/>
      <c r="I24" s="385"/>
      <c r="J24" s="161">
        <f t="shared" si="1"/>
        <v>12</v>
      </c>
    </row>
    <row r="25" spans="1:10" x14ac:dyDescent="0.35">
      <c r="A25" s="161">
        <f t="shared" si="0"/>
        <v>13</v>
      </c>
      <c r="B25" s="794" t="s">
        <v>682</v>
      </c>
      <c r="C25" s="385"/>
      <c r="D25" s="385"/>
      <c r="E25" s="385"/>
      <c r="F25" s="385"/>
      <c r="G25" s="385"/>
      <c r="H25" s="385"/>
      <c r="I25" s="385"/>
      <c r="J25" s="161">
        <f t="shared" si="1"/>
        <v>13</v>
      </c>
    </row>
    <row r="26" spans="1:10" x14ac:dyDescent="0.35">
      <c r="A26" s="161">
        <f t="shared" si="0"/>
        <v>14</v>
      </c>
      <c r="B26" s="385" t="s">
        <v>683</v>
      </c>
      <c r="C26" s="778">
        <v>46971.000010000003</v>
      </c>
      <c r="D26" s="387"/>
      <c r="E26" s="795">
        <v>1.0999999999999999E-2</v>
      </c>
      <c r="F26" s="385"/>
      <c r="G26" s="796">
        <f>C26*E26</f>
        <v>516.68100011000001</v>
      </c>
      <c r="H26" s="797"/>
      <c r="I26" s="774" t="s">
        <v>684</v>
      </c>
      <c r="J26" s="161">
        <f t="shared" si="1"/>
        <v>14</v>
      </c>
    </row>
    <row r="27" spans="1:10" x14ac:dyDescent="0.35">
      <c r="A27" s="161">
        <f t="shared" si="0"/>
        <v>15</v>
      </c>
      <c r="B27" s="385"/>
      <c r="C27" s="796"/>
      <c r="D27" s="387"/>
      <c r="E27" s="798"/>
      <c r="F27" s="385"/>
      <c r="G27" s="796"/>
      <c r="H27" s="797"/>
      <c r="I27" s="774"/>
      <c r="J27" s="161">
        <f t="shared" si="1"/>
        <v>15</v>
      </c>
    </row>
    <row r="28" spans="1:10" x14ac:dyDescent="0.35">
      <c r="A28" s="161">
        <f t="shared" si="0"/>
        <v>16</v>
      </c>
      <c r="B28" s="385" t="s">
        <v>685</v>
      </c>
      <c r="C28" s="799">
        <f>16615.00001</f>
        <v>16615.00001</v>
      </c>
      <c r="D28" s="387"/>
      <c r="E28" s="795">
        <v>1.61E-2</v>
      </c>
      <c r="F28" s="385"/>
      <c r="G28" s="116">
        <f>C28*E28</f>
        <v>267.50150016099997</v>
      </c>
      <c r="H28" s="660"/>
      <c r="I28" s="774" t="s">
        <v>684</v>
      </c>
      <c r="J28" s="161">
        <f t="shared" si="1"/>
        <v>16</v>
      </c>
    </row>
    <row r="29" spans="1:10" x14ac:dyDescent="0.35">
      <c r="A29" s="161">
        <f t="shared" si="0"/>
        <v>17</v>
      </c>
      <c r="B29" s="385"/>
      <c r="C29" s="800"/>
      <c r="D29" s="387"/>
      <c r="E29" s="798"/>
      <c r="F29" s="385"/>
      <c r="G29" s="116"/>
      <c r="H29" s="660"/>
      <c r="I29" s="385"/>
      <c r="J29" s="161">
        <f t="shared" si="1"/>
        <v>17</v>
      </c>
    </row>
    <row r="30" spans="1:10" x14ac:dyDescent="0.35">
      <c r="A30" s="161">
        <f t="shared" si="0"/>
        <v>18</v>
      </c>
      <c r="B30" s="385" t="s">
        <v>686</v>
      </c>
      <c r="C30" s="799">
        <v>19939</v>
      </c>
      <c r="D30" s="387"/>
      <c r="E30" s="801">
        <v>0</v>
      </c>
      <c r="F30" s="385"/>
      <c r="G30" s="116">
        <f>C30*E30</f>
        <v>0</v>
      </c>
      <c r="H30" s="660"/>
      <c r="I30" s="774" t="s">
        <v>684</v>
      </c>
      <c r="J30" s="161">
        <f t="shared" si="1"/>
        <v>18</v>
      </c>
    </row>
    <row r="31" spans="1:10" x14ac:dyDescent="0.35">
      <c r="A31" s="161">
        <f t="shared" si="0"/>
        <v>19</v>
      </c>
      <c r="B31" s="385"/>
      <c r="C31" s="800"/>
      <c r="D31" s="387"/>
      <c r="E31" s="802"/>
      <c r="F31" s="385"/>
      <c r="G31" s="116"/>
      <c r="H31" s="660"/>
      <c r="I31" s="774"/>
      <c r="J31" s="161">
        <f t="shared" si="1"/>
        <v>19</v>
      </c>
    </row>
    <row r="32" spans="1:10" x14ac:dyDescent="0.35">
      <c r="A32" s="161">
        <f t="shared" si="0"/>
        <v>20</v>
      </c>
      <c r="B32" s="385" t="s">
        <v>687</v>
      </c>
      <c r="C32" s="799">
        <v>0</v>
      </c>
      <c r="D32" s="387"/>
      <c r="E32" s="801">
        <v>0</v>
      </c>
      <c r="F32" s="385"/>
      <c r="G32" s="116">
        <f>C32*E32</f>
        <v>0</v>
      </c>
      <c r="H32" s="660"/>
      <c r="I32" s="774" t="s">
        <v>684</v>
      </c>
      <c r="J32" s="161">
        <f t="shared" si="1"/>
        <v>20</v>
      </c>
    </row>
    <row r="33" spans="1:10" x14ac:dyDescent="0.35">
      <c r="A33" s="161">
        <f t="shared" si="0"/>
        <v>21</v>
      </c>
      <c r="B33" s="385"/>
      <c r="C33" s="803"/>
      <c r="D33" s="387"/>
      <c r="E33" s="802"/>
      <c r="F33" s="385"/>
      <c r="G33" s="116"/>
      <c r="H33" s="660"/>
      <c r="I33" s="774"/>
      <c r="J33" s="161">
        <f t="shared" si="1"/>
        <v>21</v>
      </c>
    </row>
    <row r="34" spans="1:10" x14ac:dyDescent="0.35">
      <c r="A34" s="161">
        <f t="shared" si="0"/>
        <v>22</v>
      </c>
      <c r="B34" s="385" t="s">
        <v>688</v>
      </c>
      <c r="C34" s="804">
        <v>1669</v>
      </c>
      <c r="D34" s="387"/>
      <c r="E34" s="805">
        <v>0</v>
      </c>
      <c r="F34" s="385"/>
      <c r="G34" s="806">
        <f>C34*E34</f>
        <v>0</v>
      </c>
      <c r="H34" s="28"/>
      <c r="I34" s="774" t="s">
        <v>684</v>
      </c>
      <c r="J34" s="161">
        <f t="shared" si="1"/>
        <v>22</v>
      </c>
    </row>
    <row r="35" spans="1:10" x14ac:dyDescent="0.35">
      <c r="A35" s="161">
        <f t="shared" si="0"/>
        <v>23</v>
      </c>
      <c r="B35" s="385"/>
      <c r="C35" s="807">
        <f>SUM(C26:C34)</f>
        <v>85194.000020000007</v>
      </c>
      <c r="D35" s="387"/>
      <c r="E35" s="387"/>
      <c r="F35" s="385"/>
      <c r="G35" s="808"/>
      <c r="H35" s="809"/>
      <c r="I35" s="774" t="str">
        <f>"Col. a = Sum Lines "&amp;A26&amp;" thru "&amp;A34</f>
        <v>Col. a = Sum Lines 14 thru 22</v>
      </c>
      <c r="J35" s="161">
        <f t="shared" si="1"/>
        <v>23</v>
      </c>
    </row>
    <row r="36" spans="1:10" x14ac:dyDescent="0.35">
      <c r="A36" s="161">
        <f t="shared" si="0"/>
        <v>24</v>
      </c>
      <c r="B36" s="385"/>
      <c r="C36" s="807"/>
      <c r="D36" s="387"/>
      <c r="E36" s="387"/>
      <c r="F36" s="385"/>
      <c r="G36" s="387"/>
      <c r="H36" s="385"/>
      <c r="I36" s="385"/>
      <c r="J36" s="161">
        <f t="shared" si="1"/>
        <v>24</v>
      </c>
    </row>
    <row r="37" spans="1:10" x14ac:dyDescent="0.35">
      <c r="A37" s="161">
        <f t="shared" si="0"/>
        <v>25</v>
      </c>
      <c r="B37" s="385" t="s">
        <v>689</v>
      </c>
      <c r="C37" s="387"/>
      <c r="D37" s="387"/>
      <c r="E37" s="387"/>
      <c r="F37" s="385"/>
      <c r="G37" s="807">
        <f>SUM(G26:G34)</f>
        <v>784.18250027099998</v>
      </c>
      <c r="H37" s="809"/>
      <c r="I37" s="774" t="str">
        <f>"Sum Lines "&amp;A26&amp;" thru "&amp;A34</f>
        <v>Sum Lines 14 thru 22</v>
      </c>
      <c r="J37" s="161">
        <f t="shared" si="1"/>
        <v>25</v>
      </c>
    </row>
    <row r="38" spans="1:10" x14ac:dyDescent="0.35">
      <c r="A38" s="161">
        <f t="shared" si="0"/>
        <v>26</v>
      </c>
      <c r="B38" s="385"/>
      <c r="C38" s="387"/>
      <c r="D38" s="387"/>
      <c r="E38" s="387"/>
      <c r="F38" s="385"/>
      <c r="G38" s="808"/>
      <c r="H38" s="809"/>
      <c r="I38" s="385"/>
      <c r="J38" s="161">
        <f t="shared" si="1"/>
        <v>26</v>
      </c>
    </row>
    <row r="39" spans="1:10" x14ac:dyDescent="0.35">
      <c r="A39" s="161">
        <f t="shared" si="0"/>
        <v>27</v>
      </c>
      <c r="B39" s="385" t="s">
        <v>82</v>
      </c>
      <c r="C39" s="387"/>
      <c r="D39" s="387"/>
      <c r="E39" s="810">
        <v>1.0274999999999999E-2</v>
      </c>
      <c r="F39" s="385"/>
      <c r="G39" s="811">
        <f>G37*E39</f>
        <v>8.0574751902845243</v>
      </c>
      <c r="H39" s="29"/>
      <c r="I39" s="774" t="str">
        <f>"Line "&amp;A37&amp;" x Franchise Fee Rate"</f>
        <v>Line 25 x Franchise Fee Rate</v>
      </c>
      <c r="J39" s="161">
        <f t="shared" si="1"/>
        <v>27</v>
      </c>
    </row>
    <row r="40" spans="1:10" x14ac:dyDescent="0.35">
      <c r="A40" s="161">
        <f t="shared" si="0"/>
        <v>28</v>
      </c>
      <c r="B40" s="385"/>
      <c r="C40" s="385"/>
      <c r="D40" s="385"/>
      <c r="E40" s="385"/>
      <c r="F40" s="385"/>
      <c r="G40" s="808"/>
      <c r="H40" s="809"/>
      <c r="I40" s="385"/>
      <c r="J40" s="161">
        <f t="shared" si="1"/>
        <v>28</v>
      </c>
    </row>
    <row r="41" spans="1:10" x14ac:dyDescent="0.35">
      <c r="A41" s="161">
        <f t="shared" si="0"/>
        <v>29</v>
      </c>
      <c r="B41" s="385" t="s">
        <v>690</v>
      </c>
      <c r="C41" s="385"/>
      <c r="D41" s="385"/>
      <c r="E41" s="385"/>
      <c r="F41" s="385"/>
      <c r="G41" s="95">
        <f>G37+G39</f>
        <v>792.23997546128453</v>
      </c>
      <c r="H41" s="812"/>
      <c r="I41" s="774" t="str">
        <f>"Line "&amp;A37&amp;" + Line "&amp;A39</f>
        <v>Line 25 + Line 27</v>
      </c>
      <c r="J41" s="161">
        <f t="shared" si="1"/>
        <v>29</v>
      </c>
    </row>
    <row r="42" spans="1:10" x14ac:dyDescent="0.35">
      <c r="A42" s="161">
        <f t="shared" si="0"/>
        <v>30</v>
      </c>
      <c r="B42" s="385"/>
      <c r="C42" s="385"/>
      <c r="D42" s="385"/>
      <c r="E42" s="385"/>
      <c r="F42" s="385"/>
      <c r="G42" s="387"/>
      <c r="H42" s="385"/>
      <c r="I42" s="385"/>
      <c r="J42" s="161">
        <f t="shared" si="1"/>
        <v>30</v>
      </c>
    </row>
    <row r="43" spans="1:10" ht="16" thickBot="1" x14ac:dyDescent="0.4">
      <c r="A43" s="161">
        <f t="shared" si="0"/>
        <v>31</v>
      </c>
      <c r="B43" s="813" t="s">
        <v>691</v>
      </c>
      <c r="C43" s="385"/>
      <c r="D43" s="385"/>
      <c r="E43" s="385"/>
      <c r="F43" s="385"/>
      <c r="G43" s="814">
        <f>G19+G22+G41</f>
        <v>874.62452639739217</v>
      </c>
      <c r="H43" s="815"/>
      <c r="I43" s="774" t="str">
        <f>"Line "&amp;A19&amp;" + Line "&amp;A22&amp;" + Line "&amp;A41&amp;""</f>
        <v>Line 7 + Line 10 + Line 29</v>
      </c>
      <c r="J43" s="161">
        <f t="shared" si="1"/>
        <v>31</v>
      </c>
    </row>
    <row r="44" spans="1:10" ht="16" thickTop="1" x14ac:dyDescent="0.35">
      <c r="A44" s="161"/>
      <c r="B44" s="385"/>
      <c r="C44" s="385"/>
      <c r="D44" s="385"/>
      <c r="E44" s="385"/>
      <c r="F44" s="385"/>
      <c r="G44" s="816"/>
      <c r="H44" s="816"/>
      <c r="I44" s="774"/>
      <c r="J44" s="161"/>
    </row>
    <row r="45" spans="1:10" x14ac:dyDescent="0.35">
      <c r="A45" s="161"/>
      <c r="B45" s="813"/>
      <c r="C45" s="813"/>
      <c r="D45" s="813"/>
      <c r="E45" s="813"/>
      <c r="F45" s="813"/>
      <c r="G45" s="813"/>
      <c r="H45" s="813"/>
      <c r="I45" s="813"/>
      <c r="J45" s="161"/>
    </row>
    <row r="46" spans="1:10" ht="18" x14ac:dyDescent="0.35">
      <c r="A46" s="817"/>
      <c r="B46" s="818"/>
      <c r="C46" s="813"/>
      <c r="D46" s="813"/>
      <c r="E46" s="813"/>
      <c r="F46" s="813"/>
      <c r="G46" s="813"/>
      <c r="H46" s="813"/>
      <c r="I46" s="813"/>
      <c r="J46" s="161"/>
    </row>
    <row r="47" spans="1:10" x14ac:dyDescent="0.35">
      <c r="A47" s="819"/>
      <c r="B47" s="818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Roman,Bold"&amp;9AS FILED</oddHeader>
    <oddFooter>&amp;CPage 7.1&amp;R&amp;F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S43"/>
  <sheetViews>
    <sheetView zoomScale="80" zoomScaleNormal="80" workbookViewId="0"/>
  </sheetViews>
  <sheetFormatPr defaultColWidth="9.1796875" defaultRowHeight="15.5" x14ac:dyDescent="0.35"/>
  <cols>
    <col min="1" max="1" width="5.1796875" style="36" customWidth="1"/>
    <col min="2" max="2" width="12.54296875" style="37" customWidth="1"/>
    <col min="3" max="3" width="20" style="37" customWidth="1"/>
    <col min="4" max="7" width="21.54296875" style="37" customWidth="1"/>
    <col min="8" max="8" width="22.81640625" style="37" bestFit="1" customWidth="1"/>
    <col min="9" max="11" width="21.54296875" style="37" customWidth="1"/>
    <col min="12" max="12" width="1.81640625" style="37" customWidth="1"/>
    <col min="13" max="14" width="21.54296875" style="37" customWidth="1"/>
    <col min="15" max="15" width="1.81640625" style="37" customWidth="1"/>
    <col min="16" max="16" width="5.1796875" style="36" customWidth="1"/>
    <col min="17" max="17" width="13.54296875" style="37" customWidth="1"/>
    <col min="18" max="18" width="12.54296875" style="37" customWidth="1"/>
    <col min="19" max="16384" width="9.1796875" style="37"/>
  </cols>
  <sheetData>
    <row r="1" spans="1:16" x14ac:dyDescent="0.35">
      <c r="I1" s="601"/>
      <c r="N1" s="38"/>
      <c r="O1" s="38"/>
    </row>
    <row r="2" spans="1:16" x14ac:dyDescent="0.35">
      <c r="B2" s="863" t="s">
        <v>20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  <c r="P2" s="863"/>
    </row>
    <row r="3" spans="1:16" x14ac:dyDescent="0.3">
      <c r="B3" s="853" t="s">
        <v>58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  <c r="P3" s="853"/>
    </row>
    <row r="4" spans="1:16" x14ac:dyDescent="0.3">
      <c r="B4" s="853" t="s">
        <v>143</v>
      </c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</row>
    <row r="5" spans="1:16" x14ac:dyDescent="0.3">
      <c r="B5" s="864" t="s">
        <v>144</v>
      </c>
      <c r="C5" s="864"/>
      <c r="D5" s="864"/>
      <c r="E5" s="864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</row>
    <row r="6" spans="1:16" x14ac:dyDescent="0.35">
      <c r="B6" s="865" t="s">
        <v>4</v>
      </c>
      <c r="C6" s="865"/>
      <c r="D6" s="865"/>
      <c r="E6" s="865"/>
      <c r="F6" s="865"/>
      <c r="G6" s="865"/>
      <c r="H6" s="865"/>
      <c r="I6" s="865"/>
      <c r="J6" s="865"/>
      <c r="K6" s="865"/>
      <c r="L6" s="865"/>
      <c r="M6" s="865"/>
      <c r="N6" s="865"/>
      <c r="O6" s="632"/>
      <c r="P6" s="364"/>
    </row>
    <row r="7" spans="1:16" x14ac:dyDescent="0.35">
      <c r="A7" s="364"/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</row>
    <row r="8" spans="1:16" x14ac:dyDescent="0.35">
      <c r="A8" s="36" t="s">
        <v>5</v>
      </c>
      <c r="B8" s="53"/>
      <c r="E8" s="43"/>
      <c r="F8" s="133"/>
      <c r="G8" s="133"/>
      <c r="P8" s="36" t="s">
        <v>5</v>
      </c>
    </row>
    <row r="9" spans="1:16" x14ac:dyDescent="0.35">
      <c r="A9" s="36" t="s">
        <v>6</v>
      </c>
      <c r="B9" s="53"/>
      <c r="E9" s="43"/>
      <c r="F9" s="133"/>
      <c r="G9" s="133"/>
      <c r="P9" s="36" t="s">
        <v>6</v>
      </c>
    </row>
    <row r="10" spans="1:16" x14ac:dyDescent="0.35">
      <c r="A10" s="36">
        <v>1</v>
      </c>
      <c r="D10" s="25"/>
      <c r="E10" s="43"/>
      <c r="I10" s="25"/>
      <c r="J10" s="285"/>
      <c r="K10" s="25"/>
      <c r="L10" s="25"/>
      <c r="M10" s="25"/>
      <c r="N10" s="25"/>
      <c r="O10" s="25"/>
      <c r="P10" s="36">
        <v>1</v>
      </c>
    </row>
    <row r="11" spans="1:16" x14ac:dyDescent="0.35">
      <c r="A11" s="36">
        <f t="shared" ref="A11:A31" si="0">A10+1</f>
        <v>2</v>
      </c>
      <c r="C11" s="286" t="s">
        <v>145</v>
      </c>
      <c r="D11" s="286" t="s">
        <v>146</v>
      </c>
      <c r="E11" s="286" t="s">
        <v>147</v>
      </c>
      <c r="F11" s="286" t="s">
        <v>148</v>
      </c>
      <c r="G11" s="286" t="s">
        <v>149</v>
      </c>
      <c r="H11" s="286" t="s">
        <v>150</v>
      </c>
      <c r="I11" s="286" t="s">
        <v>151</v>
      </c>
      <c r="J11" s="286" t="s">
        <v>152</v>
      </c>
      <c r="K11" s="286" t="s">
        <v>153</v>
      </c>
      <c r="L11" s="286"/>
      <c r="M11" s="286" t="s">
        <v>154</v>
      </c>
      <c r="N11" s="286" t="s">
        <v>155</v>
      </c>
      <c r="O11" s="286"/>
      <c r="P11" s="36">
        <f t="shared" ref="P11:P31" si="1">P10+1</f>
        <v>2</v>
      </c>
    </row>
    <row r="12" spans="1:16" x14ac:dyDescent="0.35">
      <c r="A12" s="36">
        <f t="shared" si="0"/>
        <v>3</v>
      </c>
      <c r="B12" s="43" t="s">
        <v>156</v>
      </c>
      <c r="C12" s="36"/>
      <c r="D12" s="36"/>
      <c r="E12" s="36"/>
      <c r="F12" s="36" t="str">
        <f>"= "&amp;F11&amp;"; Line "&amp;A31&amp;" / 12"</f>
        <v>= Col. 4; Line 22 / 12</v>
      </c>
      <c r="G12" s="36"/>
      <c r="H12" s="68" t="str">
        <f>"= Sum "&amp;E11&amp;" thru "&amp;G11</f>
        <v>= Sum Col. 3 thru Col. 5</v>
      </c>
      <c r="I12" s="68" t="str">
        <f>"= "&amp;D11&amp;" - "&amp;H11</f>
        <v>= Col. 2 - Col. 6</v>
      </c>
      <c r="J12" s="36"/>
      <c r="K12" s="36" t="str">
        <f>"See Footnote "&amp;A42</f>
        <v>See Footnote 6</v>
      </c>
      <c r="L12" s="36"/>
      <c r="M12" s="36" t="str">
        <f>"See Footnote "&amp;A43</f>
        <v>See Footnote 7</v>
      </c>
      <c r="N12" s="68" t="str">
        <f>"= "&amp;K11&amp;" + "&amp;M11</f>
        <v>= Col. 9 + Col. 10</v>
      </c>
      <c r="O12" s="68"/>
      <c r="P12" s="36">
        <f t="shared" si="1"/>
        <v>3</v>
      </c>
    </row>
    <row r="13" spans="1:16" x14ac:dyDescent="0.35">
      <c r="A13" s="36">
        <f t="shared" si="0"/>
        <v>4</v>
      </c>
      <c r="B13" s="43"/>
      <c r="C13" s="36"/>
      <c r="D13" s="36"/>
      <c r="E13" s="36"/>
      <c r="F13" s="36"/>
      <c r="G13" s="36"/>
      <c r="H13" s="68"/>
      <c r="I13" s="68"/>
      <c r="J13" s="36"/>
      <c r="K13" s="36"/>
      <c r="L13" s="36"/>
      <c r="M13" s="36"/>
      <c r="N13" s="68"/>
      <c r="O13" s="68"/>
      <c r="P13" s="36">
        <f t="shared" si="1"/>
        <v>4</v>
      </c>
    </row>
    <row r="14" spans="1:16" x14ac:dyDescent="0.35">
      <c r="A14" s="36">
        <f t="shared" si="0"/>
        <v>5</v>
      </c>
      <c r="C14" s="286"/>
      <c r="H14" s="364"/>
      <c r="K14" s="364" t="s">
        <v>157</v>
      </c>
      <c r="L14" s="364"/>
      <c r="N14" s="364" t="s">
        <v>157</v>
      </c>
      <c r="O14" s="364"/>
      <c r="P14" s="36">
        <f t="shared" si="1"/>
        <v>5</v>
      </c>
    </row>
    <row r="15" spans="1:16" x14ac:dyDescent="0.35">
      <c r="A15" s="36">
        <f t="shared" si="0"/>
        <v>6</v>
      </c>
      <c r="C15" s="286"/>
      <c r="F15" s="364"/>
      <c r="G15" s="364"/>
      <c r="H15" s="364"/>
      <c r="I15" s="364" t="s">
        <v>158</v>
      </c>
      <c r="J15" s="364"/>
      <c r="K15" s="364" t="s">
        <v>159</v>
      </c>
      <c r="L15" s="364"/>
      <c r="N15" s="364" t="s">
        <v>159</v>
      </c>
      <c r="O15" s="364"/>
      <c r="P15" s="36">
        <f t="shared" si="1"/>
        <v>6</v>
      </c>
    </row>
    <row r="16" spans="1:16" x14ac:dyDescent="0.35">
      <c r="A16" s="36">
        <f t="shared" si="0"/>
        <v>7</v>
      </c>
      <c r="C16" s="364"/>
      <c r="D16" s="364" t="s">
        <v>158</v>
      </c>
      <c r="E16" s="364" t="s">
        <v>158</v>
      </c>
      <c r="F16" s="364" t="s">
        <v>160</v>
      </c>
      <c r="G16" s="364"/>
      <c r="H16" s="364" t="s">
        <v>161</v>
      </c>
      <c r="I16" s="364" t="s">
        <v>159</v>
      </c>
      <c r="J16" s="364" t="s">
        <v>158</v>
      </c>
      <c r="K16" s="364" t="s">
        <v>162</v>
      </c>
      <c r="L16" s="364"/>
      <c r="N16" s="364" t="s">
        <v>162</v>
      </c>
      <c r="O16" s="364"/>
      <c r="P16" s="36">
        <f t="shared" si="1"/>
        <v>7</v>
      </c>
    </row>
    <row r="17" spans="1:19" x14ac:dyDescent="0.35">
      <c r="A17" s="36">
        <f t="shared" si="0"/>
        <v>8</v>
      </c>
      <c r="C17" s="364"/>
      <c r="D17" s="364" t="s">
        <v>163</v>
      </c>
      <c r="E17" s="364" t="s">
        <v>163</v>
      </c>
      <c r="F17" s="364" t="s">
        <v>163</v>
      </c>
      <c r="G17" s="364" t="s">
        <v>164</v>
      </c>
      <c r="H17" s="364" t="s">
        <v>163</v>
      </c>
      <c r="I17" s="364" t="s">
        <v>162</v>
      </c>
      <c r="J17" s="364" t="s">
        <v>165</v>
      </c>
      <c r="K17" s="364" t="s">
        <v>166</v>
      </c>
      <c r="L17" s="364"/>
      <c r="M17" s="364"/>
      <c r="N17" s="364" t="s">
        <v>166</v>
      </c>
      <c r="O17" s="364"/>
      <c r="P17" s="36">
        <f t="shared" si="1"/>
        <v>8</v>
      </c>
    </row>
    <row r="18" spans="1:19" ht="18" x14ac:dyDescent="0.35">
      <c r="A18" s="36">
        <f t="shared" si="0"/>
        <v>9</v>
      </c>
      <c r="B18" s="287" t="s">
        <v>167</v>
      </c>
      <c r="C18" s="287" t="s">
        <v>168</v>
      </c>
      <c r="D18" s="133" t="s">
        <v>169</v>
      </c>
      <c r="E18" s="133" t="s">
        <v>170</v>
      </c>
      <c r="F18" s="133" t="s">
        <v>171</v>
      </c>
      <c r="G18" s="133" t="s">
        <v>172</v>
      </c>
      <c r="H18" s="133" t="s">
        <v>173</v>
      </c>
      <c r="I18" s="133" t="s">
        <v>166</v>
      </c>
      <c r="J18" s="133" t="s">
        <v>174</v>
      </c>
      <c r="K18" s="133" t="s">
        <v>175</v>
      </c>
      <c r="L18" s="133"/>
      <c r="M18" s="133" t="s">
        <v>165</v>
      </c>
      <c r="N18" s="133" t="s">
        <v>176</v>
      </c>
      <c r="O18" s="133"/>
      <c r="P18" s="36">
        <f t="shared" si="1"/>
        <v>9</v>
      </c>
    </row>
    <row r="19" spans="1:19" x14ac:dyDescent="0.35">
      <c r="A19" s="36">
        <f t="shared" si="0"/>
        <v>10</v>
      </c>
      <c r="B19" s="96" t="s">
        <v>177</v>
      </c>
      <c r="C19" s="288" t="str">
        <f>RIGHT(B5,4)</f>
        <v>2020</v>
      </c>
      <c r="D19" s="32">
        <f>'Pg3 Rev Appendix X C10'!C40</f>
        <v>320.35455459906922</v>
      </c>
      <c r="E19" s="381">
        <v>288.95415264480692</v>
      </c>
      <c r="F19" s="381">
        <v>-84.485757445093</v>
      </c>
      <c r="G19" s="381">
        <v>0</v>
      </c>
      <c r="H19" s="254">
        <f>SUM(E19:G19)</f>
        <v>204.46839519971394</v>
      </c>
      <c r="I19" s="60">
        <f>D19-H19</f>
        <v>115.88615939935528</v>
      </c>
      <c r="J19" s="289">
        <v>4.1999999999999997E-3</v>
      </c>
      <c r="K19" s="645">
        <f>I19</f>
        <v>115.88615939935528</v>
      </c>
      <c r="L19" s="645"/>
      <c r="M19" s="290">
        <f>(I19/2)*J19</f>
        <v>0.24336093473864606</v>
      </c>
      <c r="N19" s="290">
        <f t="shared" ref="N19:N29" si="2">K19+M19</f>
        <v>116.12952033409393</v>
      </c>
      <c r="O19" s="382"/>
      <c r="P19" s="36">
        <f t="shared" si="1"/>
        <v>10</v>
      </c>
      <c r="Q19" s="35"/>
    </row>
    <row r="20" spans="1:19" x14ac:dyDescent="0.35">
      <c r="A20" s="36">
        <f t="shared" si="0"/>
        <v>11</v>
      </c>
      <c r="B20" s="96" t="s">
        <v>178</v>
      </c>
      <c r="C20" s="288" t="str">
        <f>C19</f>
        <v>2020</v>
      </c>
      <c r="D20" s="623">
        <f>$D$19</f>
        <v>320.35455459906922</v>
      </c>
      <c r="E20" s="116">
        <f>$E$19</f>
        <v>288.95415264480692</v>
      </c>
      <c r="F20" s="116">
        <f t="shared" ref="F20:F30" si="3">$F$19</f>
        <v>-84.485757445093</v>
      </c>
      <c r="G20" s="116">
        <f t="shared" ref="G20:G30" si="4">$G$19</f>
        <v>0</v>
      </c>
      <c r="H20" s="184">
        <f>SUM(E20:G20)</f>
        <v>204.46839519971394</v>
      </c>
      <c r="I20" s="116">
        <f t="shared" ref="I20:I30" si="5">D20-H20</f>
        <v>115.88615939935528</v>
      </c>
      <c r="J20" s="289">
        <v>3.8999999999999998E-3</v>
      </c>
      <c r="K20" s="646">
        <f>N19+I20</f>
        <v>232.01567973344919</v>
      </c>
      <c r="L20" s="646"/>
      <c r="M20" s="291">
        <f t="shared" ref="M20:M30" si="6">(N19+K20)/2*J20</f>
        <v>0.67888314013170903</v>
      </c>
      <c r="N20" s="291">
        <f t="shared" si="2"/>
        <v>232.69456287358091</v>
      </c>
      <c r="O20" s="294"/>
      <c r="P20" s="36">
        <f t="shared" si="1"/>
        <v>11</v>
      </c>
      <c r="Q20" s="132"/>
    </row>
    <row r="21" spans="1:19" x14ac:dyDescent="0.35">
      <c r="A21" s="36">
        <f t="shared" si="0"/>
        <v>12</v>
      </c>
      <c r="B21" s="96" t="s">
        <v>179</v>
      </c>
      <c r="C21" s="288" t="str">
        <f>C19</f>
        <v>2020</v>
      </c>
      <c r="D21" s="623">
        <f t="shared" ref="D21:D30" si="7">$D$19</f>
        <v>320.35455459906922</v>
      </c>
      <c r="E21" s="116">
        <f t="shared" ref="E21:E30" si="8">$E$19</f>
        <v>288.95415264480692</v>
      </c>
      <c r="F21" s="116">
        <f t="shared" si="3"/>
        <v>-84.485757445093</v>
      </c>
      <c r="G21" s="116">
        <f t="shared" si="4"/>
        <v>0</v>
      </c>
      <c r="H21" s="184">
        <f t="shared" ref="H21:H29" si="9">SUM(E21:G21)</f>
        <v>204.46839519971394</v>
      </c>
      <c r="I21" s="116">
        <f t="shared" si="5"/>
        <v>115.88615939935528</v>
      </c>
      <c r="J21" s="289">
        <v>4.1999999999999997E-3</v>
      </c>
      <c r="K21" s="646">
        <f t="shared" ref="K21:K29" si="10">N20+I21</f>
        <v>348.58072227293621</v>
      </c>
      <c r="L21" s="646"/>
      <c r="M21" s="291">
        <f>(N20+K21)/2*J21</f>
        <v>1.220678098807686</v>
      </c>
      <c r="N21" s="291">
        <f t="shared" si="2"/>
        <v>349.80140037174391</v>
      </c>
      <c r="O21" s="294"/>
      <c r="P21" s="36">
        <f t="shared" si="1"/>
        <v>12</v>
      </c>
      <c r="Q21" s="132"/>
    </row>
    <row r="22" spans="1:19" x14ac:dyDescent="0.35">
      <c r="A22" s="36">
        <f t="shared" si="0"/>
        <v>13</v>
      </c>
      <c r="B22" s="96" t="s">
        <v>180</v>
      </c>
      <c r="C22" s="288" t="str">
        <f>C19</f>
        <v>2020</v>
      </c>
      <c r="D22" s="623">
        <f t="shared" si="7"/>
        <v>320.35455459906922</v>
      </c>
      <c r="E22" s="116">
        <f t="shared" si="8"/>
        <v>288.95415264480692</v>
      </c>
      <c r="F22" s="116">
        <f t="shared" si="3"/>
        <v>-84.485757445093</v>
      </c>
      <c r="G22" s="116">
        <f t="shared" si="4"/>
        <v>0</v>
      </c>
      <c r="H22" s="184">
        <f t="shared" si="9"/>
        <v>204.46839519971394</v>
      </c>
      <c r="I22" s="116">
        <f>D22-H22</f>
        <v>115.88615939935528</v>
      </c>
      <c r="J22" s="289">
        <v>3.8999999999999998E-3</v>
      </c>
      <c r="K22" s="646">
        <f t="shared" si="10"/>
        <v>465.68755977109919</v>
      </c>
      <c r="L22" s="646"/>
      <c r="M22" s="291">
        <f>(N21+K22)/2*J22</f>
        <v>1.5902034722785439</v>
      </c>
      <c r="N22" s="294">
        <f t="shared" si="2"/>
        <v>467.27776324337771</v>
      </c>
      <c r="O22" s="25" t="s">
        <v>34</v>
      </c>
      <c r="P22" s="36">
        <f t="shared" si="1"/>
        <v>13</v>
      </c>
      <c r="Q22" s="132"/>
      <c r="S22" s="292"/>
    </row>
    <row r="23" spans="1:19" x14ac:dyDescent="0.35">
      <c r="A23" s="36">
        <f t="shared" si="0"/>
        <v>14</v>
      </c>
      <c r="B23" s="96" t="s">
        <v>181</v>
      </c>
      <c r="C23" s="288" t="str">
        <f>C19</f>
        <v>2020</v>
      </c>
      <c r="D23" s="623">
        <f t="shared" si="7"/>
        <v>320.35455459906922</v>
      </c>
      <c r="E23" s="116">
        <f t="shared" si="8"/>
        <v>288.95415264480692</v>
      </c>
      <c r="F23" s="116">
        <f t="shared" si="3"/>
        <v>-84.485757445093</v>
      </c>
      <c r="G23" s="116">
        <f t="shared" si="4"/>
        <v>0</v>
      </c>
      <c r="H23" s="184">
        <f t="shared" si="9"/>
        <v>204.46839519971394</v>
      </c>
      <c r="I23" s="116">
        <f t="shared" si="5"/>
        <v>115.88615939935528</v>
      </c>
      <c r="J23" s="289">
        <v>4.0000000000000001E-3</v>
      </c>
      <c r="K23" s="646">
        <f t="shared" si="10"/>
        <v>583.16392264273304</v>
      </c>
      <c r="L23" s="646"/>
      <c r="M23" s="291">
        <f t="shared" si="6"/>
        <v>2.1008833717722215</v>
      </c>
      <c r="N23" s="294">
        <f t="shared" si="2"/>
        <v>585.26480601450521</v>
      </c>
      <c r="O23" s="25" t="s">
        <v>34</v>
      </c>
      <c r="P23" s="36">
        <f t="shared" si="1"/>
        <v>14</v>
      </c>
      <c r="Q23" s="132"/>
    </row>
    <row r="24" spans="1:19" x14ac:dyDescent="0.35">
      <c r="A24" s="36">
        <f t="shared" si="0"/>
        <v>15</v>
      </c>
      <c r="B24" s="96" t="s">
        <v>182</v>
      </c>
      <c r="C24" s="288" t="str">
        <f>C19</f>
        <v>2020</v>
      </c>
      <c r="D24" s="623">
        <f t="shared" si="7"/>
        <v>320.35455459906922</v>
      </c>
      <c r="E24" s="116">
        <f t="shared" si="8"/>
        <v>288.95415264480692</v>
      </c>
      <c r="F24" s="116">
        <f t="shared" si="3"/>
        <v>-84.485757445093</v>
      </c>
      <c r="G24" s="116">
        <f t="shared" si="4"/>
        <v>0</v>
      </c>
      <c r="H24" s="184">
        <f>SUM(E24:G24)</f>
        <v>204.46839519971394</v>
      </c>
      <c r="I24" s="116">
        <f t="shared" si="5"/>
        <v>115.88615939935528</v>
      </c>
      <c r="J24" s="289">
        <v>3.8999999999999998E-3</v>
      </c>
      <c r="K24" s="293">
        <f t="shared" si="10"/>
        <v>701.15096541386049</v>
      </c>
      <c r="L24" s="25" t="s">
        <v>34</v>
      </c>
      <c r="M24" s="291">
        <f>(N23+K24)/2*J24</f>
        <v>2.5085107542853127</v>
      </c>
      <c r="N24" s="291">
        <f t="shared" si="2"/>
        <v>703.65947616814583</v>
      </c>
      <c r="O24" s="294"/>
      <c r="P24" s="36">
        <f t="shared" si="1"/>
        <v>15</v>
      </c>
      <c r="Q24" s="132"/>
    </row>
    <row r="25" spans="1:19" x14ac:dyDescent="0.35">
      <c r="A25" s="36">
        <f t="shared" si="0"/>
        <v>16</v>
      </c>
      <c r="B25" s="96" t="s">
        <v>183</v>
      </c>
      <c r="C25" s="288" t="str">
        <f>C19</f>
        <v>2020</v>
      </c>
      <c r="D25" s="623">
        <f t="shared" si="7"/>
        <v>320.35455459906922</v>
      </c>
      <c r="E25" s="116">
        <f t="shared" si="8"/>
        <v>288.95415264480692</v>
      </c>
      <c r="F25" s="116">
        <f t="shared" si="3"/>
        <v>-84.485757445093</v>
      </c>
      <c r="G25" s="116">
        <f t="shared" si="4"/>
        <v>0</v>
      </c>
      <c r="H25" s="184">
        <f t="shared" si="9"/>
        <v>204.46839519971394</v>
      </c>
      <c r="I25" s="116">
        <f t="shared" si="5"/>
        <v>115.88615939935528</v>
      </c>
      <c r="J25" s="289">
        <v>2.8999999999999998E-3</v>
      </c>
      <c r="K25" s="646">
        <f t="shared" si="10"/>
        <v>819.54563556750111</v>
      </c>
      <c r="L25" s="646"/>
      <c r="M25" s="291">
        <f t="shared" si="6"/>
        <v>2.2086474120166879</v>
      </c>
      <c r="N25" s="291">
        <f t="shared" si="2"/>
        <v>821.75428297951782</v>
      </c>
      <c r="O25" s="294"/>
      <c r="P25" s="36">
        <f t="shared" si="1"/>
        <v>16</v>
      </c>
      <c r="Q25" s="132"/>
    </row>
    <row r="26" spans="1:19" x14ac:dyDescent="0.35">
      <c r="A26" s="36">
        <f t="shared" si="0"/>
        <v>17</v>
      </c>
      <c r="B26" s="96" t="s">
        <v>184</v>
      </c>
      <c r="C26" s="288" t="str">
        <f>C19</f>
        <v>2020</v>
      </c>
      <c r="D26" s="623">
        <f t="shared" si="7"/>
        <v>320.35455459906922</v>
      </c>
      <c r="E26" s="116">
        <f t="shared" si="8"/>
        <v>288.95415264480692</v>
      </c>
      <c r="F26" s="116">
        <f t="shared" si="3"/>
        <v>-84.485757445093</v>
      </c>
      <c r="G26" s="116">
        <f t="shared" si="4"/>
        <v>0</v>
      </c>
      <c r="H26" s="184">
        <f t="shared" si="9"/>
        <v>204.46839519971394</v>
      </c>
      <c r="I26" s="116">
        <f t="shared" si="5"/>
        <v>115.88615939935528</v>
      </c>
      <c r="J26" s="289">
        <v>2.8999999999999998E-3</v>
      </c>
      <c r="K26" s="646">
        <f t="shared" si="10"/>
        <v>937.6404423788731</v>
      </c>
      <c r="L26" s="646"/>
      <c r="M26" s="291">
        <f t="shared" si="6"/>
        <v>2.5511223517696666</v>
      </c>
      <c r="N26" s="294">
        <f t="shared" si="2"/>
        <v>940.19156473064277</v>
      </c>
      <c r="O26" s="25" t="s">
        <v>34</v>
      </c>
      <c r="P26" s="36">
        <f t="shared" si="1"/>
        <v>17</v>
      </c>
      <c r="Q26" s="132"/>
    </row>
    <row r="27" spans="1:19" x14ac:dyDescent="0.35">
      <c r="A27" s="36">
        <f t="shared" si="0"/>
        <v>18</v>
      </c>
      <c r="B27" s="96" t="s">
        <v>185</v>
      </c>
      <c r="C27" s="288" t="str">
        <f>C19</f>
        <v>2020</v>
      </c>
      <c r="D27" s="623">
        <f t="shared" si="7"/>
        <v>320.35455459906922</v>
      </c>
      <c r="E27" s="116">
        <f t="shared" si="8"/>
        <v>288.95415264480692</v>
      </c>
      <c r="F27" s="116">
        <f t="shared" si="3"/>
        <v>-84.485757445093</v>
      </c>
      <c r="G27" s="116">
        <f t="shared" si="4"/>
        <v>0</v>
      </c>
      <c r="H27" s="184">
        <f t="shared" si="9"/>
        <v>204.46839519971394</v>
      </c>
      <c r="I27" s="116">
        <f t="shared" si="5"/>
        <v>115.88615939935528</v>
      </c>
      <c r="J27" s="289">
        <v>2.8E-3</v>
      </c>
      <c r="K27" s="293">
        <f t="shared" si="10"/>
        <v>1056.0777241299979</v>
      </c>
      <c r="L27" s="25" t="s">
        <v>34</v>
      </c>
      <c r="M27" s="291">
        <f t="shared" si="6"/>
        <v>2.7947770044048967</v>
      </c>
      <c r="N27" s="291">
        <f t="shared" si="2"/>
        <v>1058.8725011344029</v>
      </c>
      <c r="O27" s="294"/>
      <c r="P27" s="36">
        <f t="shared" si="1"/>
        <v>18</v>
      </c>
      <c r="Q27" s="132"/>
    </row>
    <row r="28" spans="1:19" x14ac:dyDescent="0.35">
      <c r="A28" s="36">
        <f t="shared" si="0"/>
        <v>19</v>
      </c>
      <c r="B28" s="96" t="s">
        <v>186</v>
      </c>
      <c r="C28" s="288" t="str">
        <f>C19</f>
        <v>2020</v>
      </c>
      <c r="D28" s="623">
        <f t="shared" si="7"/>
        <v>320.35455459906922</v>
      </c>
      <c r="E28" s="116">
        <f t="shared" si="8"/>
        <v>288.95415264480692</v>
      </c>
      <c r="F28" s="116">
        <f t="shared" si="3"/>
        <v>-84.485757445093</v>
      </c>
      <c r="G28" s="116">
        <f t="shared" si="4"/>
        <v>0</v>
      </c>
      <c r="H28" s="184">
        <f t="shared" si="9"/>
        <v>204.46839519971394</v>
      </c>
      <c r="I28" s="116">
        <f t="shared" si="5"/>
        <v>115.88615939935528</v>
      </c>
      <c r="J28" s="289">
        <v>2.8E-3</v>
      </c>
      <c r="K28" s="646">
        <f t="shared" si="10"/>
        <v>1174.7586605337583</v>
      </c>
      <c r="L28" s="646"/>
      <c r="M28" s="291">
        <f t="shared" si="6"/>
        <v>3.127083626335426</v>
      </c>
      <c r="N28" s="294">
        <f t="shared" si="2"/>
        <v>1177.8857441600937</v>
      </c>
      <c r="O28" s="25" t="s">
        <v>34</v>
      </c>
      <c r="P28" s="36">
        <f t="shared" si="1"/>
        <v>19</v>
      </c>
      <c r="Q28" s="132"/>
    </row>
    <row r="29" spans="1:19" x14ac:dyDescent="0.35">
      <c r="A29" s="36">
        <f t="shared" si="0"/>
        <v>20</v>
      </c>
      <c r="B29" s="96" t="s">
        <v>187</v>
      </c>
      <c r="C29" s="288" t="str">
        <f>C19</f>
        <v>2020</v>
      </c>
      <c r="D29" s="623">
        <f t="shared" si="7"/>
        <v>320.35455459906922</v>
      </c>
      <c r="E29" s="116">
        <f t="shared" si="8"/>
        <v>288.95415264480692</v>
      </c>
      <c r="F29" s="116">
        <f t="shared" si="3"/>
        <v>-84.485757445093</v>
      </c>
      <c r="G29" s="116">
        <f t="shared" si="4"/>
        <v>0</v>
      </c>
      <c r="H29" s="184">
        <f t="shared" si="9"/>
        <v>204.46839519971394</v>
      </c>
      <c r="I29" s="116">
        <f t="shared" si="5"/>
        <v>115.88615939935528</v>
      </c>
      <c r="J29" s="289">
        <v>2.7000000000000001E-3</v>
      </c>
      <c r="K29" s="646">
        <f t="shared" si="10"/>
        <v>1293.7719035594491</v>
      </c>
      <c r="L29" s="646"/>
      <c r="M29" s="291">
        <f t="shared" si="6"/>
        <v>3.3367378244213834</v>
      </c>
      <c r="N29" s="294">
        <f t="shared" si="2"/>
        <v>1297.1086413838705</v>
      </c>
      <c r="O29" s="25" t="s">
        <v>34</v>
      </c>
      <c r="P29" s="36">
        <f t="shared" si="1"/>
        <v>20</v>
      </c>
      <c r="Q29" s="132"/>
    </row>
    <row r="30" spans="1:19" x14ac:dyDescent="0.35">
      <c r="A30" s="36">
        <f t="shared" si="0"/>
        <v>21</v>
      </c>
      <c r="B30" s="295" t="s">
        <v>188</v>
      </c>
      <c r="C30" s="296" t="str">
        <f>C19</f>
        <v>2020</v>
      </c>
      <c r="D30" s="298">
        <f t="shared" si="7"/>
        <v>320.35455459906922</v>
      </c>
      <c r="E30" s="116">
        <f t="shared" si="8"/>
        <v>288.95415264480692</v>
      </c>
      <c r="F30" s="116">
        <f t="shared" si="3"/>
        <v>-84.485757445093</v>
      </c>
      <c r="G30" s="116">
        <f t="shared" si="4"/>
        <v>0</v>
      </c>
      <c r="H30" s="298">
        <f>SUM(E30:G30)</f>
        <v>204.46839519971394</v>
      </c>
      <c r="I30" s="297">
        <f t="shared" si="5"/>
        <v>115.88615939935528</v>
      </c>
      <c r="J30" s="299">
        <v>2.8E-3</v>
      </c>
      <c r="K30" s="824">
        <f>N29+I30</f>
        <v>1412.9948007832259</v>
      </c>
      <c r="L30" s="25" t="s">
        <v>34</v>
      </c>
      <c r="M30" s="300">
        <f t="shared" si="6"/>
        <v>3.7941448190339351</v>
      </c>
      <c r="N30" s="301">
        <f>K30+M30</f>
        <v>1416.7889456022599</v>
      </c>
      <c r="O30" s="25" t="s">
        <v>34</v>
      </c>
      <c r="P30" s="36">
        <f t="shared" si="1"/>
        <v>21</v>
      </c>
      <c r="Q30" s="132"/>
    </row>
    <row r="31" spans="1:19" ht="16" thickBot="1" x14ac:dyDescent="0.4">
      <c r="A31" s="36">
        <f t="shared" si="0"/>
        <v>22</v>
      </c>
      <c r="D31" s="823">
        <f t="shared" ref="D31:I31" si="11">SUM(D19:D30)</f>
        <v>3844.2546551888304</v>
      </c>
      <c r="E31" s="302">
        <f>SUM(E19:E30)</f>
        <v>3467.4498317376833</v>
      </c>
      <c r="F31" s="302">
        <f t="shared" si="11"/>
        <v>-1013.8290893411159</v>
      </c>
      <c r="G31" s="302">
        <f t="shared" si="11"/>
        <v>0</v>
      </c>
      <c r="H31" s="302">
        <f t="shared" si="11"/>
        <v>2453.6207423965675</v>
      </c>
      <c r="I31" s="302">
        <f t="shared" si="11"/>
        <v>1390.6339127922629</v>
      </c>
      <c r="J31" s="666"/>
      <c r="K31" s="303"/>
      <c r="L31" s="303"/>
      <c r="M31" s="302">
        <f>SUM(M19:M30)</f>
        <v>26.155032809996118</v>
      </c>
      <c r="N31" s="303"/>
      <c r="O31" s="303"/>
      <c r="P31" s="36">
        <f t="shared" si="1"/>
        <v>22</v>
      </c>
    </row>
    <row r="32" spans="1:19" ht="16" thickTop="1" x14ac:dyDescent="0.35">
      <c r="D32" s="667" t="s">
        <v>34</v>
      </c>
      <c r="E32" s="34"/>
      <c r="F32" s="34"/>
      <c r="G32" s="34"/>
      <c r="H32" s="34"/>
      <c r="I32" s="78"/>
      <c r="J32" s="666"/>
      <c r="K32" s="303"/>
      <c r="L32" s="303"/>
      <c r="M32" s="78"/>
      <c r="N32" s="303"/>
      <c r="O32" s="303"/>
    </row>
    <row r="33" spans="1:15" x14ac:dyDescent="0.35"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</row>
    <row r="34" spans="1:15" x14ac:dyDescent="0.35">
      <c r="A34" s="25" t="s">
        <v>34</v>
      </c>
      <c r="B34" s="23" t="str">
        <f>'Pg7 Rev C.Sec.3-Other Costs'!B45</f>
        <v xml:space="preserve">Items in BOLD have changed due to A&amp;G adjustments and removal of CIAC related ADIT per SDG&amp;E's TO5 Cycle 4 Letter Order determination in ER22-527 as compared </v>
      </c>
      <c r="F34" s="305"/>
      <c r="G34" s="305"/>
    </row>
    <row r="35" spans="1:15" x14ac:dyDescent="0.35">
      <c r="A35" s="25"/>
      <c r="B35" s="23" t="str">
        <f>'Pg7 Rev C.Sec.3-Other Costs'!B46</f>
        <v>to the original Sunrise Appendix X Cycle 10 filing per ER22-139.</v>
      </c>
      <c r="F35" s="305"/>
      <c r="G35" s="305"/>
    </row>
    <row r="36" spans="1:15" ht="18" x14ac:dyDescent="0.35">
      <c r="A36" s="306">
        <v>1</v>
      </c>
      <c r="B36" s="37" t="s">
        <v>189</v>
      </c>
      <c r="F36" s="305"/>
      <c r="G36" s="305"/>
    </row>
    <row r="37" spans="1:15" ht="18" x14ac:dyDescent="0.35">
      <c r="A37" s="306">
        <v>2</v>
      </c>
      <c r="B37" s="37" t="s">
        <v>190</v>
      </c>
    </row>
    <row r="38" spans="1:15" ht="18" x14ac:dyDescent="0.35">
      <c r="A38" s="306">
        <v>3</v>
      </c>
      <c r="B38" s="37" t="s">
        <v>191</v>
      </c>
    </row>
    <row r="39" spans="1:15" ht="18" x14ac:dyDescent="0.35">
      <c r="A39" s="306">
        <v>4</v>
      </c>
      <c r="B39" s="37" t="s">
        <v>192</v>
      </c>
    </row>
    <row r="40" spans="1:15" ht="18" x14ac:dyDescent="0.35">
      <c r="A40" s="306"/>
      <c r="B40" s="37" t="s">
        <v>193</v>
      </c>
    </row>
    <row r="41" spans="1:15" ht="18" x14ac:dyDescent="0.35">
      <c r="A41" s="306">
        <v>5</v>
      </c>
      <c r="B41" s="37" t="s">
        <v>194</v>
      </c>
      <c r="C41" s="601"/>
    </row>
    <row r="42" spans="1:15" ht="18" x14ac:dyDescent="0.35">
      <c r="A42" s="306">
        <v>6</v>
      </c>
      <c r="B42" s="37" t="s">
        <v>195</v>
      </c>
    </row>
    <row r="43" spans="1:15" ht="18" x14ac:dyDescent="0.35">
      <c r="A43" s="306">
        <v>7</v>
      </c>
      <c r="B43" s="37" t="s">
        <v>196</v>
      </c>
    </row>
  </sheetData>
  <mergeCells count="5">
    <mergeCell ref="B2:P2"/>
    <mergeCell ref="B3:P3"/>
    <mergeCell ref="B4:P4"/>
    <mergeCell ref="B5:P5"/>
    <mergeCell ref="B6:N6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Roman,Bold"&amp;8REVISED</oddHeader>
    <oddFooter>&amp;CPage 8&amp;R&amp;F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68B23024258429DAC4122732B87ED" ma:contentTypeVersion="4" ma:contentTypeDescription="Create a new document." ma:contentTypeScope="" ma:versionID="636ff0a5a2bdf7d37862f872c94f0413">
  <xsd:schema xmlns:xsd="http://www.w3.org/2001/XMLSchema" xmlns:xs="http://www.w3.org/2001/XMLSchema" xmlns:p="http://schemas.microsoft.com/office/2006/metadata/properties" xmlns:ns2="af4f6bea-4661-4cda-b825-bd4d480ecdc0" targetNamespace="http://schemas.microsoft.com/office/2006/metadata/properties" ma:root="true" ma:fieldsID="1c3ab18bd271619b778fa6c53a5ac965" ns2:_="">
    <xsd:import namespace="af4f6bea-4661-4cda-b825-bd4d480ec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6bea-4661-4cda-b825-bd4d480ec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3B3B9-87C6-4A42-8C75-02B6AB4D9C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A5D89C-E227-475C-845D-FE4B8F7A7A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f6bea-4661-4cda-b825-bd4d480ec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13</vt:i4>
      </vt:variant>
    </vt:vector>
  </HeadingPairs>
  <TitlesOfParts>
    <vt:vector size="43" baseType="lpstr">
      <vt:lpstr>Pg1 Appendix X C10 Cost Adj</vt:lpstr>
      <vt:lpstr>Pg2 Appendix X C10 Comparison</vt:lpstr>
      <vt:lpstr>Pg3 Rev Appendix X C10</vt:lpstr>
      <vt:lpstr>Pg4 As Filed Appendix X C10</vt:lpstr>
      <vt:lpstr>Pg5 Rev B.Sec.2-Non-Direct Exp</vt:lpstr>
      <vt:lpstr>Pg6 As Filed B.Sec.2-Non-D Ex</vt:lpstr>
      <vt:lpstr>Pg7 Rev C.Sec.3-Other Costs</vt:lpstr>
      <vt:lpstr>Pg7.1 As Filed C.Sec.3-O-Costs</vt:lpstr>
      <vt:lpstr>Pg8 Rev D.Sec.4-TU</vt:lpstr>
      <vt:lpstr>Pg8.1 As Filed D.Sec.4-TU</vt:lpstr>
      <vt:lpstr>Pg9 Rev Stmt AF</vt:lpstr>
      <vt:lpstr>Pg9.1 As Filed Stmt AF</vt:lpstr>
      <vt:lpstr>Pg9.2 Rev AF-1</vt:lpstr>
      <vt:lpstr>Pg9.2A As Filed AF-1</vt:lpstr>
      <vt:lpstr>Pg9.3 Rev AF-2</vt:lpstr>
      <vt:lpstr>Pg9.3A As Filed AF-2</vt:lpstr>
      <vt:lpstr>Pg10 Rev Stmt AH</vt:lpstr>
      <vt:lpstr>Pg10.1 As Filed Stmt AH</vt:lpstr>
      <vt:lpstr>Pg10.2 Rev AH-3</vt:lpstr>
      <vt:lpstr>Pg11 Rev Stmt AL</vt:lpstr>
      <vt:lpstr>Pg11.1 As Filed Stmt AL</vt:lpstr>
      <vt:lpstr>Pg12 Rev Stmt AR</vt:lpstr>
      <vt:lpstr>Pg12.1 As Filed Stmt AR</vt:lpstr>
      <vt:lpstr>Pg 12.2 Rev AR-1</vt:lpstr>
      <vt:lpstr>Pg12.2A As Filed AR-1</vt:lpstr>
      <vt:lpstr>Pg13 Rev Stmt AV</vt:lpstr>
      <vt:lpstr>Pg14 As Filed Stmt AV</vt:lpstr>
      <vt:lpstr>Pg15 Rev AV-4</vt:lpstr>
      <vt:lpstr>Pg16 As Filed AV-4</vt:lpstr>
      <vt:lpstr>Pg17 Appendix X C10 Int Calc</vt:lpstr>
      <vt:lpstr>'Pg10.1 As Filed Stmt AH'!Print_Area</vt:lpstr>
      <vt:lpstr>'Pg11.1 As Filed Stmt AL'!Print_Area</vt:lpstr>
      <vt:lpstr>'Pg12.1 As Filed Stmt AR'!Print_Area</vt:lpstr>
      <vt:lpstr>'Pg12.2A As Filed AR-1'!Print_Area</vt:lpstr>
      <vt:lpstr>'Pg14 As Filed Stmt AV'!Print_Area</vt:lpstr>
      <vt:lpstr>'Pg16 As Filed AV-4'!Print_Area</vt:lpstr>
      <vt:lpstr>'Pg4 As Filed Appendix X C10'!Print_Area</vt:lpstr>
      <vt:lpstr>'Pg6 As Filed B.Sec.2-Non-D Ex'!Print_Area</vt:lpstr>
      <vt:lpstr>'Pg7.1 As Filed C.Sec.3-O-Costs'!Print_Area</vt:lpstr>
      <vt:lpstr>'Pg8.1 As Filed D.Sec.4-TU'!Print_Area</vt:lpstr>
      <vt:lpstr>'Pg9.1 As Filed Stmt AF'!Print_Area</vt:lpstr>
      <vt:lpstr>'Pg9.2A As Filed AF-1'!Print_Area</vt:lpstr>
      <vt:lpstr>'Pg9.3A As Filed AF-2'!Print_Area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cp:lastPrinted>2022-09-21T19:50:46Z</cp:lastPrinted>
  <dcterms:created xsi:type="dcterms:W3CDTF">2021-03-15T22:51:55Z</dcterms:created>
  <dcterms:modified xsi:type="dcterms:W3CDTF">2022-10-07T22:19:39Z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0x01010056268B23024258429DAC4122732B87ED</vt:lpwstr>
  </property>
</Properties>
</file>