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LPham\AppData\Local\Microsoft\Windows\INetCache\Content.Outlook\P7URSUQZ\"/>
    </mc:Choice>
  </mc:AlternateContent>
  <xr:revisionPtr revIDLastSave="0" documentId="13_ncr:1_{EBBD3E71-7B62-4C5C-B341-4BFDAA0C8674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Stmnt BD - Recorded KWH" sheetId="24" r:id="rId1"/>
    <sheet name="Stmnt BD - Forecast KWH" sheetId="51" r:id="rId2"/>
    <sheet name="Stmnt BD-Forecast MWH@Transm." sheetId="35" r:id="rId3"/>
    <sheet name="Stmt BD-Forecast Pump Storage" sheetId="138" r:id="rId4"/>
    <sheet name="Stmt BD-Pump Load True Up Adj" sheetId="146" r:id="rId5"/>
    <sheet name="Stmt BG - Page 1" sheetId="114" r:id="rId6"/>
    <sheet name="Stmt BG - Page 2" sheetId="139" r:id="rId7"/>
    <sheet name="Stmt BG - Page 3" sheetId="116" r:id="rId8"/>
    <sheet name="Stmt BG - Page 4" sheetId="117" r:id="rId9"/>
    <sheet name="Stmt BH - Page 1" sheetId="140" r:id="rId10"/>
    <sheet name="Stmt BH - Page 2" sheetId="119" r:id="rId11"/>
    <sheet name="Stmt BH - Page 3" sheetId="120" r:id="rId12"/>
    <sheet name="Stmnt BK1 - TRBAA" sheetId="46" r:id="rId13"/>
    <sheet name="Stmnt BK2 - TRBAA" sheetId="32" r:id="rId14"/>
    <sheet name="Stmnt BL (Retail) - TRBAA" sheetId="47" r:id="rId15"/>
    <sheet name="Stmnt BL - CAISO WHOLESALE" sheetId="22" r:id="rId16"/>
    <sheet name="WP 1.1 Recorded Sales" sheetId="96" r:id="rId17"/>
    <sheet name="WP 1.2 Forecast Sales" sheetId="97" r:id="rId18"/>
    <sheet name="WP 2 Allocation of TRBAA" sheetId="17" r:id="rId19"/>
    <sheet name="WP 3 Standby Revenues" sheetId="147" r:id="rId20"/>
    <sheet name="WP 4 Monthly TRBAA " sheetId="111" r:id="rId21"/>
    <sheet name="WP 4 Footnotes" sheetId="89" r:id="rId22"/>
    <sheet name="WP 5 CAISO Charges" sheetId="56" r:id="rId23"/>
    <sheet name="WP 6 HV LV Alloc Summary" sheetId="143" r:id="rId24"/>
    <sheet name="WP 7 Wheeling Revenues" sheetId="79" r:id="rId25"/>
    <sheet name="WP 8 CT4575" sheetId="113" r:id="rId26"/>
    <sheet name="WP 9 ETC Cost Diffs" sheetId="144" r:id="rId27"/>
    <sheet name="WP 10 ETC Costs" sheetId="141" r:id="rId28"/>
    <sheet name="WP 11 Other PTO Forecast" sheetId="107" r:id="rId29"/>
    <sheet name="WP 12 PTO" sheetId="108" r:id="rId30"/>
  </sheets>
  <definedNames>
    <definedName name="_Fill" localSheetId="4" hidden="1">#REF!</definedName>
    <definedName name="_Fill" localSheetId="28" hidden="1">#REF!</definedName>
    <definedName name="_Fill" localSheetId="29" hidden="1">#REF!</definedName>
    <definedName name="_Fill" localSheetId="20" hidden="1">#REF!</definedName>
    <definedName name="_Fill" localSheetId="25" hidden="1">#REF!</definedName>
    <definedName name="_Fill" hidden="1">#REF!</definedName>
    <definedName name="_xlnm.Print_Area" localSheetId="6">'Stmt BG - Page 2'!$A$1:$J$45</definedName>
    <definedName name="_xlnm.Print_Area" localSheetId="9">'Stmt BH - Page 1'!$A$1:$J$45</definedName>
    <definedName name="_xlnm.Print_Area" localSheetId="10">'Stmt BH - Page 2'!$A$1:$J$46</definedName>
    <definedName name="_xlnm.Print_Area" localSheetId="11">'Stmt BH - Page 3'!$A$1:$K$46</definedName>
    <definedName name="_xlnm.Print_Area" localSheetId="16">'WP 1.1 Recorded Sales'!$A$1:$P$49</definedName>
    <definedName name="_xlnm.Print_Area" localSheetId="17">'WP 1.2 Forecast Sales'!$A$1:$P$49</definedName>
    <definedName name="_xlnm.Print_Area" localSheetId="27">'WP 10 ETC Costs'!$D$3:$Q$53</definedName>
    <definedName name="_xlnm.Print_Area" localSheetId="19">'WP 3 Standby Revenues'!$A$1:$G$20</definedName>
    <definedName name="_xlnm.Print_Area" localSheetId="20">'WP 4 Monthly TRBAA '!$A$1:$Q$44</definedName>
    <definedName name="_xlnm.Print_Area" localSheetId="22">'WP 5 CAISO Charges'!$A$1:$Q$20</definedName>
    <definedName name="_xlnm.Print_Area" localSheetId="23">'WP 6 HV LV Alloc Summary'!$A$1:$G$50</definedName>
    <definedName name="_xlnm.Print_Titles" localSheetId="27">'WP 10 ETC Costs'!$A:$C</definedName>
    <definedName name="_xlnm.Print_Titles" localSheetId="20">'WP 4 Monthly TRBAA '!$A:$B</definedName>
    <definedName name="_xlnm.Print_Titles" localSheetId="22">'WP 5 CAISO Charges'!$A:$B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46" l="1"/>
  <c r="C28" i="46"/>
  <c r="C32" i="47" l="1"/>
  <c r="C28" i="47"/>
  <c r="N42" i="111"/>
  <c r="M42" i="111"/>
  <c r="L42" i="111"/>
  <c r="K42" i="111"/>
  <c r="J42" i="111"/>
  <c r="I42" i="111"/>
  <c r="H42" i="111"/>
  <c r="F43" i="111"/>
  <c r="E43" i="111"/>
  <c r="F42" i="111"/>
  <c r="E42" i="111"/>
  <c r="G43" i="111"/>
  <c r="J43" i="111" s="1"/>
  <c r="G42" i="111"/>
  <c r="C43" i="111"/>
  <c r="C42" i="111"/>
  <c r="N43" i="111" l="1"/>
  <c r="K43" i="111"/>
  <c r="L43" i="111"/>
  <c r="I43" i="111"/>
  <c r="M43" i="111"/>
  <c r="M46" i="141"/>
  <c r="L20" i="141"/>
  <c r="O46" i="141" l="1"/>
  <c r="O20" i="141"/>
  <c r="N20" i="141"/>
  <c r="O21" i="141"/>
  <c r="N46" i="141" l="1"/>
  <c r="L46" i="141"/>
  <c r="K46" i="141"/>
  <c r="J46" i="141"/>
  <c r="I46" i="141"/>
  <c r="H46" i="141"/>
  <c r="G46" i="141"/>
  <c r="F46" i="141"/>
  <c r="E46" i="141"/>
  <c r="D46" i="141"/>
  <c r="O23" i="141"/>
  <c r="N23" i="141"/>
  <c r="M23" i="141"/>
  <c r="L23" i="141"/>
  <c r="K23" i="141"/>
  <c r="J23" i="141"/>
  <c r="I23" i="141"/>
  <c r="H23" i="141"/>
  <c r="G23" i="141"/>
  <c r="F23" i="141"/>
  <c r="E23" i="141"/>
  <c r="D23" i="141"/>
  <c r="O22" i="141"/>
  <c r="N22" i="141"/>
  <c r="M22" i="141"/>
  <c r="L22" i="141"/>
  <c r="K22" i="141"/>
  <c r="J22" i="141"/>
  <c r="I22" i="141"/>
  <c r="H22" i="141"/>
  <c r="G22" i="141"/>
  <c r="F22" i="141"/>
  <c r="E22" i="141"/>
  <c r="D22" i="141"/>
  <c r="M20" i="141"/>
  <c r="K20" i="141"/>
  <c r="J20" i="141"/>
  <c r="I20" i="141"/>
  <c r="H20" i="141"/>
  <c r="G20" i="141"/>
  <c r="F20" i="141"/>
  <c r="E20" i="141"/>
  <c r="D20" i="141"/>
  <c r="J21" i="141"/>
  <c r="M21" i="141"/>
  <c r="D21" i="141"/>
  <c r="N21" i="141"/>
  <c r="L21" i="141"/>
  <c r="K21" i="141"/>
  <c r="I21" i="141"/>
  <c r="G21" i="141"/>
  <c r="F21" i="141"/>
  <c r="E21" i="141"/>
  <c r="N5" i="141"/>
  <c r="M5" i="141"/>
  <c r="L5" i="141"/>
  <c r="K5" i="141"/>
  <c r="J5" i="141"/>
  <c r="I5" i="141"/>
  <c r="G5" i="141"/>
  <c r="F5" i="141"/>
  <c r="E5" i="141"/>
  <c r="D5" i="141"/>
  <c r="A6" i="141" l="1"/>
  <c r="P26" i="141"/>
  <c r="H21" i="141" l="1"/>
  <c r="H5" i="141"/>
  <c r="I50" i="111"/>
  <c r="D21" i="96"/>
  <c r="E21" i="96"/>
  <c r="F21" i="96"/>
  <c r="G21" i="96"/>
  <c r="H21" i="96"/>
  <c r="I21" i="96"/>
  <c r="J21" i="96"/>
  <c r="K21" i="96"/>
  <c r="L21" i="96"/>
  <c r="M21" i="96"/>
  <c r="N21" i="96"/>
  <c r="C21" i="96"/>
  <c r="O5" i="141"/>
  <c r="P12" i="141" l="1"/>
  <c r="Q6" i="108" l="1"/>
  <c r="Q7" i="108"/>
  <c r="Q8" i="108"/>
  <c r="Q9" i="108"/>
  <c r="Q10" i="108"/>
  <c r="Q11" i="108"/>
  <c r="Q12" i="108"/>
  <c r="Q13" i="108"/>
  <c r="Q14" i="108"/>
  <c r="Q15" i="108"/>
  <c r="Q16" i="108"/>
  <c r="Q17" i="108"/>
  <c r="Q5" i="108"/>
  <c r="P15" i="108"/>
  <c r="P13" i="108"/>
  <c r="P11" i="108"/>
  <c r="P9" i="108"/>
  <c r="P7" i="108"/>
  <c r="P5" i="108"/>
  <c r="E5" i="111"/>
  <c r="D5" i="111"/>
  <c r="P30" i="108" l="1"/>
  <c r="P29" i="108"/>
  <c r="K48" i="141" l="1"/>
  <c r="J16" i="56" s="1"/>
  <c r="P21" i="141"/>
  <c r="N48" i="141"/>
  <c r="M16" i="56" s="1"/>
  <c r="M48" i="141"/>
  <c r="L16" i="56" s="1"/>
  <c r="L48" i="141"/>
  <c r="K16" i="56" s="1"/>
  <c r="F48" i="141"/>
  <c r="E16" i="56" s="1"/>
  <c r="P34" i="96"/>
  <c r="P35" i="96" s="1"/>
  <c r="D34" i="96"/>
  <c r="E34" i="96"/>
  <c r="F34" i="96"/>
  <c r="G34" i="96"/>
  <c r="H34" i="96"/>
  <c r="I34" i="96"/>
  <c r="J34" i="96"/>
  <c r="K34" i="96"/>
  <c r="L34" i="96"/>
  <c r="M34" i="96"/>
  <c r="N34" i="96"/>
  <c r="C34" i="96"/>
  <c r="A34" i="96"/>
  <c r="A35" i="96"/>
  <c r="O9" i="96"/>
  <c r="O10" i="96"/>
  <c r="P22" i="141"/>
  <c r="E48" i="141"/>
  <c r="G48" i="141"/>
  <c r="F16" i="56" s="1"/>
  <c r="L10" i="56"/>
  <c r="L17" i="111" s="1"/>
  <c r="O48" i="141"/>
  <c r="N16" i="56" s="1"/>
  <c r="D56" i="111"/>
  <c r="E56" i="111"/>
  <c r="F56" i="111"/>
  <c r="C56" i="111"/>
  <c r="G11" i="111"/>
  <c r="E3" i="141"/>
  <c r="E3" i="108" s="1"/>
  <c r="F3" i="141"/>
  <c r="F3" i="108" s="1"/>
  <c r="G3" i="141"/>
  <c r="G3" i="108" s="1"/>
  <c r="H3" i="141"/>
  <c r="H3" i="108" s="1"/>
  <c r="I3" i="141"/>
  <c r="I3" i="108" s="1"/>
  <c r="J3" i="141"/>
  <c r="J3" i="108" s="1"/>
  <c r="K3" i="141"/>
  <c r="K3" i="108" s="1"/>
  <c r="L3" i="141"/>
  <c r="L3" i="108" s="1"/>
  <c r="M3" i="141"/>
  <c r="M3" i="108" s="1"/>
  <c r="N3" i="141"/>
  <c r="N3" i="108" s="1"/>
  <c r="O3" i="141"/>
  <c r="O3" i="108" s="1"/>
  <c r="D3" i="141"/>
  <c r="D3" i="108" s="1"/>
  <c r="P23" i="141"/>
  <c r="A7" i="141"/>
  <c r="L5" i="111"/>
  <c r="L56" i="111" s="1"/>
  <c r="F5" i="111"/>
  <c r="G5" i="111" s="1"/>
  <c r="G56" i="111" s="1"/>
  <c r="B28" i="47"/>
  <c r="D10" i="114"/>
  <c r="D34" i="97"/>
  <c r="E34" i="97"/>
  <c r="F34" i="97"/>
  <c r="G34" i="97"/>
  <c r="H34" i="97"/>
  <c r="I34" i="97"/>
  <c r="J34" i="97"/>
  <c r="K34" i="97"/>
  <c r="L34" i="97"/>
  <c r="M34" i="97"/>
  <c r="N34" i="97"/>
  <c r="C34" i="97"/>
  <c r="P34" i="97"/>
  <c r="P35" i="97"/>
  <c r="A34" i="97"/>
  <c r="A35" i="97"/>
  <c r="O9" i="97"/>
  <c r="C14" i="97"/>
  <c r="C13" i="35" s="1"/>
  <c r="E13" i="35" s="1"/>
  <c r="D14" i="97"/>
  <c r="C14" i="35" s="1"/>
  <c r="E14" i="97"/>
  <c r="C15" i="35" s="1"/>
  <c r="F14" i="97"/>
  <c r="C16" i="35" s="1"/>
  <c r="G14" i="97"/>
  <c r="C17" i="35" s="1"/>
  <c r="H14" i="97"/>
  <c r="I14" i="97"/>
  <c r="J14" i="97"/>
  <c r="K14" i="97"/>
  <c r="C21" i="35" s="1"/>
  <c r="L14" i="97"/>
  <c r="C22" i="35" s="1"/>
  <c r="E22" i="35" s="1"/>
  <c r="M14" i="97"/>
  <c r="C23" i="35" s="1"/>
  <c r="E23" i="35" s="1"/>
  <c r="N14" i="97"/>
  <c r="C24" i="35" s="1"/>
  <c r="Q18" i="108"/>
  <c r="Q19" i="108" s="1"/>
  <c r="Q20" i="108" s="1"/>
  <c r="Q21" i="108" s="1"/>
  <c r="Q22" i="108" s="1"/>
  <c r="Q23" i="108" s="1"/>
  <c r="A16" i="108"/>
  <c r="A17" i="108"/>
  <c r="A18" i="108"/>
  <c r="A19" i="108"/>
  <c r="A20" i="108"/>
  <c r="A21" i="108"/>
  <c r="A22" i="108"/>
  <c r="A23" i="108"/>
  <c r="I44" i="111"/>
  <c r="P45" i="141"/>
  <c r="P44" i="141"/>
  <c r="P43" i="141"/>
  <c r="P42" i="141"/>
  <c r="P41" i="141"/>
  <c r="P40" i="141"/>
  <c r="P39" i="141"/>
  <c r="P38" i="141"/>
  <c r="P37" i="141"/>
  <c r="P36" i="141"/>
  <c r="P35" i="141"/>
  <c r="P34" i="141"/>
  <c r="P33" i="141"/>
  <c r="P32" i="141"/>
  <c r="P31" i="141"/>
  <c r="P30" i="141"/>
  <c r="P29" i="141"/>
  <c r="P28" i="141"/>
  <c r="P27" i="141"/>
  <c r="P19" i="141"/>
  <c r="P18" i="141"/>
  <c r="P17" i="141"/>
  <c r="P16" i="141"/>
  <c r="P15" i="141"/>
  <c r="P14" i="141"/>
  <c r="P13" i="141"/>
  <c r="P11" i="141"/>
  <c r="P10" i="141"/>
  <c r="P9" i="141"/>
  <c r="P8" i="141"/>
  <c r="P7" i="141"/>
  <c r="P6" i="141"/>
  <c r="H11" i="111"/>
  <c r="I11" i="111" s="1"/>
  <c r="J11" i="111" s="1"/>
  <c r="K11" i="111" s="1"/>
  <c r="L11" i="111" s="1"/>
  <c r="M11" i="111" s="1"/>
  <c r="N11" i="111" s="1"/>
  <c r="H43" i="111"/>
  <c r="D11" i="147"/>
  <c r="C11" i="147"/>
  <c r="G10" i="147"/>
  <c r="G11" i="147"/>
  <c r="G12" i="147"/>
  <c r="G13" i="147"/>
  <c r="G14" i="147"/>
  <c r="G15" i="147"/>
  <c r="A10" i="147"/>
  <c r="A11" i="147"/>
  <c r="A12" i="147"/>
  <c r="A13" i="147"/>
  <c r="A14" i="147"/>
  <c r="A15" i="147"/>
  <c r="D45" i="143"/>
  <c r="C45" i="143"/>
  <c r="P31" i="108"/>
  <c r="O17" i="108"/>
  <c r="O20" i="108" s="1"/>
  <c r="N17" i="108"/>
  <c r="N20" i="108" s="1"/>
  <c r="M17" i="108"/>
  <c r="L17" i="108"/>
  <c r="L20" i="108" s="1"/>
  <c r="K17" i="108"/>
  <c r="K20" i="108" s="1"/>
  <c r="J17" i="108"/>
  <c r="J20" i="108" s="1"/>
  <c r="I17" i="108"/>
  <c r="H19" i="56" s="1"/>
  <c r="H17" i="108"/>
  <c r="H20" i="108" s="1"/>
  <c r="G17" i="108"/>
  <c r="G20" i="108" s="1"/>
  <c r="F17" i="108"/>
  <c r="E17" i="108"/>
  <c r="D19" i="56" s="1"/>
  <c r="D17" i="108"/>
  <c r="C19" i="56" s="1"/>
  <c r="A5" i="108"/>
  <c r="A6" i="108"/>
  <c r="A7" i="108"/>
  <c r="A8" i="108"/>
  <c r="A9" i="108"/>
  <c r="A10" i="108"/>
  <c r="A11" i="108"/>
  <c r="A12" i="108"/>
  <c r="A13" i="108"/>
  <c r="A14" i="108"/>
  <c r="A15" i="108"/>
  <c r="D43" i="111"/>
  <c r="N44" i="111"/>
  <c r="J44" i="111"/>
  <c r="D42" i="111"/>
  <c r="C30" i="111"/>
  <c r="E13" i="32"/>
  <c r="D24" i="35"/>
  <c r="D23" i="35"/>
  <c r="D22" i="35"/>
  <c r="D21" i="35"/>
  <c r="D20" i="35"/>
  <c r="D19" i="35"/>
  <c r="D18" i="35"/>
  <c r="D17" i="35"/>
  <c r="D26" i="35" s="1"/>
  <c r="D16" i="35"/>
  <c r="D15" i="35"/>
  <c r="D14" i="35"/>
  <c r="D13" i="35"/>
  <c r="D38" i="97"/>
  <c r="D13" i="51" s="1"/>
  <c r="E38" i="97"/>
  <c r="D14" i="51" s="1"/>
  <c r="F38" i="97"/>
  <c r="D15" i="51" s="1"/>
  <c r="G38" i="97"/>
  <c r="D16" i="51" s="1"/>
  <c r="H38" i="97"/>
  <c r="D17" i="51" s="1"/>
  <c r="I38" i="97"/>
  <c r="D18" i="51" s="1"/>
  <c r="J38" i="97"/>
  <c r="D19" i="51" s="1"/>
  <c r="K38" i="97"/>
  <c r="D20" i="51" s="1"/>
  <c r="L38" i="97"/>
  <c r="D21" i="51" s="1"/>
  <c r="M38" i="97"/>
  <c r="D22" i="51"/>
  <c r="N38" i="97"/>
  <c r="D23" i="51" s="1"/>
  <c r="C38" i="97"/>
  <c r="D12" i="51" s="1"/>
  <c r="O31" i="108"/>
  <c r="E12" i="146"/>
  <c r="E14" i="146"/>
  <c r="E16" i="146"/>
  <c r="E18" i="146"/>
  <c r="A12" i="146"/>
  <c r="A14" i="146"/>
  <c r="A16" i="146"/>
  <c r="A18" i="146"/>
  <c r="C14" i="146"/>
  <c r="C18" i="146" s="1"/>
  <c r="C6" i="89"/>
  <c r="A6" i="89"/>
  <c r="C7" i="89"/>
  <c r="D30" i="107"/>
  <c r="D28" i="107"/>
  <c r="D26" i="107"/>
  <c r="D24" i="107"/>
  <c r="D22" i="107"/>
  <c r="D20" i="107"/>
  <c r="D18" i="107"/>
  <c r="D16" i="107"/>
  <c r="D14" i="107"/>
  <c r="D12" i="107"/>
  <c r="D10" i="107"/>
  <c r="A9" i="107"/>
  <c r="A10" i="107"/>
  <c r="A11" i="107"/>
  <c r="E8" i="107"/>
  <c r="E9" i="107"/>
  <c r="E11" i="107"/>
  <c r="A12" i="107"/>
  <c r="E10" i="107"/>
  <c r="C30" i="113"/>
  <c r="C28" i="113"/>
  <c r="C26" i="113"/>
  <c r="C24" i="113"/>
  <c r="C22" i="113"/>
  <c r="C20" i="113"/>
  <c r="C18" i="113"/>
  <c r="C16" i="113"/>
  <c r="C14" i="113"/>
  <c r="C32" i="113" s="1"/>
  <c r="C34" i="113" s="1"/>
  <c r="C12" i="113"/>
  <c r="C10" i="113"/>
  <c r="C8" i="113"/>
  <c r="D30" i="144"/>
  <c r="D28" i="144"/>
  <c r="D26" i="144"/>
  <c r="D24" i="144"/>
  <c r="D22" i="144"/>
  <c r="D20" i="144"/>
  <c r="D18" i="144"/>
  <c r="D16" i="144"/>
  <c r="D14" i="144"/>
  <c r="D12" i="144"/>
  <c r="D10" i="144"/>
  <c r="A10" i="144"/>
  <c r="E10" i="144"/>
  <c r="A9" i="144"/>
  <c r="E9" i="144"/>
  <c r="E8" i="144"/>
  <c r="D30" i="113"/>
  <c r="D28" i="113"/>
  <c r="D26" i="113"/>
  <c r="D24" i="113"/>
  <c r="D22" i="113"/>
  <c r="D20" i="113"/>
  <c r="D18" i="113"/>
  <c r="D16" i="113"/>
  <c r="D14" i="113"/>
  <c r="D12" i="113"/>
  <c r="D10" i="113"/>
  <c r="A9" i="113"/>
  <c r="A10" i="113"/>
  <c r="A11" i="113"/>
  <c r="D16" i="143"/>
  <c r="C16" i="143"/>
  <c r="E14" i="143"/>
  <c r="E12" i="143"/>
  <c r="A9" i="143"/>
  <c r="A10" i="143"/>
  <c r="B28" i="120"/>
  <c r="B28" i="117"/>
  <c r="A11" i="144"/>
  <c r="E9" i="113"/>
  <c r="A11" i="143"/>
  <c r="G10" i="143"/>
  <c r="G9" i="143"/>
  <c r="E12" i="107"/>
  <c r="A13" i="107"/>
  <c r="E11" i="113"/>
  <c r="A12" i="113"/>
  <c r="E10" i="113"/>
  <c r="A12" i="144"/>
  <c r="E11" i="144"/>
  <c r="A12" i="143"/>
  <c r="G11" i="143"/>
  <c r="A14" i="107"/>
  <c r="E13" i="107"/>
  <c r="E12" i="113"/>
  <c r="A13" i="113"/>
  <c r="A13" i="144"/>
  <c r="E12" i="144"/>
  <c r="A13" i="143"/>
  <c r="G12" i="143"/>
  <c r="E14" i="107"/>
  <c r="A15" i="107"/>
  <c r="A14" i="113"/>
  <c r="E13" i="113"/>
  <c r="E31" i="35"/>
  <c r="A14" i="144"/>
  <c r="E13" i="144"/>
  <c r="G13" i="143"/>
  <c r="A14" i="143"/>
  <c r="A16" i="107"/>
  <c r="E15" i="107"/>
  <c r="E14" i="113"/>
  <c r="A15" i="113"/>
  <c r="A15" i="144"/>
  <c r="E14" i="144"/>
  <c r="A15" i="143"/>
  <c r="G14" i="143"/>
  <c r="A17" i="107"/>
  <c r="E16" i="107"/>
  <c r="A16" i="113"/>
  <c r="E15" i="113"/>
  <c r="A16" i="144"/>
  <c r="E15" i="144"/>
  <c r="A16" i="143"/>
  <c r="G15" i="143"/>
  <c r="A18" i="107"/>
  <c r="E17" i="107"/>
  <c r="A17" i="113"/>
  <c r="E16" i="113"/>
  <c r="A17" i="144"/>
  <c r="E16" i="144"/>
  <c r="G16" i="143"/>
  <c r="A17" i="143"/>
  <c r="E18" i="107"/>
  <c r="A19" i="107"/>
  <c r="A18" i="113"/>
  <c r="E17" i="113"/>
  <c r="E17" i="144"/>
  <c r="A18" i="144"/>
  <c r="A18" i="143"/>
  <c r="G17" i="143"/>
  <c r="E19" i="107"/>
  <c r="A20" i="107"/>
  <c r="A19" i="113"/>
  <c r="E18" i="113"/>
  <c r="A19" i="144"/>
  <c r="E18" i="144"/>
  <c r="G18" i="143"/>
  <c r="A19" i="143"/>
  <c r="A21" i="107"/>
  <c r="E20" i="107"/>
  <c r="E19" i="113"/>
  <c r="A20" i="113"/>
  <c r="C61" i="111"/>
  <c r="C63" i="111" s="1"/>
  <c r="D21" i="120"/>
  <c r="E21" i="120"/>
  <c r="F21" i="120"/>
  <c r="G21" i="120"/>
  <c r="G43" i="120" s="1"/>
  <c r="G38" i="140" s="1"/>
  <c r="H21" i="120"/>
  <c r="C21" i="120"/>
  <c r="D19" i="120"/>
  <c r="E19" i="120"/>
  <c r="F19" i="120"/>
  <c r="G19" i="120"/>
  <c r="H19" i="120"/>
  <c r="C19" i="120"/>
  <c r="D17" i="120"/>
  <c r="E17" i="120"/>
  <c r="F17" i="120"/>
  <c r="G17" i="120"/>
  <c r="H17" i="120"/>
  <c r="C17" i="120"/>
  <c r="D13" i="120"/>
  <c r="E13" i="120"/>
  <c r="F13" i="120"/>
  <c r="G13" i="120"/>
  <c r="H13" i="120"/>
  <c r="C13" i="120"/>
  <c r="D11" i="120"/>
  <c r="E11" i="120"/>
  <c r="F11" i="120"/>
  <c r="G11" i="120"/>
  <c r="H11" i="120"/>
  <c r="C11" i="120"/>
  <c r="D21" i="119"/>
  <c r="E21" i="119"/>
  <c r="F21" i="119"/>
  <c r="F43" i="119" s="1"/>
  <c r="F20" i="140" s="1"/>
  <c r="G21" i="119"/>
  <c r="H21" i="119"/>
  <c r="C21" i="119"/>
  <c r="C43" i="119" s="1"/>
  <c r="C20" i="140" s="1"/>
  <c r="D19" i="119"/>
  <c r="E19" i="119"/>
  <c r="F19" i="119"/>
  <c r="F41" i="119" s="1"/>
  <c r="F18" i="140" s="1"/>
  <c r="G19" i="119"/>
  <c r="H19" i="119"/>
  <c r="C19" i="119"/>
  <c r="C41" i="119" s="1"/>
  <c r="C18" i="140" s="1"/>
  <c r="D17" i="119"/>
  <c r="D39" i="119" s="1"/>
  <c r="D16" i="140" s="1"/>
  <c r="E17" i="119"/>
  <c r="F17" i="119"/>
  <c r="G17" i="119"/>
  <c r="H17" i="119"/>
  <c r="C17" i="119"/>
  <c r="C39" i="119" s="1"/>
  <c r="C16" i="140" s="1"/>
  <c r="D13" i="119"/>
  <c r="E13" i="119"/>
  <c r="F13" i="119"/>
  <c r="F35" i="119" s="1"/>
  <c r="F12" i="140" s="1"/>
  <c r="G13" i="119"/>
  <c r="H13" i="119"/>
  <c r="C13" i="119"/>
  <c r="C35" i="119" s="1"/>
  <c r="D11" i="119"/>
  <c r="D33" i="119" s="1"/>
  <c r="D10" i="140" s="1"/>
  <c r="E11" i="119"/>
  <c r="F11" i="119"/>
  <c r="G11" i="119"/>
  <c r="H11" i="119"/>
  <c r="C11" i="119"/>
  <c r="C33" i="119" s="1"/>
  <c r="D21" i="117"/>
  <c r="E21" i="117"/>
  <c r="F21" i="117"/>
  <c r="G21" i="117"/>
  <c r="H21" i="117"/>
  <c r="C21" i="117"/>
  <c r="D19" i="117"/>
  <c r="E19" i="117"/>
  <c r="F19" i="117"/>
  <c r="G19" i="117"/>
  <c r="H19" i="117"/>
  <c r="C19" i="117"/>
  <c r="D17" i="117"/>
  <c r="E17" i="117"/>
  <c r="F17" i="117"/>
  <c r="G17" i="117"/>
  <c r="H17" i="117"/>
  <c r="C17" i="117"/>
  <c r="D13" i="117"/>
  <c r="E13" i="117"/>
  <c r="F13" i="117"/>
  <c r="G13" i="117"/>
  <c r="H13" i="117"/>
  <c r="C13" i="117"/>
  <c r="D11" i="117"/>
  <c r="E11" i="117"/>
  <c r="F11" i="117"/>
  <c r="G11" i="117"/>
  <c r="H11" i="117"/>
  <c r="C11" i="117"/>
  <c r="D21" i="116"/>
  <c r="E21" i="116"/>
  <c r="F21" i="116"/>
  <c r="G21" i="116"/>
  <c r="H21" i="116"/>
  <c r="C21" i="116"/>
  <c r="D19" i="116"/>
  <c r="E19" i="116"/>
  <c r="F19" i="116"/>
  <c r="G19" i="116"/>
  <c r="H19" i="116"/>
  <c r="C19" i="116"/>
  <c r="D17" i="116"/>
  <c r="E17" i="116"/>
  <c r="F17" i="116"/>
  <c r="G17" i="116"/>
  <c r="H17" i="116"/>
  <c r="C17" i="116"/>
  <c r="D13" i="116"/>
  <c r="E13" i="116"/>
  <c r="F13" i="116"/>
  <c r="G13" i="116"/>
  <c r="H13" i="116"/>
  <c r="C13" i="116"/>
  <c r="D11" i="116"/>
  <c r="E11" i="116"/>
  <c r="F11" i="116"/>
  <c r="G11" i="116"/>
  <c r="H11" i="116"/>
  <c r="C11" i="116"/>
  <c r="A20" i="144"/>
  <c r="E19" i="144"/>
  <c r="A20" i="143"/>
  <c r="G19" i="143"/>
  <c r="A22" i="107"/>
  <c r="E21" i="107"/>
  <c r="A21" i="113"/>
  <c r="E20" i="113"/>
  <c r="A21" i="144"/>
  <c r="E20" i="144"/>
  <c r="G20" i="143"/>
  <c r="A21" i="143"/>
  <c r="E22" i="107"/>
  <c r="A23" i="107"/>
  <c r="A22" i="113"/>
  <c r="E21" i="113"/>
  <c r="E21" i="144"/>
  <c r="A22" i="144"/>
  <c r="A22" i="143"/>
  <c r="G21" i="143"/>
  <c r="E23" i="107"/>
  <c r="A24" i="107"/>
  <c r="E22" i="113"/>
  <c r="A23" i="113"/>
  <c r="Q5" i="141"/>
  <c r="E22" i="144"/>
  <c r="A23" i="144"/>
  <c r="G22" i="143"/>
  <c r="A23" i="143"/>
  <c r="A25" i="107"/>
  <c r="E24" i="107"/>
  <c r="A24" i="113"/>
  <c r="E23" i="113"/>
  <c r="P5" i="141"/>
  <c r="A24" i="144"/>
  <c r="E23" i="144"/>
  <c r="A24" i="143"/>
  <c r="G23" i="143"/>
  <c r="A26" i="107"/>
  <c r="E25" i="107"/>
  <c r="A25" i="113"/>
  <c r="E24" i="113"/>
  <c r="F50" i="111"/>
  <c r="E24" i="144"/>
  <c r="A25" i="144"/>
  <c r="A25" i="143"/>
  <c r="G24" i="143"/>
  <c r="A27" i="107"/>
  <c r="E26" i="107"/>
  <c r="E25" i="113"/>
  <c r="A26" i="113"/>
  <c r="E25" i="144"/>
  <c r="A26" i="144"/>
  <c r="G25" i="143"/>
  <c r="A26" i="143"/>
  <c r="E27" i="107"/>
  <c r="A28" i="107"/>
  <c r="A27" i="113"/>
  <c r="E26" i="113"/>
  <c r="B43" i="96"/>
  <c r="A4" i="120"/>
  <c r="A4" i="119"/>
  <c r="A5" i="140"/>
  <c r="A5" i="119" s="1"/>
  <c r="A5" i="117"/>
  <c r="A4" i="117"/>
  <c r="A5" i="116"/>
  <c r="A4" i="116"/>
  <c r="A5" i="139"/>
  <c r="A4" i="139"/>
  <c r="A27" i="144"/>
  <c r="E26" i="144"/>
  <c r="G26" i="143"/>
  <c r="G27" i="143"/>
  <c r="G28" i="143"/>
  <c r="G29" i="143"/>
  <c r="G30" i="143"/>
  <c r="G31" i="143"/>
  <c r="G32" i="143"/>
  <c r="G33" i="143"/>
  <c r="G34" i="143"/>
  <c r="G35" i="143"/>
  <c r="G36" i="143"/>
  <c r="G37" i="143"/>
  <c r="G38" i="143"/>
  <c r="G39" i="143"/>
  <c r="G40" i="143"/>
  <c r="G41" i="143"/>
  <c r="G42" i="143"/>
  <c r="G43" i="143"/>
  <c r="G44" i="143"/>
  <c r="G45" i="143"/>
  <c r="G46" i="143"/>
  <c r="G47" i="143"/>
  <c r="G48" i="143"/>
  <c r="A27" i="143"/>
  <c r="A28" i="143"/>
  <c r="A29" i="143"/>
  <c r="A30" i="143"/>
  <c r="A31" i="143"/>
  <c r="A32" i="143"/>
  <c r="A33" i="143"/>
  <c r="A34" i="143"/>
  <c r="A35" i="143"/>
  <c r="A36" i="143"/>
  <c r="A37" i="143"/>
  <c r="A38" i="143"/>
  <c r="A39" i="143"/>
  <c r="A40" i="143"/>
  <c r="A41" i="143"/>
  <c r="A42" i="143"/>
  <c r="A43" i="143"/>
  <c r="E28" i="107"/>
  <c r="A29" i="107"/>
  <c r="E27" i="113"/>
  <c r="A28" i="113"/>
  <c r="P23" i="111"/>
  <c r="D8" i="117"/>
  <c r="E8" i="117"/>
  <c r="F8" i="117"/>
  <c r="G8" i="117"/>
  <c r="H8" i="117"/>
  <c r="C8" i="117"/>
  <c r="D8" i="116"/>
  <c r="E8" i="116"/>
  <c r="F8" i="116"/>
  <c r="G8" i="116"/>
  <c r="H8" i="116"/>
  <c r="C8" i="116"/>
  <c r="D26" i="140"/>
  <c r="D8" i="120" s="1"/>
  <c r="E26" i="140"/>
  <c r="E8" i="120" s="1"/>
  <c r="F26" i="140"/>
  <c r="F8" i="120" s="1"/>
  <c r="G26" i="140"/>
  <c r="G8" i="120" s="1"/>
  <c r="H26" i="140"/>
  <c r="H8" i="120" s="1"/>
  <c r="C26" i="140"/>
  <c r="C8" i="120" s="1"/>
  <c r="D8" i="140"/>
  <c r="D8" i="119"/>
  <c r="E8" i="140"/>
  <c r="E8" i="119" s="1"/>
  <c r="F8" i="140"/>
  <c r="F8" i="119" s="1"/>
  <c r="G8" i="140"/>
  <c r="G8" i="119" s="1"/>
  <c r="H8" i="140"/>
  <c r="H8" i="119"/>
  <c r="C8" i="140"/>
  <c r="C8" i="119"/>
  <c r="I25" i="140"/>
  <c r="H25" i="140"/>
  <c r="G25" i="140"/>
  <c r="F25" i="140"/>
  <c r="E25" i="140"/>
  <c r="D25" i="140"/>
  <c r="C25" i="140"/>
  <c r="J11" i="140"/>
  <c r="J12" i="140"/>
  <c r="J13" i="140"/>
  <c r="J14" i="140"/>
  <c r="J15" i="140"/>
  <c r="J16" i="140"/>
  <c r="J17" i="140"/>
  <c r="J18" i="140"/>
  <c r="J19" i="140"/>
  <c r="J20" i="140"/>
  <c r="J21" i="140"/>
  <c r="J22" i="140"/>
  <c r="J28" i="140"/>
  <c r="J29" i="140"/>
  <c r="J30" i="140"/>
  <c r="J31" i="140"/>
  <c r="J32" i="140"/>
  <c r="J33" i="140"/>
  <c r="J34" i="140"/>
  <c r="J35" i="140"/>
  <c r="J36" i="140"/>
  <c r="J37" i="140"/>
  <c r="J38" i="140"/>
  <c r="J39" i="140"/>
  <c r="J40" i="140"/>
  <c r="A11" i="140"/>
  <c r="A12" i="140"/>
  <c r="A13" i="140"/>
  <c r="A14" i="140"/>
  <c r="A15" i="140"/>
  <c r="A16" i="140"/>
  <c r="A17" i="140"/>
  <c r="A18" i="140"/>
  <c r="A19" i="140"/>
  <c r="A20" i="140"/>
  <c r="A21" i="140"/>
  <c r="A22" i="140"/>
  <c r="A28" i="140"/>
  <c r="A29" i="140"/>
  <c r="A30" i="140"/>
  <c r="A31" i="140"/>
  <c r="A32" i="140"/>
  <c r="A33" i="140"/>
  <c r="A34" i="140"/>
  <c r="A35" i="140"/>
  <c r="A36" i="140"/>
  <c r="A37" i="140"/>
  <c r="A38" i="140"/>
  <c r="A39" i="140"/>
  <c r="A40" i="140"/>
  <c r="I25" i="139"/>
  <c r="H25" i="139"/>
  <c r="G25" i="139"/>
  <c r="F25" i="139"/>
  <c r="E25" i="139"/>
  <c r="D25" i="139"/>
  <c r="C25" i="139"/>
  <c r="J11" i="139"/>
  <c r="J12" i="139"/>
  <c r="J13" i="139"/>
  <c r="J14" i="139"/>
  <c r="J15" i="139"/>
  <c r="J16" i="139"/>
  <c r="J17" i="139"/>
  <c r="J18" i="139"/>
  <c r="J19" i="139"/>
  <c r="J20" i="139"/>
  <c r="J21" i="139"/>
  <c r="J22" i="139"/>
  <c r="J28" i="139"/>
  <c r="J29" i="139"/>
  <c r="J30" i="139"/>
  <c r="J31" i="139"/>
  <c r="J32" i="139"/>
  <c r="J33" i="139"/>
  <c r="J34" i="139"/>
  <c r="J35" i="139"/>
  <c r="J36" i="139"/>
  <c r="J37" i="139"/>
  <c r="J38" i="139"/>
  <c r="J39" i="139"/>
  <c r="J40" i="139"/>
  <c r="A11" i="139"/>
  <c r="A12" i="139"/>
  <c r="A13" i="139"/>
  <c r="A14" i="139"/>
  <c r="A15" i="139"/>
  <c r="A16" i="139"/>
  <c r="A17" i="139"/>
  <c r="A18" i="139"/>
  <c r="A19" i="139"/>
  <c r="A20" i="139"/>
  <c r="A21" i="139"/>
  <c r="A22" i="139"/>
  <c r="A28" i="139"/>
  <c r="A29" i="139"/>
  <c r="A30" i="139"/>
  <c r="A31" i="139"/>
  <c r="A32" i="139"/>
  <c r="A33" i="139"/>
  <c r="A34" i="139"/>
  <c r="A35" i="139"/>
  <c r="A36" i="139"/>
  <c r="A37" i="139"/>
  <c r="A38" i="139"/>
  <c r="A39" i="139"/>
  <c r="A40" i="139"/>
  <c r="A44" i="143"/>
  <c r="A45" i="143"/>
  <c r="A46" i="143"/>
  <c r="A47" i="143"/>
  <c r="A48" i="143"/>
  <c r="A49" i="143"/>
  <c r="A50" i="143"/>
  <c r="A28" i="144"/>
  <c r="E27" i="144"/>
  <c r="G49" i="143"/>
  <c r="G50" i="143"/>
  <c r="A30" i="107"/>
  <c r="E29" i="107"/>
  <c r="A29" i="113"/>
  <c r="E28" i="113"/>
  <c r="A29" i="144"/>
  <c r="E28" i="144"/>
  <c r="E30" i="107"/>
  <c r="A31" i="107"/>
  <c r="A30" i="113"/>
  <c r="E29" i="113"/>
  <c r="A30" i="144"/>
  <c r="E29" i="144"/>
  <c r="A32" i="107"/>
  <c r="E31" i="107"/>
  <c r="E30" i="113"/>
  <c r="A31" i="113"/>
  <c r="E30" i="144"/>
  <c r="A31" i="144"/>
  <c r="E32" i="107"/>
  <c r="A33" i="107"/>
  <c r="A32" i="113"/>
  <c r="E31" i="113"/>
  <c r="A32" i="144"/>
  <c r="E31" i="144"/>
  <c r="A34" i="107"/>
  <c r="A35" i="107"/>
  <c r="E33" i="107"/>
  <c r="E34" i="107"/>
  <c r="E35" i="107"/>
  <c r="E32" i="113"/>
  <c r="A33" i="113"/>
  <c r="E32" i="144"/>
  <c r="A33" i="144"/>
  <c r="A34" i="113"/>
  <c r="E33" i="113"/>
  <c r="A34" i="144"/>
  <c r="E33" i="144"/>
  <c r="A35" i="113"/>
  <c r="E34" i="113"/>
  <c r="E35" i="113"/>
  <c r="A35" i="144"/>
  <c r="E34" i="144"/>
  <c r="E35" i="144"/>
  <c r="B3" i="17"/>
  <c r="E10" i="56"/>
  <c r="E17" i="111" s="1"/>
  <c r="O9" i="56"/>
  <c r="A7" i="89"/>
  <c r="A8" i="89"/>
  <c r="N9" i="138"/>
  <c r="N13" i="138" s="1"/>
  <c r="J28" i="117"/>
  <c r="D20" i="47"/>
  <c r="F33" i="79"/>
  <c r="F31" i="79"/>
  <c r="F29" i="79"/>
  <c r="F27" i="79"/>
  <c r="F25" i="79"/>
  <c r="F23" i="79"/>
  <c r="F21" i="79"/>
  <c r="F19" i="79"/>
  <c r="F17" i="79"/>
  <c r="F15" i="79"/>
  <c r="F13" i="79"/>
  <c r="D18" i="47"/>
  <c r="G15" i="35"/>
  <c r="G16" i="35"/>
  <c r="G17" i="35"/>
  <c r="G18" i="35"/>
  <c r="G19" i="35"/>
  <c r="G20" i="35"/>
  <c r="G21" i="35"/>
  <c r="G22" i="35"/>
  <c r="G23" i="35"/>
  <c r="G24" i="35"/>
  <c r="G14" i="35"/>
  <c r="F14" i="51"/>
  <c r="F15" i="51"/>
  <c r="F16" i="51"/>
  <c r="F17" i="51"/>
  <c r="F18" i="51"/>
  <c r="F19" i="51"/>
  <c r="F20" i="51"/>
  <c r="F21" i="51"/>
  <c r="F22" i="51"/>
  <c r="F23" i="51"/>
  <c r="F13" i="51"/>
  <c r="F14" i="24"/>
  <c r="F15" i="24"/>
  <c r="F16" i="24"/>
  <c r="F17" i="24"/>
  <c r="F18" i="24"/>
  <c r="F19" i="24"/>
  <c r="F20" i="24"/>
  <c r="F21" i="24"/>
  <c r="F22" i="24"/>
  <c r="F23" i="24"/>
  <c r="F13" i="24"/>
  <c r="A3" i="79"/>
  <c r="A3" i="143" s="1"/>
  <c r="A3" i="144"/>
  <c r="N58" i="111"/>
  <c r="M58" i="111"/>
  <c r="F61" i="111"/>
  <c r="K58" i="111"/>
  <c r="J58" i="111"/>
  <c r="N59" i="111"/>
  <c r="O59" i="111" s="1"/>
  <c r="M59" i="111"/>
  <c r="K59" i="111"/>
  <c r="J59" i="111"/>
  <c r="I59" i="111"/>
  <c r="I61" i="111"/>
  <c r="I63" i="111" s="1"/>
  <c r="H59" i="111"/>
  <c r="E59" i="111"/>
  <c r="D59" i="111"/>
  <c r="G59" i="111"/>
  <c r="L59" i="111"/>
  <c r="L61" i="111" s="1"/>
  <c r="L63" i="111" s="1"/>
  <c r="M61" i="111"/>
  <c r="M63" i="111" s="1"/>
  <c r="B33" i="79"/>
  <c r="B30" i="107" s="1"/>
  <c r="B31" i="79"/>
  <c r="B28" i="144" s="1"/>
  <c r="B29" i="79"/>
  <c r="B26" i="113" s="1"/>
  <c r="B27" i="79"/>
  <c r="B25" i="79"/>
  <c r="B22" i="113" s="1"/>
  <c r="B23" i="79"/>
  <c r="B20" i="113" s="1"/>
  <c r="B21" i="79"/>
  <c r="B18" i="107" s="1"/>
  <c r="B19" i="79"/>
  <c r="B16" i="107" s="1"/>
  <c r="B17" i="79"/>
  <c r="B14" i="107" s="1"/>
  <c r="B15" i="79"/>
  <c r="B12" i="113" s="1"/>
  <c r="B13" i="79"/>
  <c r="B10" i="144" s="1"/>
  <c r="B11" i="79"/>
  <c r="B8" i="144" s="1"/>
  <c r="B12" i="144"/>
  <c r="B12" i="107"/>
  <c r="B28" i="113"/>
  <c r="B22" i="107"/>
  <c r="B22" i="144"/>
  <c r="B24" i="107"/>
  <c r="B24" i="144"/>
  <c r="B24" i="113"/>
  <c r="B26" i="144"/>
  <c r="B8" i="107"/>
  <c r="B4" i="46"/>
  <c r="B3" i="147" s="1"/>
  <c r="J28" i="120"/>
  <c r="J27" i="120"/>
  <c r="C28" i="120"/>
  <c r="C43" i="120" s="1"/>
  <c r="C38" i="140" s="1"/>
  <c r="G28" i="120"/>
  <c r="G39" i="120" s="1"/>
  <c r="G34" i="140" s="1"/>
  <c r="K12" i="120"/>
  <c r="K13" i="120"/>
  <c r="K14" i="120"/>
  <c r="K15" i="120"/>
  <c r="K16" i="120"/>
  <c r="K17" i="120"/>
  <c r="K18" i="120"/>
  <c r="K19" i="120"/>
  <c r="K20" i="120"/>
  <c r="K21" i="120"/>
  <c r="K22" i="120"/>
  <c r="K23" i="120"/>
  <c r="K24" i="120"/>
  <c r="K25" i="120"/>
  <c r="A12" i="120"/>
  <c r="A13" i="120"/>
  <c r="A14" i="120"/>
  <c r="A15" i="120"/>
  <c r="A16" i="120"/>
  <c r="A17" i="120"/>
  <c r="A18" i="120"/>
  <c r="A19" i="120"/>
  <c r="A20" i="120"/>
  <c r="A21" i="120"/>
  <c r="A22" i="120"/>
  <c r="A23" i="120"/>
  <c r="A24" i="120"/>
  <c r="A25" i="120"/>
  <c r="F28" i="119"/>
  <c r="E28" i="119"/>
  <c r="J12" i="119"/>
  <c r="J13" i="119"/>
  <c r="J14" i="119"/>
  <c r="J15" i="119"/>
  <c r="J16" i="119"/>
  <c r="J17" i="119"/>
  <c r="J18" i="119"/>
  <c r="J19" i="119"/>
  <c r="J20" i="119"/>
  <c r="J21" i="119"/>
  <c r="J22" i="119"/>
  <c r="J23" i="119"/>
  <c r="J24" i="119"/>
  <c r="J25" i="119"/>
  <c r="A12" i="119"/>
  <c r="A13" i="119"/>
  <c r="A14" i="119"/>
  <c r="A15" i="119"/>
  <c r="A16" i="119"/>
  <c r="A17" i="119"/>
  <c r="A18" i="119"/>
  <c r="A19" i="119"/>
  <c r="A20" i="119"/>
  <c r="A21" i="119"/>
  <c r="A22" i="119"/>
  <c r="A23" i="119"/>
  <c r="A24" i="119"/>
  <c r="A25" i="119"/>
  <c r="E35" i="119"/>
  <c r="E12" i="140" s="1"/>
  <c r="E33" i="119"/>
  <c r="E10" i="140" s="1"/>
  <c r="F33" i="119"/>
  <c r="K26" i="120"/>
  <c r="K27" i="120"/>
  <c r="K28" i="120"/>
  <c r="A26" i="120"/>
  <c r="A27" i="120"/>
  <c r="A28" i="120"/>
  <c r="A26" i="119"/>
  <c r="A27" i="119"/>
  <c r="A28" i="119"/>
  <c r="J26" i="119"/>
  <c r="J27" i="119"/>
  <c r="J28" i="119"/>
  <c r="D28" i="119"/>
  <c r="D35" i="119" s="1"/>
  <c r="D12" i="140" s="1"/>
  <c r="H28" i="119"/>
  <c r="G28" i="119"/>
  <c r="G39" i="119" s="1"/>
  <c r="G16" i="140" s="1"/>
  <c r="A29" i="120"/>
  <c r="A30" i="120"/>
  <c r="A31" i="120"/>
  <c r="A32" i="120"/>
  <c r="A33" i="120"/>
  <c r="A34" i="120"/>
  <c r="A35" i="120"/>
  <c r="A36" i="120"/>
  <c r="A37" i="120"/>
  <c r="A38" i="120"/>
  <c r="A39" i="120"/>
  <c r="A40" i="120"/>
  <c r="A41" i="120"/>
  <c r="A42" i="120"/>
  <c r="A43" i="120"/>
  <c r="A44" i="120"/>
  <c r="A45" i="120"/>
  <c r="A29" i="119"/>
  <c r="A30" i="119"/>
  <c r="A31" i="119"/>
  <c r="A32" i="119"/>
  <c r="A33" i="119"/>
  <c r="A34" i="119"/>
  <c r="A35" i="119"/>
  <c r="A36" i="119"/>
  <c r="A37" i="119"/>
  <c r="A38" i="119"/>
  <c r="A39" i="119"/>
  <c r="A40" i="119"/>
  <c r="A41" i="119"/>
  <c r="A42" i="119"/>
  <c r="A43" i="119"/>
  <c r="A44" i="119"/>
  <c r="A45" i="119"/>
  <c r="K29" i="120"/>
  <c r="K30" i="120"/>
  <c r="K31" i="120"/>
  <c r="K32" i="120"/>
  <c r="K33" i="120"/>
  <c r="K34" i="120"/>
  <c r="K35" i="120"/>
  <c r="K36" i="120"/>
  <c r="K37" i="120"/>
  <c r="K38" i="120"/>
  <c r="K39" i="120"/>
  <c r="K40" i="120"/>
  <c r="K41" i="120"/>
  <c r="K42" i="120"/>
  <c r="K43" i="120"/>
  <c r="K44" i="120"/>
  <c r="K45" i="120"/>
  <c r="J29" i="119"/>
  <c r="J30" i="119"/>
  <c r="J31" i="119"/>
  <c r="J32" i="119"/>
  <c r="J33" i="119"/>
  <c r="J34" i="119"/>
  <c r="J35" i="119"/>
  <c r="J36" i="119"/>
  <c r="J37" i="119"/>
  <c r="J38" i="119"/>
  <c r="J39" i="119"/>
  <c r="J40" i="119"/>
  <c r="J41" i="119"/>
  <c r="J42" i="119"/>
  <c r="J43" i="119"/>
  <c r="J44" i="119"/>
  <c r="J45" i="119"/>
  <c r="G41" i="119"/>
  <c r="G18" i="140" s="1"/>
  <c r="K12" i="117"/>
  <c r="K13" i="117"/>
  <c r="K14" i="117"/>
  <c r="K15" i="117"/>
  <c r="K16" i="117"/>
  <c r="K17" i="117"/>
  <c r="K18" i="117"/>
  <c r="K19" i="117"/>
  <c r="K20" i="117"/>
  <c r="K21" i="117"/>
  <c r="K22" i="117"/>
  <c r="K23" i="117"/>
  <c r="K24" i="117"/>
  <c r="K25" i="117"/>
  <c r="A12" i="117"/>
  <c r="A13" i="117"/>
  <c r="A14" i="117"/>
  <c r="A15" i="117"/>
  <c r="A16" i="117"/>
  <c r="A17" i="117"/>
  <c r="A18" i="117"/>
  <c r="A19" i="117"/>
  <c r="A20" i="117"/>
  <c r="A21" i="117"/>
  <c r="A22" i="117"/>
  <c r="A23" i="117"/>
  <c r="A24" i="117"/>
  <c r="A25" i="117"/>
  <c r="J12" i="116"/>
  <c r="J13" i="116"/>
  <c r="J14" i="116"/>
  <c r="J15" i="116"/>
  <c r="J16" i="116"/>
  <c r="J17" i="116"/>
  <c r="J18" i="116"/>
  <c r="J19" i="116"/>
  <c r="J20" i="116"/>
  <c r="J21" i="116"/>
  <c r="J22" i="116"/>
  <c r="J23" i="116"/>
  <c r="J24" i="116"/>
  <c r="J25" i="116"/>
  <c r="A12" i="116"/>
  <c r="A13" i="116"/>
  <c r="A14" i="116"/>
  <c r="A15" i="116"/>
  <c r="A16" i="116"/>
  <c r="A17" i="116"/>
  <c r="A18" i="116"/>
  <c r="A19" i="116"/>
  <c r="A20" i="116"/>
  <c r="A21" i="116"/>
  <c r="A22" i="116"/>
  <c r="A23" i="116"/>
  <c r="A24" i="116"/>
  <c r="A25" i="116"/>
  <c r="I15" i="114"/>
  <c r="I16" i="114"/>
  <c r="I17" i="114"/>
  <c r="I18" i="114"/>
  <c r="I19" i="114"/>
  <c r="I20" i="114"/>
  <c r="I21" i="114"/>
  <c r="I22" i="114"/>
  <c r="I23" i="114"/>
  <c r="I24" i="114"/>
  <c r="I25" i="114"/>
  <c r="I26" i="114"/>
  <c r="I27" i="114"/>
  <c r="A15" i="114"/>
  <c r="A16" i="114"/>
  <c r="A17" i="114"/>
  <c r="A18" i="114"/>
  <c r="A19" i="114"/>
  <c r="A20" i="114"/>
  <c r="A21" i="114"/>
  <c r="A22" i="114"/>
  <c r="A23" i="114"/>
  <c r="A24" i="114"/>
  <c r="A25" i="114"/>
  <c r="A26" i="114"/>
  <c r="A27" i="114"/>
  <c r="J26" i="116"/>
  <c r="J27" i="116"/>
  <c r="J28" i="116"/>
  <c r="K26" i="117"/>
  <c r="K27" i="117"/>
  <c r="K28" i="117"/>
  <c r="A26" i="117"/>
  <c r="A27" i="117"/>
  <c r="A28" i="117"/>
  <c r="A26" i="116"/>
  <c r="A27" i="116"/>
  <c r="A28" i="116"/>
  <c r="J29" i="116"/>
  <c r="J30" i="116"/>
  <c r="J31" i="116"/>
  <c r="J32" i="116"/>
  <c r="J33" i="116"/>
  <c r="J34" i="116"/>
  <c r="J35" i="116"/>
  <c r="J36" i="116"/>
  <c r="J37" i="116"/>
  <c r="J38" i="116"/>
  <c r="J39" i="116"/>
  <c r="J40" i="116"/>
  <c r="J41" i="116"/>
  <c r="J42" i="116"/>
  <c r="J43" i="116"/>
  <c r="J44" i="116"/>
  <c r="J45" i="116"/>
  <c r="A29" i="116"/>
  <c r="A30" i="116"/>
  <c r="A31" i="116"/>
  <c r="A32" i="116"/>
  <c r="A33" i="116"/>
  <c r="A34" i="116"/>
  <c r="A35" i="116"/>
  <c r="A36" i="116"/>
  <c r="A37" i="116"/>
  <c r="A38" i="116"/>
  <c r="A39" i="116"/>
  <c r="A40" i="116"/>
  <c r="A41" i="116"/>
  <c r="A42" i="116"/>
  <c r="A43" i="116"/>
  <c r="A44" i="116"/>
  <c r="A45" i="116"/>
  <c r="A29" i="117"/>
  <c r="A30" i="117"/>
  <c r="A31" i="117"/>
  <c r="A32" i="117"/>
  <c r="A33" i="117"/>
  <c r="A34" i="117"/>
  <c r="A35" i="117"/>
  <c r="A36" i="117"/>
  <c r="A37" i="117"/>
  <c r="A38" i="117"/>
  <c r="A39" i="117"/>
  <c r="A40" i="117"/>
  <c r="A41" i="117"/>
  <c r="A42" i="117"/>
  <c r="A43" i="117"/>
  <c r="A44" i="117"/>
  <c r="A45" i="117"/>
  <c r="K29" i="117"/>
  <c r="K30" i="117"/>
  <c r="K31" i="117"/>
  <c r="K32" i="117"/>
  <c r="K33" i="117"/>
  <c r="K34" i="117"/>
  <c r="K35" i="117"/>
  <c r="K36" i="117"/>
  <c r="K37" i="117"/>
  <c r="K38" i="117"/>
  <c r="K39" i="117"/>
  <c r="K40" i="117"/>
  <c r="K41" i="117"/>
  <c r="K42" i="117"/>
  <c r="K43" i="117"/>
  <c r="K44" i="117"/>
  <c r="K45" i="117"/>
  <c r="O62" i="111"/>
  <c r="F63" i="111"/>
  <c r="O60" i="111"/>
  <c r="H58" i="111"/>
  <c r="G58" i="111"/>
  <c r="G61" i="111" s="1"/>
  <c r="G63" i="111" s="1"/>
  <c r="E58" i="111"/>
  <c r="E61" i="111" s="1"/>
  <c r="D58" i="111"/>
  <c r="D61" i="111" s="1"/>
  <c r="D63" i="111" s="1"/>
  <c r="C50" i="111"/>
  <c r="C51" i="111" s="1"/>
  <c r="F11" i="111" s="1"/>
  <c r="L44" i="111"/>
  <c r="H44" i="111"/>
  <c r="G44" i="111"/>
  <c r="F44" i="111"/>
  <c r="D44" i="111"/>
  <c r="C44" i="111"/>
  <c r="O36" i="111"/>
  <c r="N33" i="111"/>
  <c r="M33" i="111"/>
  <c r="L33" i="111"/>
  <c r="K33" i="111"/>
  <c r="J33" i="111"/>
  <c r="I33" i="111"/>
  <c r="H33" i="111"/>
  <c r="G33" i="111"/>
  <c r="F33" i="111"/>
  <c r="E33" i="111"/>
  <c r="D33" i="111"/>
  <c r="C33" i="111"/>
  <c r="N24" i="111"/>
  <c r="M24" i="111"/>
  <c r="L24" i="111"/>
  <c r="K24" i="111"/>
  <c r="J24" i="111"/>
  <c r="I24" i="111"/>
  <c r="H24" i="111"/>
  <c r="G24" i="111"/>
  <c r="F24" i="111"/>
  <c r="E24" i="111"/>
  <c r="D24" i="111"/>
  <c r="C24" i="111"/>
  <c r="O23" i="111"/>
  <c r="O24" i="111"/>
  <c r="C11" i="111"/>
  <c r="D11" i="111" s="1"/>
  <c r="E11" i="111" s="1"/>
  <c r="Q8" i="111"/>
  <c r="Q9" i="111"/>
  <c r="Q10" i="111"/>
  <c r="Q11" i="111"/>
  <c r="Q12" i="111"/>
  <c r="Q13" i="111"/>
  <c r="Q14" i="111"/>
  <c r="Q15" i="111"/>
  <c r="Q16" i="111"/>
  <c r="Q17" i="111"/>
  <c r="Q18" i="111"/>
  <c r="Q19" i="111"/>
  <c r="Q20" i="111"/>
  <c r="Q21" i="111"/>
  <c r="Q22" i="111"/>
  <c r="Q23" i="111"/>
  <c r="Q24" i="111"/>
  <c r="Q25" i="111"/>
  <c r="Q26" i="111"/>
  <c r="Q27" i="111"/>
  <c r="Q28" i="111"/>
  <c r="Q29" i="111"/>
  <c r="Q30" i="111"/>
  <c r="Q31" i="111"/>
  <c r="Q32" i="111"/>
  <c r="Q33" i="111"/>
  <c r="Q34" i="111"/>
  <c r="A8" i="111"/>
  <c r="A9" i="111"/>
  <c r="A10" i="111"/>
  <c r="A11" i="111"/>
  <c r="A12" i="111"/>
  <c r="A13" i="111"/>
  <c r="A14" i="111"/>
  <c r="A15" i="111"/>
  <c r="A16" i="111"/>
  <c r="A17" i="111"/>
  <c r="A18" i="111"/>
  <c r="A19" i="111"/>
  <c r="A20" i="111"/>
  <c r="A21" i="111"/>
  <c r="A22" i="111"/>
  <c r="A23" i="111"/>
  <c r="A24" i="111"/>
  <c r="A25" i="111"/>
  <c r="A26" i="111"/>
  <c r="A27" i="111"/>
  <c r="A28" i="111"/>
  <c r="A29" i="111"/>
  <c r="A30" i="111"/>
  <c r="A31" i="111"/>
  <c r="A32" i="111"/>
  <c r="A33" i="111"/>
  <c r="A34" i="111"/>
  <c r="O7" i="111"/>
  <c r="Q35" i="111"/>
  <c r="Q36" i="111"/>
  <c r="Q37" i="111"/>
  <c r="Q38" i="111"/>
  <c r="A35" i="111"/>
  <c r="A36" i="111"/>
  <c r="A37" i="111"/>
  <c r="A38" i="111"/>
  <c r="A39" i="111"/>
  <c r="A40" i="111"/>
  <c r="A41" i="111"/>
  <c r="A42" i="111"/>
  <c r="A43" i="111"/>
  <c r="A44" i="111"/>
  <c r="Q39" i="111"/>
  <c r="Q40" i="111"/>
  <c r="Q41" i="111"/>
  <c r="Q42" i="111"/>
  <c r="Q43" i="111"/>
  <c r="Q44" i="111"/>
  <c r="M19" i="56"/>
  <c r="C28" i="107" s="1"/>
  <c r="L19" i="56"/>
  <c r="C26" i="107" s="1"/>
  <c r="E19" i="56"/>
  <c r="C12" i="107" s="1"/>
  <c r="M20" i="108"/>
  <c r="F20" i="108"/>
  <c r="O43" i="97"/>
  <c r="N30" i="97"/>
  <c r="N43" i="97" s="1"/>
  <c r="M30" i="97"/>
  <c r="M43" i="97" s="1"/>
  <c r="L30" i="97"/>
  <c r="L43" i="97" s="1"/>
  <c r="K30" i="97"/>
  <c r="K43" i="97" s="1"/>
  <c r="J30" i="97"/>
  <c r="J43" i="97" s="1"/>
  <c r="I30" i="97"/>
  <c r="I43" i="97" s="1"/>
  <c r="H30" i="97"/>
  <c r="H43" i="97" s="1"/>
  <c r="G30" i="97"/>
  <c r="G43" i="97" s="1"/>
  <c r="F30" i="97"/>
  <c r="F43" i="97" s="1"/>
  <c r="E30" i="97"/>
  <c r="E43" i="97" s="1"/>
  <c r="D30" i="97"/>
  <c r="D43" i="97" s="1"/>
  <c r="C30" i="97"/>
  <c r="C43" i="97" s="1"/>
  <c r="B28" i="97"/>
  <c r="P5" i="97"/>
  <c r="P6" i="97"/>
  <c r="P7" i="97"/>
  <c r="P8" i="97"/>
  <c r="A5" i="97"/>
  <c r="A6" i="97"/>
  <c r="A7" i="97"/>
  <c r="A8" i="97"/>
  <c r="N47" i="97"/>
  <c r="M47" i="97"/>
  <c r="L47" i="97"/>
  <c r="K47" i="97"/>
  <c r="J47" i="97"/>
  <c r="I47" i="97"/>
  <c r="H47" i="97"/>
  <c r="G47" i="97"/>
  <c r="F47" i="97"/>
  <c r="E47" i="97"/>
  <c r="D47" i="97"/>
  <c r="C47" i="97"/>
  <c r="N46" i="97"/>
  <c r="K46" i="97"/>
  <c r="J46" i="97"/>
  <c r="I46" i="97"/>
  <c r="H23" i="97"/>
  <c r="G46" i="97"/>
  <c r="F46" i="97"/>
  <c r="D23" i="97"/>
  <c r="C46" i="97"/>
  <c r="M45" i="97"/>
  <c r="L45" i="97"/>
  <c r="K45" i="97"/>
  <c r="I45" i="97"/>
  <c r="H45" i="97"/>
  <c r="E45" i="97"/>
  <c r="D45" i="97"/>
  <c r="O18" i="97"/>
  <c r="N18" i="97"/>
  <c r="M18" i="97"/>
  <c r="L18" i="97"/>
  <c r="K18" i="97"/>
  <c r="J18" i="97"/>
  <c r="I18" i="97"/>
  <c r="H18" i="97"/>
  <c r="G18" i="97"/>
  <c r="F18" i="97"/>
  <c r="E18" i="97"/>
  <c r="D18" i="97"/>
  <c r="C18" i="97"/>
  <c r="N47" i="96"/>
  <c r="M47" i="96"/>
  <c r="L47" i="96"/>
  <c r="K47" i="96"/>
  <c r="J47" i="96"/>
  <c r="I47" i="96"/>
  <c r="H47" i="96"/>
  <c r="G47" i="96"/>
  <c r="F47" i="96"/>
  <c r="E47" i="96"/>
  <c r="D47" i="96"/>
  <c r="C47" i="96"/>
  <c r="N46" i="96"/>
  <c r="N48" i="96" s="1"/>
  <c r="N33" i="96" s="1"/>
  <c r="M46" i="96"/>
  <c r="L46" i="96"/>
  <c r="L48" i="96" s="1"/>
  <c r="L33" i="96" s="1"/>
  <c r="K46" i="96"/>
  <c r="K48" i="96" s="1"/>
  <c r="K33" i="96" s="1"/>
  <c r="J46" i="96"/>
  <c r="I46" i="96"/>
  <c r="H46" i="96"/>
  <c r="G46" i="96"/>
  <c r="G48" i="96" s="1"/>
  <c r="G33" i="96" s="1"/>
  <c r="F46" i="96"/>
  <c r="E46" i="96"/>
  <c r="D46" i="96"/>
  <c r="C46" i="96"/>
  <c r="C48" i="96" s="1"/>
  <c r="C33" i="96" s="1"/>
  <c r="N45" i="96"/>
  <c r="M45" i="96"/>
  <c r="L45" i="96"/>
  <c r="K45" i="96"/>
  <c r="J45" i="96"/>
  <c r="I45" i="96"/>
  <c r="H45" i="96"/>
  <c r="G45" i="96"/>
  <c r="F45" i="96"/>
  <c r="F48" i="96" s="1"/>
  <c r="F33" i="96" s="1"/>
  <c r="E45" i="96"/>
  <c r="O45" i="96" s="1"/>
  <c r="D45" i="96"/>
  <c r="C45" i="96"/>
  <c r="O43" i="96"/>
  <c r="N38" i="96"/>
  <c r="D23" i="24" s="1"/>
  <c r="M38" i="96"/>
  <c r="D22" i="24" s="1"/>
  <c r="L38" i="96"/>
  <c r="K38" i="96"/>
  <c r="D20" i="24" s="1"/>
  <c r="J38" i="96"/>
  <c r="D19" i="24" s="1"/>
  <c r="I38" i="96"/>
  <c r="H38" i="96"/>
  <c r="D17" i="24" s="1"/>
  <c r="G38" i="96"/>
  <c r="D16" i="24" s="1"/>
  <c r="F38" i="96"/>
  <c r="D15" i="24" s="1"/>
  <c r="E38" i="96"/>
  <c r="D38" i="96"/>
  <c r="D13" i="24" s="1"/>
  <c r="C38" i="96"/>
  <c r="D12" i="24" s="1"/>
  <c r="N37" i="96"/>
  <c r="M37" i="96"/>
  <c r="L37" i="96"/>
  <c r="K37" i="96"/>
  <c r="J37" i="96"/>
  <c r="I37" i="96"/>
  <c r="H37" i="96"/>
  <c r="G37" i="96"/>
  <c r="F37" i="96"/>
  <c r="E37" i="96"/>
  <c r="D37" i="96"/>
  <c r="C37" i="96"/>
  <c r="N36" i="96"/>
  <c r="M36" i="96"/>
  <c r="L36" i="96"/>
  <c r="K36" i="96"/>
  <c r="J36" i="96"/>
  <c r="I36" i="96"/>
  <c r="H36" i="96"/>
  <c r="G36" i="96"/>
  <c r="F36" i="96"/>
  <c r="E36" i="96"/>
  <c r="D36" i="96"/>
  <c r="C36" i="96"/>
  <c r="N35" i="96"/>
  <c r="M35" i="96"/>
  <c r="L35" i="96"/>
  <c r="K35" i="96"/>
  <c r="J35" i="96"/>
  <c r="I35" i="96"/>
  <c r="H35" i="96"/>
  <c r="G35" i="96"/>
  <c r="F35" i="96"/>
  <c r="E35" i="96"/>
  <c r="D35" i="96"/>
  <c r="C35" i="96"/>
  <c r="N32" i="96"/>
  <c r="M32" i="96"/>
  <c r="L32" i="96"/>
  <c r="K32" i="96"/>
  <c r="J32" i="96"/>
  <c r="I32" i="96"/>
  <c r="H32" i="96"/>
  <c r="G32" i="96"/>
  <c r="F32" i="96"/>
  <c r="E32" i="96"/>
  <c r="D32" i="96"/>
  <c r="C32" i="96"/>
  <c r="N31" i="96"/>
  <c r="M31" i="96"/>
  <c r="L31" i="96"/>
  <c r="K31" i="96"/>
  <c r="J31" i="96"/>
  <c r="I31" i="96"/>
  <c r="H31" i="96"/>
  <c r="G31" i="96"/>
  <c r="F31" i="96"/>
  <c r="E31" i="96"/>
  <c r="D31" i="96"/>
  <c r="C31" i="96"/>
  <c r="N30" i="96"/>
  <c r="N43" i="96" s="1"/>
  <c r="M30" i="96"/>
  <c r="M43" i="96" s="1"/>
  <c r="L30" i="96"/>
  <c r="L43" i="96" s="1"/>
  <c r="K30" i="96"/>
  <c r="K43" i="96" s="1"/>
  <c r="J30" i="96"/>
  <c r="J43" i="96" s="1"/>
  <c r="I30" i="96"/>
  <c r="I43" i="96" s="1"/>
  <c r="H30" i="96"/>
  <c r="H43" i="96" s="1"/>
  <c r="G30" i="96"/>
  <c r="G43" i="96" s="1"/>
  <c r="F30" i="96"/>
  <c r="F43" i="96" s="1"/>
  <c r="E30" i="96"/>
  <c r="E43" i="96" s="1"/>
  <c r="D30" i="96"/>
  <c r="D43" i="96" s="1"/>
  <c r="C30" i="96"/>
  <c r="C43" i="96" s="1"/>
  <c r="B28" i="96"/>
  <c r="P5" i="96"/>
  <c r="P6" i="96" s="1"/>
  <c r="P7" i="96" s="1"/>
  <c r="P8" i="96" s="1"/>
  <c r="P9" i="96" s="1"/>
  <c r="P10" i="96" s="1"/>
  <c r="A5" i="96"/>
  <c r="A6" i="96" s="1"/>
  <c r="A7" i="96" s="1"/>
  <c r="A8" i="96" s="1"/>
  <c r="N23" i="96"/>
  <c r="M23" i="96"/>
  <c r="L23" i="96"/>
  <c r="K23" i="96"/>
  <c r="J23" i="96"/>
  <c r="I23" i="96"/>
  <c r="H23" i="96"/>
  <c r="G23" i="96"/>
  <c r="F23" i="96"/>
  <c r="E23" i="96"/>
  <c r="D23" i="96"/>
  <c r="C23" i="96"/>
  <c r="O22" i="96"/>
  <c r="O21" i="96"/>
  <c r="O20" i="96"/>
  <c r="O18" i="96"/>
  <c r="N18" i="96"/>
  <c r="M18" i="96"/>
  <c r="L18" i="96"/>
  <c r="K18" i="96"/>
  <c r="J18" i="96"/>
  <c r="I18" i="96"/>
  <c r="H18" i="96"/>
  <c r="G18" i="96"/>
  <c r="F18" i="96"/>
  <c r="E18" i="96"/>
  <c r="D18" i="96"/>
  <c r="C18" i="96"/>
  <c r="O13" i="96"/>
  <c r="O12" i="96"/>
  <c r="O11" i="96"/>
  <c r="O7" i="96"/>
  <c r="O6" i="96"/>
  <c r="G12" i="79"/>
  <c r="G13" i="79"/>
  <c r="G14" i="79"/>
  <c r="G15" i="79"/>
  <c r="G16" i="79"/>
  <c r="G17" i="79"/>
  <c r="G18" i="79"/>
  <c r="G19" i="79"/>
  <c r="G20" i="79"/>
  <c r="G21" i="79"/>
  <c r="G22" i="79"/>
  <c r="G23" i="79"/>
  <c r="G24" i="79"/>
  <c r="G25" i="79"/>
  <c r="G26" i="79"/>
  <c r="G27" i="79"/>
  <c r="G28" i="79"/>
  <c r="G29" i="79"/>
  <c r="G30" i="79"/>
  <c r="G31" i="79"/>
  <c r="G32" i="79"/>
  <c r="G33" i="79"/>
  <c r="G34" i="79"/>
  <c r="G35" i="79"/>
  <c r="G36" i="79"/>
  <c r="G37" i="79"/>
  <c r="G38" i="79"/>
  <c r="A12" i="79"/>
  <c r="A13" i="79"/>
  <c r="A14" i="79"/>
  <c r="A15" i="79"/>
  <c r="A16" i="79"/>
  <c r="A17" i="79"/>
  <c r="A18" i="79"/>
  <c r="A19" i="79"/>
  <c r="A20" i="79"/>
  <c r="A21" i="79"/>
  <c r="A22" i="79"/>
  <c r="A23" i="79"/>
  <c r="A24" i="79"/>
  <c r="A25" i="79"/>
  <c r="A26" i="79"/>
  <c r="A27" i="79"/>
  <c r="A28" i="79"/>
  <c r="A29" i="79"/>
  <c r="A30" i="79"/>
  <c r="A31" i="79"/>
  <c r="A32" i="79"/>
  <c r="A33" i="79"/>
  <c r="A34" i="79"/>
  <c r="A35" i="79"/>
  <c r="A36" i="79"/>
  <c r="A37" i="79"/>
  <c r="A38" i="79"/>
  <c r="Q8" i="56"/>
  <c r="A8" i="56"/>
  <c r="N5" i="56"/>
  <c r="M5" i="56"/>
  <c r="L5" i="56"/>
  <c r="K5" i="56"/>
  <c r="J5" i="56"/>
  <c r="I5" i="56"/>
  <c r="H5" i="56"/>
  <c r="G5" i="56"/>
  <c r="F5" i="56"/>
  <c r="E5" i="56"/>
  <c r="D5" i="56"/>
  <c r="P9" i="97"/>
  <c r="P10" i="97"/>
  <c r="P11" i="97"/>
  <c r="P12" i="97"/>
  <c r="P13" i="97"/>
  <c r="P14" i="97"/>
  <c r="P15" i="97"/>
  <c r="P16" i="97"/>
  <c r="P17" i="97"/>
  <c r="P18" i="97"/>
  <c r="P19" i="97"/>
  <c r="P20" i="97"/>
  <c r="P21" i="97"/>
  <c r="P22" i="97"/>
  <c r="P23" i="97"/>
  <c r="P24" i="97"/>
  <c r="P29" i="97"/>
  <c r="P30" i="97"/>
  <c r="P31" i="97"/>
  <c r="P32" i="97"/>
  <c r="P33" i="97"/>
  <c r="P36" i="97"/>
  <c r="P37" i="97"/>
  <c r="P38" i="97"/>
  <c r="P39" i="97"/>
  <c r="P40" i="97"/>
  <c r="P41" i="97"/>
  <c r="P42" i="97"/>
  <c r="P43" i="97"/>
  <c r="P44" i="97"/>
  <c r="P45" i="97"/>
  <c r="P46" i="97"/>
  <c r="P47" i="97"/>
  <c r="P48" i="97"/>
  <c r="P49" i="97"/>
  <c r="A9" i="97"/>
  <c r="A10" i="97"/>
  <c r="A11" i="97"/>
  <c r="A12" i="97"/>
  <c r="A13" i="97"/>
  <c r="A14" i="97"/>
  <c r="A15" i="97"/>
  <c r="A16" i="97"/>
  <c r="A17" i="97"/>
  <c r="A18" i="97"/>
  <c r="A19" i="97"/>
  <c r="A20" i="97"/>
  <c r="A21" i="97"/>
  <c r="A22" i="97"/>
  <c r="A23" i="97"/>
  <c r="A24" i="97"/>
  <c r="A29" i="97"/>
  <c r="A30" i="97"/>
  <c r="A31" i="97"/>
  <c r="A32" i="97"/>
  <c r="A33" i="97"/>
  <c r="A36" i="97"/>
  <c r="A37" i="97"/>
  <c r="A38" i="97"/>
  <c r="A39" i="97"/>
  <c r="A40" i="97"/>
  <c r="A41" i="97"/>
  <c r="A42" i="97"/>
  <c r="A43" i="97"/>
  <c r="A44" i="97"/>
  <c r="A45" i="97"/>
  <c r="A46" i="97"/>
  <c r="A47" i="97"/>
  <c r="A48" i="97"/>
  <c r="A49" i="97"/>
  <c r="D15" i="116"/>
  <c r="D15" i="119"/>
  <c r="D37" i="119" s="1"/>
  <c r="D14" i="140" s="1"/>
  <c r="H15" i="119"/>
  <c r="H15" i="116"/>
  <c r="F16" i="96"/>
  <c r="J14" i="96"/>
  <c r="N16" i="96"/>
  <c r="C14" i="96"/>
  <c r="D14" i="96"/>
  <c r="H14" i="96"/>
  <c r="L16" i="96"/>
  <c r="Q9" i="56"/>
  <c r="Q10" i="56"/>
  <c r="Q11" i="56"/>
  <c r="Q12" i="56"/>
  <c r="Q13" i="56"/>
  <c r="Q14" i="56"/>
  <c r="Q15" i="56"/>
  <c r="Q16" i="56"/>
  <c r="Q17" i="56"/>
  <c r="Q18" i="56"/>
  <c r="Q19" i="56"/>
  <c r="Q20" i="56"/>
  <c r="A9" i="56"/>
  <c r="A10" i="56"/>
  <c r="A11" i="56"/>
  <c r="A12" i="56"/>
  <c r="A13" i="56"/>
  <c r="A14" i="56"/>
  <c r="A15" i="56"/>
  <c r="G31" i="97"/>
  <c r="C32" i="97"/>
  <c r="K32" i="97"/>
  <c r="N35" i="97"/>
  <c r="N36" i="97"/>
  <c r="N37" i="97"/>
  <c r="F31" i="97"/>
  <c r="J31" i="97"/>
  <c r="N31" i="97"/>
  <c r="F32" i="97"/>
  <c r="J32" i="97"/>
  <c r="N32" i="97"/>
  <c r="E35" i="97"/>
  <c r="I35" i="97"/>
  <c r="M35" i="97"/>
  <c r="E36" i="97"/>
  <c r="I36" i="97"/>
  <c r="M36" i="97"/>
  <c r="E37" i="97"/>
  <c r="I37" i="97"/>
  <c r="M37" i="97"/>
  <c r="C31" i="97"/>
  <c r="G32" i="97"/>
  <c r="J35" i="97"/>
  <c r="F36" i="97"/>
  <c r="F37" i="97"/>
  <c r="D32" i="97"/>
  <c r="H32" i="97"/>
  <c r="L32" i="97"/>
  <c r="G35" i="97"/>
  <c r="K35" i="97"/>
  <c r="C36" i="97"/>
  <c r="G36" i="97"/>
  <c r="K36" i="97"/>
  <c r="C37" i="97"/>
  <c r="G37" i="97"/>
  <c r="K37" i="97"/>
  <c r="K31" i="97"/>
  <c r="F35" i="97"/>
  <c r="J36" i="97"/>
  <c r="J37" i="97"/>
  <c r="I31" i="97"/>
  <c r="E32" i="97"/>
  <c r="I32" i="97"/>
  <c r="M32" i="97"/>
  <c r="D35" i="97"/>
  <c r="H35" i="97"/>
  <c r="L35" i="97"/>
  <c r="D36" i="97"/>
  <c r="H36" i="97"/>
  <c r="L36" i="97"/>
  <c r="D37" i="97"/>
  <c r="H37" i="97"/>
  <c r="L37" i="97"/>
  <c r="I18" i="111"/>
  <c r="M18" i="111"/>
  <c r="F18" i="111"/>
  <c r="N18" i="111"/>
  <c r="C18" i="111"/>
  <c r="G18" i="111"/>
  <c r="K18" i="111"/>
  <c r="E18" i="111"/>
  <c r="J18" i="111"/>
  <c r="D18" i="111"/>
  <c r="H18" i="111"/>
  <c r="L18" i="111"/>
  <c r="L23" i="97"/>
  <c r="D35" i="79"/>
  <c r="D37" i="79"/>
  <c r="D22" i="143"/>
  <c r="D26" i="143"/>
  <c r="O10" i="97"/>
  <c r="O11" i="97"/>
  <c r="O20" i="97"/>
  <c r="H16" i="97"/>
  <c r="I23" i="97"/>
  <c r="C45" i="97"/>
  <c r="F23" i="97"/>
  <c r="J23" i="97"/>
  <c r="N23" i="97"/>
  <c r="E23" i="97"/>
  <c r="M23" i="97"/>
  <c r="G16" i="96"/>
  <c r="G14" i="96"/>
  <c r="K16" i="96"/>
  <c r="K14" i="96"/>
  <c r="F14" i="96"/>
  <c r="N14" i="96"/>
  <c r="O22" i="97"/>
  <c r="D46" i="97"/>
  <c r="L46" i="97"/>
  <c r="G23" i="97"/>
  <c r="D31" i="97"/>
  <c r="L31" i="97"/>
  <c r="C35" i="97"/>
  <c r="F45" i="97"/>
  <c r="N45" i="97"/>
  <c r="E46" i="97"/>
  <c r="M46" i="97"/>
  <c r="D16" i="97"/>
  <c r="E31" i="97"/>
  <c r="M31" i="97"/>
  <c r="G45" i="97"/>
  <c r="H46" i="97"/>
  <c r="O7" i="97"/>
  <c r="C23" i="97"/>
  <c r="K23" i="97"/>
  <c r="H31" i="97"/>
  <c r="J45" i="97"/>
  <c r="O12" i="97"/>
  <c r="O6" i="97"/>
  <c r="O21" i="97"/>
  <c r="E14" i="96"/>
  <c r="E16" i="96"/>
  <c r="I14" i="96"/>
  <c r="I16" i="96"/>
  <c r="M14" i="96"/>
  <c r="M16" i="96"/>
  <c r="O13" i="56"/>
  <c r="E12" i="17"/>
  <c r="D19" i="32"/>
  <c r="C15" i="116"/>
  <c r="C15" i="119"/>
  <c r="C37" i="119" s="1"/>
  <c r="C14" i="140" s="1"/>
  <c r="F15" i="119"/>
  <c r="F37" i="119" s="1"/>
  <c r="F14" i="140" s="1"/>
  <c r="F15" i="116"/>
  <c r="E15" i="119"/>
  <c r="E37" i="119" s="1"/>
  <c r="E15" i="116"/>
  <c r="H15" i="120"/>
  <c r="H15" i="117"/>
  <c r="C15" i="117"/>
  <c r="C15" i="120"/>
  <c r="C37" i="120" s="1"/>
  <c r="C32" i="140" s="1"/>
  <c r="F15" i="120"/>
  <c r="F15" i="117"/>
  <c r="E15" i="120"/>
  <c r="E15" i="117"/>
  <c r="G15" i="119"/>
  <c r="G15" i="116"/>
  <c r="G15" i="120"/>
  <c r="G15" i="117"/>
  <c r="D15" i="120"/>
  <c r="D15" i="117"/>
  <c r="L14" i="96"/>
  <c r="D16" i="96"/>
  <c r="H16" i="96"/>
  <c r="C16" i="96"/>
  <c r="J16" i="96"/>
  <c r="O8" i="96"/>
  <c r="F16" i="97"/>
  <c r="K16" i="97"/>
  <c r="J16" i="97"/>
  <c r="C16" i="97"/>
  <c r="L16" i="97"/>
  <c r="I16" i="97"/>
  <c r="N16" i="97"/>
  <c r="F10" i="140"/>
  <c r="D10" i="56"/>
  <c r="D17" i="111" s="1"/>
  <c r="J10" i="56"/>
  <c r="C25" i="79" s="1"/>
  <c r="E25" i="79" s="1"/>
  <c r="K10" i="56"/>
  <c r="C27" i="79" s="1"/>
  <c r="E27" i="79" s="1"/>
  <c r="I10" i="56"/>
  <c r="I17" i="111" s="1"/>
  <c r="G10" i="56"/>
  <c r="C19" i="79" s="1"/>
  <c r="E19" i="79" s="1"/>
  <c r="M10" i="56"/>
  <c r="C31" i="79" s="1"/>
  <c r="N10" i="56"/>
  <c r="C33" i="79" s="1"/>
  <c r="E33" i="79" s="1"/>
  <c r="H10" i="56"/>
  <c r="C21" i="79" s="1"/>
  <c r="E21" i="79" s="1"/>
  <c r="C10" i="56"/>
  <c r="F10" i="56"/>
  <c r="M16" i="97"/>
  <c r="O8" i="97"/>
  <c r="G16" i="97"/>
  <c r="E16" i="97"/>
  <c r="C17" i="79"/>
  <c r="E17" i="79" s="1"/>
  <c r="F17" i="111"/>
  <c r="C29" i="79"/>
  <c r="E29" i="79" s="1"/>
  <c r="C11" i="79"/>
  <c r="E11" i="79" s="1"/>
  <c r="C17" i="111"/>
  <c r="J17" i="111"/>
  <c r="O8" i="56"/>
  <c r="D26" i="47"/>
  <c r="D28" i="47"/>
  <c r="D24" i="47"/>
  <c r="D16" i="47"/>
  <c r="D14" i="47"/>
  <c r="D10" i="47"/>
  <c r="B4" i="22"/>
  <c r="B4" i="47"/>
  <c r="B15" i="32"/>
  <c r="B4" i="32"/>
  <c r="A4" i="51"/>
  <c r="A4" i="35" s="1"/>
  <c r="D21" i="24"/>
  <c r="D18" i="24"/>
  <c r="D14" i="24"/>
  <c r="B23" i="35"/>
  <c r="B22" i="35"/>
  <c r="B21" i="35"/>
  <c r="B20" i="35"/>
  <c r="B19" i="35"/>
  <c r="B18" i="35"/>
  <c r="B17" i="35"/>
  <c r="B16" i="35"/>
  <c r="B15" i="35"/>
  <c r="B14" i="35"/>
  <c r="B13" i="35"/>
  <c r="A9" i="89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H11" i="17"/>
  <c r="H12" i="17"/>
  <c r="H13" i="17"/>
  <c r="H14" i="17"/>
  <c r="H15" i="17"/>
  <c r="H16" i="17"/>
  <c r="H17" i="17"/>
  <c r="H18" i="17"/>
  <c r="H19" i="17"/>
  <c r="H20" i="17"/>
  <c r="H21" i="17"/>
  <c r="H22" i="17"/>
  <c r="A11" i="17"/>
  <c r="A12" i="17"/>
  <c r="A13" i="17"/>
  <c r="A14" i="17"/>
  <c r="A15" i="17"/>
  <c r="A16" i="17"/>
  <c r="A17" i="17"/>
  <c r="A18" i="17"/>
  <c r="A19" i="17"/>
  <c r="A20" i="17"/>
  <c r="G14" i="32"/>
  <c r="G15" i="32" s="1"/>
  <c r="G16" i="32" s="1"/>
  <c r="G17" i="32" s="1"/>
  <c r="G18" i="32" s="1"/>
  <c r="G19" i="32" s="1"/>
  <c r="G20" i="32" s="1"/>
  <c r="G21" i="32" s="1"/>
  <c r="G22" i="32" s="1"/>
  <c r="G23" i="32" s="1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5" i="32" s="1"/>
  <c r="G36" i="32" s="1"/>
  <c r="G37" i="32" s="1"/>
  <c r="A14" i="32"/>
  <c r="A15" i="32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E11" i="47"/>
  <c r="E12" i="47"/>
  <c r="E13" i="47"/>
  <c r="E14" i="47"/>
  <c r="E15" i="47"/>
  <c r="E16" i="47"/>
  <c r="E17" i="47"/>
  <c r="A11" i="46"/>
  <c r="A12" i="46"/>
  <c r="A13" i="46"/>
  <c r="A14" i="46"/>
  <c r="A15" i="46"/>
  <c r="A16" i="46"/>
  <c r="A17" i="46"/>
  <c r="G13" i="51"/>
  <c r="G14" i="51"/>
  <c r="G15" i="51"/>
  <c r="G16" i="51"/>
  <c r="G17" i="51"/>
  <c r="G18" i="51"/>
  <c r="G19" i="51"/>
  <c r="G20" i="51"/>
  <c r="G21" i="51"/>
  <c r="G22" i="51"/>
  <c r="G23" i="51"/>
  <c r="G24" i="51"/>
  <c r="G25" i="51"/>
  <c r="G26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E11" i="46"/>
  <c r="E12" i="46"/>
  <c r="E13" i="46"/>
  <c r="E14" i="46"/>
  <c r="E15" i="46"/>
  <c r="E16" i="46"/>
  <c r="E17" i="46"/>
  <c r="A11" i="47"/>
  <c r="A12" i="47"/>
  <c r="A13" i="47"/>
  <c r="A14" i="47"/>
  <c r="A15" i="47"/>
  <c r="A16" i="47"/>
  <c r="A17" i="47"/>
  <c r="D13" i="22"/>
  <c r="C13" i="22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A14" i="35"/>
  <c r="A15" i="35"/>
  <c r="A16" i="35"/>
  <c r="A17" i="35"/>
  <c r="A18" i="35"/>
  <c r="A19" i="35"/>
  <c r="A20" i="35"/>
  <c r="A21" i="35"/>
  <c r="A22" i="35"/>
  <c r="A23" i="35"/>
  <c r="A24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14" i="22"/>
  <c r="A15" i="22"/>
  <c r="A16" i="22"/>
  <c r="A17" i="22"/>
  <c r="A18" i="22"/>
  <c r="A19" i="22"/>
  <c r="A20" i="22"/>
  <c r="A21" i="22"/>
  <c r="A22" i="22"/>
  <c r="A23" i="22"/>
  <c r="G14" i="22"/>
  <c r="G15" i="22"/>
  <c r="G16" i="22"/>
  <c r="G17" i="22"/>
  <c r="G18" i="22"/>
  <c r="G19" i="22"/>
  <c r="G20" i="22"/>
  <c r="G21" i="22"/>
  <c r="G22" i="22"/>
  <c r="G23" i="22"/>
  <c r="A40" i="35"/>
  <c r="A21" i="17"/>
  <c r="A22" i="17"/>
  <c r="A23" i="17"/>
  <c r="A24" i="17"/>
  <c r="H23" i="17"/>
  <c r="H24" i="17"/>
  <c r="C8" i="89"/>
  <c r="C9" i="89"/>
  <c r="E18" i="47"/>
  <c r="E19" i="47"/>
  <c r="E20" i="47"/>
  <c r="E21" i="47"/>
  <c r="E22" i="47"/>
  <c r="E23" i="47"/>
  <c r="E24" i="47"/>
  <c r="E25" i="47"/>
  <c r="A18" i="47"/>
  <c r="A19" i="47"/>
  <c r="A20" i="47"/>
  <c r="A21" i="47"/>
  <c r="A22" i="47"/>
  <c r="A23" i="47"/>
  <c r="A24" i="47"/>
  <c r="A25" i="47"/>
  <c r="E18" i="46"/>
  <c r="E19" i="46"/>
  <c r="E20" i="46"/>
  <c r="E21" i="46"/>
  <c r="E22" i="46"/>
  <c r="E23" i="46"/>
  <c r="E24" i="46"/>
  <c r="E25" i="46"/>
  <c r="A18" i="46"/>
  <c r="A19" i="46"/>
  <c r="A20" i="46"/>
  <c r="A21" i="46"/>
  <c r="A22" i="46"/>
  <c r="A23" i="46"/>
  <c r="A24" i="46"/>
  <c r="B24" i="35"/>
  <c r="E26" i="47"/>
  <c r="E27" i="47"/>
  <c r="E28" i="47"/>
  <c r="E29" i="47"/>
  <c r="E30" i="47"/>
  <c r="E31" i="47"/>
  <c r="E32" i="47"/>
  <c r="E33" i="47"/>
  <c r="E34" i="47"/>
  <c r="E35" i="47"/>
  <c r="E36" i="47"/>
  <c r="A26" i="47"/>
  <c r="A27" i="47"/>
  <c r="A28" i="47"/>
  <c r="A29" i="47"/>
  <c r="A30" i="47"/>
  <c r="A31" i="47"/>
  <c r="A32" i="47"/>
  <c r="A33" i="47"/>
  <c r="A34" i="47"/>
  <c r="A35" i="47"/>
  <c r="A36" i="47"/>
  <c r="A25" i="46"/>
  <c r="A26" i="46"/>
  <c r="A27" i="46"/>
  <c r="A28" i="46"/>
  <c r="A29" i="46"/>
  <c r="A30" i="46"/>
  <c r="A31" i="46"/>
  <c r="A32" i="46"/>
  <c r="E26" i="46"/>
  <c r="E27" i="46"/>
  <c r="E28" i="46"/>
  <c r="E29" i="46"/>
  <c r="E30" i="46"/>
  <c r="E31" i="46"/>
  <c r="E32" i="46"/>
  <c r="C18" i="35"/>
  <c r="E18" i="35" s="1"/>
  <c r="C20" i="35"/>
  <c r="C19" i="35"/>
  <c r="O13" i="97"/>
  <c r="A16" i="56"/>
  <c r="A17" i="56"/>
  <c r="A18" i="56"/>
  <c r="A19" i="56"/>
  <c r="A20" i="56"/>
  <c r="K44" i="111" l="1"/>
  <c r="G37" i="119"/>
  <c r="G14" i="140" s="1"/>
  <c r="D48" i="97"/>
  <c r="D33" i="97" s="1"/>
  <c r="J48" i="97"/>
  <c r="J33" i="97" s="1"/>
  <c r="G48" i="97"/>
  <c r="G33" i="97" s="1"/>
  <c r="M48" i="97"/>
  <c r="M33" i="97" s="1"/>
  <c r="N48" i="97"/>
  <c r="N33" i="97" s="1"/>
  <c r="L48" i="97"/>
  <c r="L33" i="97" s="1"/>
  <c r="L39" i="97" s="1"/>
  <c r="C21" i="51" s="1"/>
  <c r="E21" i="51" s="1"/>
  <c r="F48" i="97"/>
  <c r="F33" i="97" s="1"/>
  <c r="F39" i="97" s="1"/>
  <c r="C15" i="51" s="1"/>
  <c r="E15" i="51" s="1"/>
  <c r="E24" i="35"/>
  <c r="E16" i="35"/>
  <c r="E23" i="117"/>
  <c r="O36" i="97"/>
  <c r="K61" i="111"/>
  <c r="K63" i="111" s="1"/>
  <c r="E44" i="111"/>
  <c r="M44" i="111"/>
  <c r="O18" i="111"/>
  <c r="K17" i="111"/>
  <c r="I19" i="56"/>
  <c r="C20" i="107" s="1"/>
  <c r="E20" i="108"/>
  <c r="B28" i="107"/>
  <c r="B18" i="113"/>
  <c r="B16" i="113"/>
  <c r="B16" i="144"/>
  <c r="C16" i="47"/>
  <c r="E30" i="143"/>
  <c r="C16" i="46"/>
  <c r="D20" i="111"/>
  <c r="E21" i="108" s="1"/>
  <c r="E22" i="108" s="1"/>
  <c r="C10" i="107"/>
  <c r="M20" i="111"/>
  <c r="N21" i="108" s="1"/>
  <c r="N22" i="108" s="1"/>
  <c r="L20" i="111"/>
  <c r="M21" i="108" s="1"/>
  <c r="M22" i="108" s="1"/>
  <c r="O23" i="97"/>
  <c r="E48" i="97"/>
  <c r="E33" i="97" s="1"/>
  <c r="E15" i="35"/>
  <c r="C23" i="117"/>
  <c r="E14" i="35"/>
  <c r="O31" i="97"/>
  <c r="O37" i="97"/>
  <c r="C23" i="120"/>
  <c r="E20" i="35"/>
  <c r="F20" i="35" s="1"/>
  <c r="D23" i="120"/>
  <c r="D23" i="116"/>
  <c r="D23" i="117"/>
  <c r="E17" i="35"/>
  <c r="F18" i="35"/>
  <c r="F14" i="35"/>
  <c r="F24" i="35"/>
  <c r="F23" i="35"/>
  <c r="F22" i="35"/>
  <c r="F15" i="35"/>
  <c r="F16" i="35"/>
  <c r="F17" i="35"/>
  <c r="J61" i="111"/>
  <c r="J63" i="111" s="1"/>
  <c r="H61" i="111"/>
  <c r="H63" i="111" s="1"/>
  <c r="N61" i="111"/>
  <c r="N63" i="111" s="1"/>
  <c r="C23" i="79"/>
  <c r="E23" i="79" s="1"/>
  <c r="H48" i="97"/>
  <c r="H33" i="97" s="1"/>
  <c r="H41" i="97" s="1"/>
  <c r="O45" i="97"/>
  <c r="O46" i="97"/>
  <c r="I48" i="97"/>
  <c r="I33" i="97" s="1"/>
  <c r="I39" i="97" s="1"/>
  <c r="C18" i="51" s="1"/>
  <c r="E18" i="51" s="1"/>
  <c r="O47" i="97"/>
  <c r="D26" i="51"/>
  <c r="G43" i="119"/>
  <c r="G20" i="140" s="1"/>
  <c r="I13" i="120"/>
  <c r="E23" i="120"/>
  <c r="O34" i="97"/>
  <c r="J41" i="97"/>
  <c r="O32" i="97"/>
  <c r="I21" i="120"/>
  <c r="I15" i="120"/>
  <c r="O35" i="97"/>
  <c r="I11" i="117"/>
  <c r="H23" i="116"/>
  <c r="I21" i="117"/>
  <c r="H23" i="119"/>
  <c r="F23" i="119"/>
  <c r="G23" i="120"/>
  <c r="I17" i="120"/>
  <c r="E21" i="35"/>
  <c r="O14" i="97"/>
  <c r="C39" i="120"/>
  <c r="C34" i="140" s="1"/>
  <c r="I19" i="120"/>
  <c r="E19" i="35"/>
  <c r="F19" i="35" s="1"/>
  <c r="D23" i="119"/>
  <c r="D43" i="119"/>
  <c r="D20" i="140" s="1"/>
  <c r="I11" i="120"/>
  <c r="C23" i="116"/>
  <c r="G23" i="116"/>
  <c r="I19" i="117"/>
  <c r="G23" i="117"/>
  <c r="O38" i="97"/>
  <c r="O16" i="97"/>
  <c r="F23" i="116"/>
  <c r="F23" i="120"/>
  <c r="I15" i="117"/>
  <c r="H23" i="117"/>
  <c r="F23" i="117"/>
  <c r="H39" i="119"/>
  <c r="H16" i="140" s="1"/>
  <c r="J19" i="56"/>
  <c r="C22" i="107" s="1"/>
  <c r="E20" i="111"/>
  <c r="F21" i="108" s="1"/>
  <c r="F22" i="108" s="1"/>
  <c r="C20" i="111"/>
  <c r="D21" i="108" s="1"/>
  <c r="C8" i="107"/>
  <c r="D20" i="108"/>
  <c r="K19" i="56"/>
  <c r="D16" i="56"/>
  <c r="D24" i="56" s="1"/>
  <c r="G17" i="111"/>
  <c r="C15" i="79"/>
  <c r="E15" i="79" s="1"/>
  <c r="H5" i="111"/>
  <c r="H56" i="111" s="1"/>
  <c r="M5" i="111"/>
  <c r="M56" i="111" s="1"/>
  <c r="H37" i="119"/>
  <c r="H14" i="140" s="1"/>
  <c r="D28" i="120"/>
  <c r="D33" i="120" s="1"/>
  <c r="D28" i="140" s="1"/>
  <c r="C41" i="120"/>
  <c r="C36" i="140" s="1"/>
  <c r="H41" i="119"/>
  <c r="H18" i="140" s="1"/>
  <c r="G35" i="120"/>
  <c r="G30" i="140" s="1"/>
  <c r="B20" i="144"/>
  <c r="B20" i="107"/>
  <c r="B18" i="144"/>
  <c r="E45" i="143"/>
  <c r="I20" i="111"/>
  <c r="J21" i="108" s="1"/>
  <c r="J22" i="108" s="1"/>
  <c r="G19" i="56"/>
  <c r="F19" i="56"/>
  <c r="F24" i="56" s="1"/>
  <c r="N19" i="56"/>
  <c r="C30" i="107" s="1"/>
  <c r="G51" i="141"/>
  <c r="H48" i="141"/>
  <c r="G16" i="56" s="1"/>
  <c r="I48" i="141"/>
  <c r="H16" i="56" s="1"/>
  <c r="O10" i="56"/>
  <c r="E16" i="143"/>
  <c r="C18" i="143" s="1"/>
  <c r="H17" i="111"/>
  <c r="C13" i="79"/>
  <c r="E13" i="79" s="1"/>
  <c r="E63" i="111"/>
  <c r="N5" i="111"/>
  <c r="N56" i="111" s="1"/>
  <c r="K5" i="111"/>
  <c r="K56" i="111" s="1"/>
  <c r="J5" i="111"/>
  <c r="J56" i="111" s="1"/>
  <c r="I5" i="111"/>
  <c r="I56" i="111" s="1"/>
  <c r="E11" i="147"/>
  <c r="D13" i="147" s="1"/>
  <c r="D15" i="147" s="1"/>
  <c r="D35" i="32" s="1"/>
  <c r="D17" i="22" s="1"/>
  <c r="H43" i="119"/>
  <c r="H20" i="140" s="1"/>
  <c r="G41" i="120"/>
  <c r="G36" i="140" s="1"/>
  <c r="E28" i="120"/>
  <c r="H35" i="119"/>
  <c r="H12" i="140" s="1"/>
  <c r="E43" i="119"/>
  <c r="E20" i="140" s="1"/>
  <c r="F28" i="120"/>
  <c r="G35" i="119"/>
  <c r="G12" i="140" s="1"/>
  <c r="F39" i="119"/>
  <c r="F16" i="140" s="1"/>
  <c r="F22" i="140" s="1"/>
  <c r="E41" i="119"/>
  <c r="E18" i="140" s="1"/>
  <c r="H28" i="120"/>
  <c r="E39" i="119"/>
  <c r="E16" i="140" s="1"/>
  <c r="D41" i="119"/>
  <c r="D18" i="140" s="1"/>
  <c r="G37" i="120"/>
  <c r="G32" i="140" s="1"/>
  <c r="G33" i="120"/>
  <c r="G28" i="140" s="1"/>
  <c r="C33" i="120"/>
  <c r="C28" i="140" s="1"/>
  <c r="G33" i="119"/>
  <c r="G10" i="140" s="1"/>
  <c r="A5" i="120"/>
  <c r="F21" i="35"/>
  <c r="D41" i="97"/>
  <c r="J39" i="97"/>
  <c r="C19" i="51" s="1"/>
  <c r="E19" i="51" s="1"/>
  <c r="M41" i="97"/>
  <c r="L41" i="97"/>
  <c r="N41" i="97"/>
  <c r="K48" i="97"/>
  <c r="K33" i="97" s="1"/>
  <c r="K41" i="97" s="1"/>
  <c r="C48" i="97"/>
  <c r="C33" i="97" s="1"/>
  <c r="C41" i="97" s="1"/>
  <c r="K39" i="97"/>
  <c r="C20" i="51" s="1"/>
  <c r="E20" i="51" s="1"/>
  <c r="G41" i="97"/>
  <c r="D39" i="97"/>
  <c r="C13" i="51" s="1"/>
  <c r="E13" i="51" s="1"/>
  <c r="E41" i="97"/>
  <c r="H39" i="97"/>
  <c r="C17" i="51" s="1"/>
  <c r="E17" i="51" s="1"/>
  <c r="E14" i="140"/>
  <c r="F13" i="35"/>
  <c r="C12" i="140"/>
  <c r="C10" i="140"/>
  <c r="C45" i="119"/>
  <c r="N39" i="97"/>
  <c r="C23" i="51" s="1"/>
  <c r="E23" i="51" s="1"/>
  <c r="M39" i="97"/>
  <c r="C22" i="51" s="1"/>
  <c r="E22" i="51" s="1"/>
  <c r="H23" i="120"/>
  <c r="E23" i="116"/>
  <c r="I41" i="97"/>
  <c r="I13" i="117"/>
  <c r="E41" i="120"/>
  <c r="E36" i="140" s="1"/>
  <c r="C26" i="35"/>
  <c r="E39" i="97"/>
  <c r="C14" i="51" s="1"/>
  <c r="E14" i="51" s="1"/>
  <c r="C23" i="119"/>
  <c r="C35" i="120"/>
  <c r="C30" i="140" s="1"/>
  <c r="I17" i="117"/>
  <c r="G39" i="97"/>
  <c r="C16" i="51" s="1"/>
  <c r="E16" i="51" s="1"/>
  <c r="E23" i="119"/>
  <c r="H33" i="119"/>
  <c r="G23" i="119"/>
  <c r="J48" i="96"/>
  <c r="J33" i="96" s="1"/>
  <c r="J41" i="96" s="1"/>
  <c r="J10" i="111" s="1"/>
  <c r="J12" i="111" s="1"/>
  <c r="O34" i="96"/>
  <c r="G39" i="96"/>
  <c r="C16" i="24" s="1"/>
  <c r="E16" i="24" s="1"/>
  <c r="O35" i="96"/>
  <c r="B10" i="107"/>
  <c r="B14" i="113"/>
  <c r="B10" i="113"/>
  <c r="B30" i="113"/>
  <c r="B14" i="144"/>
  <c r="B26" i="107"/>
  <c r="B30" i="144"/>
  <c r="A3" i="113"/>
  <c r="A3" i="107" s="1"/>
  <c r="B8" i="113"/>
  <c r="E13" i="22"/>
  <c r="Q6" i="141"/>
  <c r="D48" i="141"/>
  <c r="K19" i="111"/>
  <c r="L51" i="141"/>
  <c r="A8" i="141"/>
  <c r="Q7" i="141"/>
  <c r="J48" i="141"/>
  <c r="I16" i="56" s="1"/>
  <c r="P17" i="108"/>
  <c r="E43" i="143" s="1"/>
  <c r="O51" i="141"/>
  <c r="N19" i="111"/>
  <c r="O52" i="141" s="1"/>
  <c r="C30" i="144"/>
  <c r="N17" i="111"/>
  <c r="P46" i="141"/>
  <c r="F51" i="141"/>
  <c r="M51" i="141"/>
  <c r="J19" i="111"/>
  <c r="K52" i="141" s="1"/>
  <c r="C22" i="144"/>
  <c r="J24" i="56"/>
  <c r="K51" i="141"/>
  <c r="C14" i="144"/>
  <c r="F19" i="111"/>
  <c r="G52" i="141" s="1"/>
  <c r="E24" i="56"/>
  <c r="E19" i="111"/>
  <c r="F52" i="141" s="1"/>
  <c r="C12" i="144"/>
  <c r="P20" i="141"/>
  <c r="E51" i="141"/>
  <c r="C18" i="107"/>
  <c r="H20" i="111"/>
  <c r="I20" i="108"/>
  <c r="O23" i="96"/>
  <c r="L19" i="111"/>
  <c r="L21" i="111" s="1"/>
  <c r="C26" i="144"/>
  <c r="L24" i="56"/>
  <c r="N51" i="141"/>
  <c r="C28" i="144"/>
  <c r="M19" i="111"/>
  <c r="M24" i="56"/>
  <c r="E31" i="79"/>
  <c r="M17" i="111"/>
  <c r="M48" i="96"/>
  <c r="M33" i="96" s="1"/>
  <c r="M41" i="96" s="1"/>
  <c r="M10" i="111" s="1"/>
  <c r="M12" i="111" s="1"/>
  <c r="D48" i="96"/>
  <c r="D33" i="96" s="1"/>
  <c r="D41" i="96" s="1"/>
  <c r="D10" i="111" s="1"/>
  <c r="D12" i="111" s="1"/>
  <c r="D13" i="111" s="1"/>
  <c r="D14" i="111" s="1"/>
  <c r="H48" i="96"/>
  <c r="H33" i="96" s="1"/>
  <c r="H41" i="96" s="1"/>
  <c r="H10" i="111" s="1"/>
  <c r="H12" i="111" s="1"/>
  <c r="N41" i="96"/>
  <c r="N10" i="111" s="1"/>
  <c r="N12" i="111" s="1"/>
  <c r="N13" i="111" s="1"/>
  <c r="I48" i="96"/>
  <c r="I33" i="96" s="1"/>
  <c r="I39" i="96" s="1"/>
  <c r="C18" i="24" s="1"/>
  <c r="E18" i="24" s="1"/>
  <c r="A9" i="96"/>
  <c r="A10" i="96" s="1"/>
  <c r="A11" i="96" s="1"/>
  <c r="A12" i="96" s="1"/>
  <c r="A13" i="96" s="1"/>
  <c r="A14" i="96" s="1"/>
  <c r="A15" i="96" s="1"/>
  <c r="A16" i="96" s="1"/>
  <c r="A17" i="96" s="1"/>
  <c r="A18" i="96" s="1"/>
  <c r="A19" i="96" s="1"/>
  <c r="A20" i="96" s="1"/>
  <c r="A21" i="96" s="1"/>
  <c r="A22" i="96" s="1"/>
  <c r="A23" i="96" s="1"/>
  <c r="A24" i="96" s="1"/>
  <c r="A29" i="96" s="1"/>
  <c r="A30" i="96" s="1"/>
  <c r="A31" i="96" s="1"/>
  <c r="A32" i="96" s="1"/>
  <c r="A33" i="96" s="1"/>
  <c r="A36" i="96" s="1"/>
  <c r="A37" i="96" s="1"/>
  <c r="A38" i="96" s="1"/>
  <c r="A39" i="96" s="1"/>
  <c r="A40" i="96" s="1"/>
  <c r="A41" i="96" s="1"/>
  <c r="A42" i="96" s="1"/>
  <c r="A43" i="96" s="1"/>
  <c r="A44" i="96" s="1"/>
  <c r="A45" i="96" s="1"/>
  <c r="A46" i="96" s="1"/>
  <c r="A47" i="96" s="1"/>
  <c r="A48" i="96" s="1"/>
  <c r="A49" i="96" s="1"/>
  <c r="O47" i="96"/>
  <c r="P11" i="96"/>
  <c r="P12" i="96" s="1"/>
  <c r="P13" i="96" s="1"/>
  <c r="P14" i="96" s="1"/>
  <c r="P15" i="96" s="1"/>
  <c r="P16" i="96" s="1"/>
  <c r="P17" i="96" s="1"/>
  <c r="P18" i="96" s="1"/>
  <c r="P19" i="96" s="1"/>
  <c r="P20" i="96" s="1"/>
  <c r="P21" i="96" s="1"/>
  <c r="P22" i="96" s="1"/>
  <c r="P23" i="96" s="1"/>
  <c r="P24" i="96" s="1"/>
  <c r="P29" i="96" s="1"/>
  <c r="P30" i="96" s="1"/>
  <c r="P31" i="96" s="1"/>
  <c r="P32" i="96" s="1"/>
  <c r="P33" i="96" s="1"/>
  <c r="P36" i="96" s="1"/>
  <c r="P37" i="96" s="1"/>
  <c r="P38" i="96" s="1"/>
  <c r="P39" i="96" s="1"/>
  <c r="P40" i="96" s="1"/>
  <c r="P41" i="96" s="1"/>
  <c r="P42" i="96" s="1"/>
  <c r="P43" i="96" s="1"/>
  <c r="P44" i="96" s="1"/>
  <c r="P45" i="96" s="1"/>
  <c r="P46" i="96" s="1"/>
  <c r="P47" i="96" s="1"/>
  <c r="P48" i="96" s="1"/>
  <c r="P49" i="96" s="1"/>
  <c r="O16" i="96"/>
  <c r="O46" i="96"/>
  <c r="O48" i="96" s="1"/>
  <c r="N39" i="96"/>
  <c r="C23" i="24" s="1"/>
  <c r="E23" i="24" s="1"/>
  <c r="O36" i="96"/>
  <c r="D26" i="24"/>
  <c r="O31" i="96"/>
  <c r="O37" i="96"/>
  <c r="C41" i="96"/>
  <c r="C10" i="111" s="1"/>
  <c r="C12" i="111" s="1"/>
  <c r="C13" i="111" s="1"/>
  <c r="C39" i="96"/>
  <c r="C12" i="24" s="1"/>
  <c r="E12" i="24" s="1"/>
  <c r="K41" i="96"/>
  <c r="K10" i="111" s="1"/>
  <c r="K12" i="111" s="1"/>
  <c r="K13" i="111" s="1"/>
  <c r="L41" i="96"/>
  <c r="L10" i="111" s="1"/>
  <c r="L12" i="111" s="1"/>
  <c r="L13" i="111" s="1"/>
  <c r="F39" i="96"/>
  <c r="C15" i="24" s="1"/>
  <c r="E15" i="24" s="1"/>
  <c r="G41" i="96"/>
  <c r="G10" i="111" s="1"/>
  <c r="G12" i="111" s="1"/>
  <c r="G13" i="111" s="1"/>
  <c r="G14" i="111" s="1"/>
  <c r="E48" i="96"/>
  <c r="E33" i="96" s="1"/>
  <c r="F41" i="96"/>
  <c r="F10" i="111" s="1"/>
  <c r="F12" i="111" s="1"/>
  <c r="O32" i="96"/>
  <c r="O38" i="96"/>
  <c r="O14" i="96"/>
  <c r="K39" i="96"/>
  <c r="C20" i="24" s="1"/>
  <c r="E20" i="24" s="1"/>
  <c r="L39" i="96"/>
  <c r="C21" i="24" s="1"/>
  <c r="E21" i="24" s="1"/>
  <c r="D35" i="120" l="1"/>
  <c r="D30" i="140" s="1"/>
  <c r="F41" i="97"/>
  <c r="O48" i="97"/>
  <c r="O61" i="111"/>
  <c r="O63" i="111"/>
  <c r="M13" i="111"/>
  <c r="M14" i="111" s="1"/>
  <c r="E35" i="79"/>
  <c r="E37" i="79" s="1"/>
  <c r="C14" i="46" s="1"/>
  <c r="C35" i="79"/>
  <c r="C37" i="79" s="1"/>
  <c r="C22" i="143" s="1"/>
  <c r="E22" i="143" s="1"/>
  <c r="J20" i="111"/>
  <c r="K21" i="108" s="1"/>
  <c r="K22" i="108" s="1"/>
  <c r="N20" i="111"/>
  <c r="O21" i="108" s="1"/>
  <c r="O22" i="108" s="1"/>
  <c r="M39" i="96"/>
  <c r="C22" i="24" s="1"/>
  <c r="E22" i="24" s="1"/>
  <c r="D22" i="108"/>
  <c r="O33" i="97"/>
  <c r="O39" i="97" s="1"/>
  <c r="I23" i="117"/>
  <c r="C40" i="140"/>
  <c r="E26" i="35"/>
  <c r="E28" i="35" s="1"/>
  <c r="F26" i="35"/>
  <c r="F34" i="35" s="1"/>
  <c r="F40" i="35" s="1"/>
  <c r="C21" i="22" s="1"/>
  <c r="D18" i="143"/>
  <c r="D33" i="143" s="1"/>
  <c r="C39" i="97"/>
  <c r="C12" i="51" s="1"/>
  <c r="E12" i="51" s="1"/>
  <c r="E26" i="51" s="1"/>
  <c r="D22" i="140"/>
  <c r="I23" i="120"/>
  <c r="G22" i="140"/>
  <c r="D19" i="111"/>
  <c r="E52" i="141" s="1"/>
  <c r="E53" i="141" s="1"/>
  <c r="C10" i="144"/>
  <c r="K20" i="111"/>
  <c r="L21" i="108" s="1"/>
  <c r="L22" i="108" s="1"/>
  <c r="C24" i="107"/>
  <c r="H51" i="141"/>
  <c r="G19" i="111"/>
  <c r="C16" i="56"/>
  <c r="C19" i="111" s="1"/>
  <c r="D52" i="141" s="1"/>
  <c r="E45" i="119"/>
  <c r="F45" i="119"/>
  <c r="G40" i="140"/>
  <c r="D39" i="120"/>
  <c r="D34" i="140" s="1"/>
  <c r="D41" i="120"/>
  <c r="D36" i="140" s="1"/>
  <c r="D43" i="120"/>
  <c r="D38" i="140" s="1"/>
  <c r="D37" i="120"/>
  <c r="G45" i="120"/>
  <c r="J39" i="96"/>
  <c r="C19" i="24" s="1"/>
  <c r="E19" i="24" s="1"/>
  <c r="C13" i="147"/>
  <c r="E13" i="147" s="1"/>
  <c r="E47" i="143"/>
  <c r="C47" i="143" s="1"/>
  <c r="C49" i="143" s="1"/>
  <c r="O19" i="56"/>
  <c r="F20" i="111"/>
  <c r="G21" i="108" s="1"/>
  <c r="G22" i="108" s="1"/>
  <c r="C14" i="107"/>
  <c r="N24" i="56"/>
  <c r="C16" i="107"/>
  <c r="G20" i="111"/>
  <c r="H21" i="108" s="1"/>
  <c r="H22" i="108" s="1"/>
  <c r="G53" i="141"/>
  <c r="I51" i="141"/>
  <c r="H24" i="56"/>
  <c r="C18" i="144"/>
  <c r="H19" i="111"/>
  <c r="I52" i="141" s="1"/>
  <c r="K24" i="56"/>
  <c r="J51" i="141"/>
  <c r="D51" i="141"/>
  <c r="L52" i="141"/>
  <c r="L53" i="141" s="1"/>
  <c r="C24" i="144"/>
  <c r="D45" i="119"/>
  <c r="F37" i="120"/>
  <c r="F32" i="140" s="1"/>
  <c r="F33" i="120"/>
  <c r="F28" i="140" s="1"/>
  <c r="F35" i="120"/>
  <c r="F30" i="140" s="1"/>
  <c r="F43" i="120"/>
  <c r="F38" i="140" s="1"/>
  <c r="F41" i="120"/>
  <c r="F36" i="140" s="1"/>
  <c r="F39" i="120"/>
  <c r="F34" i="140" s="1"/>
  <c r="C45" i="120"/>
  <c r="H37" i="120"/>
  <c r="H32" i="140" s="1"/>
  <c r="H39" i="120"/>
  <c r="H34" i="140" s="1"/>
  <c r="H33" i="120"/>
  <c r="H41" i="120"/>
  <c r="H36" i="140" s="1"/>
  <c r="H43" i="120"/>
  <c r="H38" i="140" s="1"/>
  <c r="E22" i="140"/>
  <c r="G45" i="119"/>
  <c r="H35" i="120"/>
  <c r="H30" i="140" s="1"/>
  <c r="E43" i="120"/>
  <c r="E33" i="120"/>
  <c r="E28" i="140" s="1"/>
  <c r="E37" i="120"/>
  <c r="E39" i="120"/>
  <c r="E35" i="120"/>
  <c r="E30" i="140" s="1"/>
  <c r="H10" i="140"/>
  <c r="H22" i="140" s="1"/>
  <c r="H45" i="119"/>
  <c r="C22" i="140"/>
  <c r="P20" i="108"/>
  <c r="E21" i="111"/>
  <c r="E25" i="56" s="1"/>
  <c r="E26" i="56" s="1"/>
  <c r="Q8" i="141"/>
  <c r="A9" i="141"/>
  <c r="A10" i="141" s="1"/>
  <c r="O53" i="141"/>
  <c r="P48" i="141"/>
  <c r="P51" i="141" s="1"/>
  <c r="F53" i="141"/>
  <c r="J21" i="111"/>
  <c r="K53" i="141"/>
  <c r="I19" i="111"/>
  <c r="I24" i="56"/>
  <c r="C20" i="144"/>
  <c r="I21" i="108"/>
  <c r="I22" i="108" s="1"/>
  <c r="M52" i="141"/>
  <c r="M53" i="141" s="1"/>
  <c r="L25" i="111"/>
  <c r="L25" i="56"/>
  <c r="L26" i="56" s="1"/>
  <c r="N52" i="141"/>
  <c r="C33" i="143"/>
  <c r="O17" i="111"/>
  <c r="M21" i="111"/>
  <c r="K14" i="111"/>
  <c r="H39" i="96"/>
  <c r="C17" i="24" s="1"/>
  <c r="E17" i="24" s="1"/>
  <c r="O33" i="96"/>
  <c r="O39" i="96" s="1"/>
  <c r="D39" i="96"/>
  <c r="C13" i="24" s="1"/>
  <c r="E13" i="24" s="1"/>
  <c r="N14" i="111"/>
  <c r="I41" i="96"/>
  <c r="I10" i="111" s="1"/>
  <c r="I12" i="111" s="1"/>
  <c r="I13" i="111" s="1"/>
  <c r="I14" i="111" s="1"/>
  <c r="L14" i="111"/>
  <c r="E39" i="96"/>
  <c r="C14" i="24" s="1"/>
  <c r="E14" i="24" s="1"/>
  <c r="E41" i="96"/>
  <c r="E10" i="111" s="1"/>
  <c r="E12" i="111" s="1"/>
  <c r="H13" i="111"/>
  <c r="H14" i="111" s="1"/>
  <c r="C14" i="111"/>
  <c r="F13" i="111"/>
  <c r="F14" i="111" s="1"/>
  <c r="J13" i="111"/>
  <c r="J14" i="111" s="1"/>
  <c r="C14" i="47" l="1"/>
  <c r="C26" i="51"/>
  <c r="O41" i="97"/>
  <c r="I35" i="120"/>
  <c r="D21" i="22"/>
  <c r="E21" i="22"/>
  <c r="R42" i="97"/>
  <c r="N21" i="111"/>
  <c r="N25" i="111" s="1"/>
  <c r="N27" i="111" s="1"/>
  <c r="N31" i="111" s="1"/>
  <c r="D21" i="111"/>
  <c r="D25" i="56" s="1"/>
  <c r="D26" i="56" s="1"/>
  <c r="E18" i="143"/>
  <c r="C24" i="143" s="1"/>
  <c r="E24" i="143" s="1"/>
  <c r="F40" i="140"/>
  <c r="I36" i="140"/>
  <c r="D22" i="114" s="1"/>
  <c r="I30" i="140"/>
  <c r="D16" i="114" s="1"/>
  <c r="C24" i="56"/>
  <c r="F21" i="111"/>
  <c r="F25" i="56" s="1"/>
  <c r="F26" i="56" s="1"/>
  <c r="C8" i="144"/>
  <c r="O20" i="111"/>
  <c r="P21" i="108" s="1"/>
  <c r="P22" i="108" s="1"/>
  <c r="K21" i="111"/>
  <c r="K25" i="111" s="1"/>
  <c r="K27" i="111" s="1"/>
  <c r="K31" i="111" s="1"/>
  <c r="D53" i="141"/>
  <c r="C21" i="111"/>
  <c r="C25" i="111" s="1"/>
  <c r="C27" i="111" s="1"/>
  <c r="D32" i="140"/>
  <c r="D40" i="140" s="1"/>
  <c r="D45" i="120"/>
  <c r="C15" i="147"/>
  <c r="C35" i="32" s="1"/>
  <c r="C17" i="22" s="1"/>
  <c r="E17" i="22" s="1"/>
  <c r="I53" i="141"/>
  <c r="D47" i="143"/>
  <c r="D49" i="143" s="1"/>
  <c r="E18" i="17" s="1"/>
  <c r="G24" i="56"/>
  <c r="C16" i="144"/>
  <c r="O16" i="56"/>
  <c r="C32" i="107"/>
  <c r="C34" i="107" s="1"/>
  <c r="H21" i="111"/>
  <c r="H25" i="111" s="1"/>
  <c r="H27" i="111" s="1"/>
  <c r="H31" i="111" s="1"/>
  <c r="E25" i="111"/>
  <c r="E45" i="120"/>
  <c r="E34" i="140"/>
  <c r="I34" i="140" s="1"/>
  <c r="D20" i="114" s="1"/>
  <c r="I39" i="120"/>
  <c r="E32" i="140"/>
  <c r="I37" i="120"/>
  <c r="H28" i="140"/>
  <c r="H40" i="140" s="1"/>
  <c r="H45" i="120"/>
  <c r="E38" i="140"/>
  <c r="I38" i="140" s="1"/>
  <c r="D24" i="114" s="1"/>
  <c r="I43" i="120"/>
  <c r="I41" i="120"/>
  <c r="F45" i="120"/>
  <c r="I33" i="120"/>
  <c r="O41" i="96"/>
  <c r="C26" i="143"/>
  <c r="E26" i="143" s="1"/>
  <c r="O19" i="111"/>
  <c r="Q9" i="141"/>
  <c r="J25" i="56"/>
  <c r="J26" i="56" s="1"/>
  <c r="J25" i="111"/>
  <c r="J27" i="111" s="1"/>
  <c r="J31" i="111" s="1"/>
  <c r="J52" i="141"/>
  <c r="J53" i="141" s="1"/>
  <c r="I21" i="111"/>
  <c r="H52" i="141"/>
  <c r="H53" i="141" s="1"/>
  <c r="G21" i="111"/>
  <c r="L27" i="111"/>
  <c r="L31" i="111" s="1"/>
  <c r="N53" i="141"/>
  <c r="C25" i="32"/>
  <c r="D18" i="17"/>
  <c r="C21" i="32"/>
  <c r="E33" i="143"/>
  <c r="D14" i="17"/>
  <c r="E14" i="17"/>
  <c r="D21" i="32"/>
  <c r="M25" i="56"/>
  <c r="M25" i="111"/>
  <c r="M27" i="111" s="1"/>
  <c r="M31" i="111" s="1"/>
  <c r="O10" i="111"/>
  <c r="C26" i="24"/>
  <c r="E26" i="24"/>
  <c r="C34" i="47" s="1"/>
  <c r="O12" i="111"/>
  <c r="E13" i="111"/>
  <c r="O13" i="111" s="1"/>
  <c r="D25" i="111" l="1"/>
  <c r="D27" i="111" s="1"/>
  <c r="D31" i="111" s="1"/>
  <c r="N25" i="56"/>
  <c r="N26" i="56" s="1"/>
  <c r="O24" i="56"/>
  <c r="I28" i="140"/>
  <c r="D14" i="114" s="1"/>
  <c r="F25" i="111"/>
  <c r="F27" i="111" s="1"/>
  <c r="F31" i="111" s="1"/>
  <c r="C25" i="56"/>
  <c r="C26" i="56" s="1"/>
  <c r="K25" i="56"/>
  <c r="K26" i="56" s="1"/>
  <c r="O21" i="111"/>
  <c r="O25" i="111" s="1"/>
  <c r="C32" i="144"/>
  <c r="C34" i="144" s="1"/>
  <c r="C18" i="46" s="1"/>
  <c r="D12" i="17"/>
  <c r="F12" i="17" s="1"/>
  <c r="E15" i="147"/>
  <c r="E35" i="32"/>
  <c r="E49" i="143"/>
  <c r="D25" i="32"/>
  <c r="E25" i="32" s="1"/>
  <c r="C20" i="46"/>
  <c r="C20" i="47"/>
  <c r="H25" i="56"/>
  <c r="H26" i="56" s="1"/>
  <c r="C19" i="32"/>
  <c r="E19" i="32" s="1"/>
  <c r="I32" i="140"/>
  <c r="D18" i="114" s="1"/>
  <c r="E40" i="140"/>
  <c r="I45" i="120"/>
  <c r="F14" i="17"/>
  <c r="F18" i="17"/>
  <c r="P52" i="141"/>
  <c r="P53" i="141" s="1"/>
  <c r="I25" i="56"/>
  <c r="I26" i="56" s="1"/>
  <c r="I25" i="111"/>
  <c r="I27" i="111" s="1"/>
  <c r="I31" i="111" s="1"/>
  <c r="G25" i="56"/>
  <c r="G26" i="56" s="1"/>
  <c r="G25" i="111"/>
  <c r="G27" i="111" s="1"/>
  <c r="G31" i="111" s="1"/>
  <c r="E21" i="32"/>
  <c r="M26" i="56"/>
  <c r="R42" i="96"/>
  <c r="E14" i="111"/>
  <c r="C31" i="111"/>
  <c r="C32" i="111" s="1"/>
  <c r="C34" i="111" s="1"/>
  <c r="C38" i="111" s="1"/>
  <c r="D7" i="111" s="1"/>
  <c r="C18" i="47" l="1"/>
  <c r="C22" i="47" s="1"/>
  <c r="E37" i="143"/>
  <c r="D39" i="143" s="1"/>
  <c r="D23" i="32" s="1"/>
  <c r="D27" i="32" s="1"/>
  <c r="C22" i="46"/>
  <c r="D27" i="114"/>
  <c r="O25" i="56"/>
  <c r="O26" i="56" s="1"/>
  <c r="I40" i="140"/>
  <c r="A11" i="141"/>
  <c r="A12" i="141" s="1"/>
  <c r="Q10" i="141"/>
  <c r="E27" i="111"/>
  <c r="E31" i="111" s="1"/>
  <c r="O14" i="111"/>
  <c r="O27" i="111" s="1"/>
  <c r="D30" i="111"/>
  <c r="D32" i="111" s="1"/>
  <c r="D34" i="111" s="1"/>
  <c r="D38" i="111" s="1"/>
  <c r="E7" i="111" s="1"/>
  <c r="C39" i="143" l="1"/>
  <c r="C23" i="32" s="1"/>
  <c r="E23" i="32" s="1"/>
  <c r="E27" i="32" s="1"/>
  <c r="A13" i="141"/>
  <c r="Q13" i="141" s="1"/>
  <c r="Q12" i="141"/>
  <c r="E16" i="17"/>
  <c r="E20" i="17" s="1"/>
  <c r="Q11" i="141"/>
  <c r="E30" i="111"/>
  <c r="E32" i="111" s="1"/>
  <c r="E34" i="111" s="1"/>
  <c r="D16" i="17" l="1"/>
  <c r="D20" i="17" s="1"/>
  <c r="E39" i="143"/>
  <c r="C27" i="32"/>
  <c r="A14" i="141"/>
  <c r="E38" i="111"/>
  <c r="F7" i="111" s="1"/>
  <c r="F16" i="17" l="1"/>
  <c r="F20" i="17" s="1"/>
  <c r="E22" i="17" s="1"/>
  <c r="A15" i="141"/>
  <c r="Q14" i="141"/>
  <c r="F30" i="111"/>
  <c r="F32" i="111" s="1"/>
  <c r="F34" i="111" s="1"/>
  <c r="F38" i="111" s="1"/>
  <c r="G7" i="111" s="1"/>
  <c r="D22" i="17" l="1"/>
  <c r="F22" i="17" s="1"/>
  <c r="A16" i="141"/>
  <c r="Q15" i="141"/>
  <c r="G30" i="111"/>
  <c r="G32" i="111" s="1"/>
  <c r="G34" i="111" s="1"/>
  <c r="G38" i="111" s="1"/>
  <c r="H7" i="111" s="1"/>
  <c r="A17" i="141" l="1"/>
  <c r="Q16" i="141"/>
  <c r="H30" i="111"/>
  <c r="H32" i="111" s="1"/>
  <c r="H34" i="111" s="1"/>
  <c r="H38" i="111" s="1"/>
  <c r="I7" i="111" s="1"/>
  <c r="A18" i="141" l="1"/>
  <c r="Q17" i="141"/>
  <c r="I30" i="111"/>
  <c r="I32" i="111" s="1"/>
  <c r="I34" i="111" s="1"/>
  <c r="I38" i="111" s="1"/>
  <c r="J7" i="111" s="1"/>
  <c r="A19" i="141" l="1"/>
  <c r="Q18" i="141"/>
  <c r="J30" i="111"/>
  <c r="J32" i="111" s="1"/>
  <c r="J34" i="111" s="1"/>
  <c r="J38" i="111" s="1"/>
  <c r="K7" i="111" s="1"/>
  <c r="A20" i="141" l="1"/>
  <c r="Q19" i="141"/>
  <c r="K30" i="111"/>
  <c r="K32" i="111" s="1"/>
  <c r="K34" i="111" s="1"/>
  <c r="K38" i="111" s="1"/>
  <c r="L7" i="111" s="1"/>
  <c r="A21" i="141" l="1"/>
  <c r="Q20" i="141"/>
  <c r="L30" i="111"/>
  <c r="L32" i="111" s="1"/>
  <c r="L34" i="111" s="1"/>
  <c r="L38" i="111" s="1"/>
  <c r="M7" i="111" s="1"/>
  <c r="Q21" i="141" l="1"/>
  <c r="A22" i="141"/>
  <c r="M30" i="111"/>
  <c r="M32" i="111" s="1"/>
  <c r="M34" i="111" s="1"/>
  <c r="M38" i="111" s="1"/>
  <c r="N7" i="111" s="1"/>
  <c r="Q22" i="141" l="1"/>
  <c r="A23" i="141"/>
  <c r="A24" i="141" s="1"/>
  <c r="N30" i="111"/>
  <c r="N32" i="111" s="1"/>
  <c r="N34" i="111" s="1"/>
  <c r="O34" i="111" l="1"/>
  <c r="O38" i="111" s="1"/>
  <c r="A25" i="141"/>
  <c r="A26" i="141" s="1"/>
  <c r="Q24" i="141"/>
  <c r="Q23" i="141"/>
  <c r="Q26" i="141" l="1"/>
  <c r="A27" i="141"/>
  <c r="A28" i="141" s="1"/>
  <c r="A29" i="141" s="1"/>
  <c r="A30" i="141" s="1"/>
  <c r="A31" i="141" s="1"/>
  <c r="A32" i="141" s="1"/>
  <c r="A33" i="141" s="1"/>
  <c r="A34" i="141" s="1"/>
  <c r="A35" i="141" s="1"/>
  <c r="A36" i="141" s="1"/>
  <c r="A37" i="141" s="1"/>
  <c r="A38" i="141" s="1"/>
  <c r="A39" i="141" s="1"/>
  <c r="A40" i="141" s="1"/>
  <c r="A41" i="141" s="1"/>
  <c r="A42" i="141" s="1"/>
  <c r="A43" i="141" s="1"/>
  <c r="A44" i="141" s="1"/>
  <c r="A45" i="141" s="1"/>
  <c r="A46" i="141" s="1"/>
  <c r="A47" i="141" s="1"/>
  <c r="A48" i="141" s="1"/>
  <c r="A49" i="141" s="1"/>
  <c r="A50" i="141" s="1"/>
  <c r="A51" i="141" s="1"/>
  <c r="A52" i="141" s="1"/>
  <c r="A53" i="141" s="1"/>
  <c r="C10" i="17"/>
  <c r="E24" i="17" s="1"/>
  <c r="D15" i="32" s="1"/>
  <c r="D29" i="32" s="1"/>
  <c r="D31" i="32" s="1"/>
  <c r="C10" i="47"/>
  <c r="C24" i="47" s="1"/>
  <c r="C10" i="46"/>
  <c r="C24" i="46" s="1"/>
  <c r="N38" i="111"/>
  <c r="Q25" i="141"/>
  <c r="C26" i="46" l="1"/>
  <c r="C26" i="47"/>
  <c r="D24" i="17"/>
  <c r="C15" i="32" s="1"/>
  <c r="D33" i="32"/>
  <c r="C30" i="46" l="1"/>
  <c r="F24" i="17"/>
  <c r="C36" i="47"/>
  <c r="C28" i="116" s="1"/>
  <c r="C37" i="116" s="1"/>
  <c r="C30" i="47"/>
  <c r="Q27" i="141"/>
  <c r="E15" i="32"/>
  <c r="E29" i="32" s="1"/>
  <c r="C29" i="32"/>
  <c r="C31" i="32" s="1"/>
  <c r="D15" i="22"/>
  <c r="D19" i="22" s="1"/>
  <c r="D23" i="22" s="1"/>
  <c r="D37" i="32"/>
  <c r="C28" i="117" l="1"/>
  <c r="H28" i="117" s="1"/>
  <c r="C43" i="116"/>
  <c r="C20" i="139" s="1"/>
  <c r="C39" i="116"/>
  <c r="C16" i="139" s="1"/>
  <c r="C35" i="116"/>
  <c r="C12" i="139" s="1"/>
  <c r="C33" i="116"/>
  <c r="C10" i="139" s="1"/>
  <c r="D28" i="116"/>
  <c r="D37" i="116" s="1"/>
  <c r="D14" i="139" s="1"/>
  <c r="C41" i="116"/>
  <c r="C18" i="139" s="1"/>
  <c r="G28" i="116"/>
  <c r="G37" i="116" s="1"/>
  <c r="G14" i="139" s="1"/>
  <c r="E28" i="116"/>
  <c r="E39" i="116" s="1"/>
  <c r="E16" i="139" s="1"/>
  <c r="F28" i="116"/>
  <c r="F43" i="116" s="1"/>
  <c r="F20" i="139" s="1"/>
  <c r="H28" i="116"/>
  <c r="H39" i="116" s="1"/>
  <c r="H16" i="139" s="1"/>
  <c r="C14" i="139"/>
  <c r="E31" i="32"/>
  <c r="E33" i="32" s="1"/>
  <c r="E37" i="32" s="1"/>
  <c r="F33" i="116" l="1"/>
  <c r="F10" i="139" s="1"/>
  <c r="F39" i="116"/>
  <c r="F16" i="139" s="1"/>
  <c r="F41" i="116"/>
  <c r="F18" i="139" s="1"/>
  <c r="F37" i="116"/>
  <c r="F14" i="139" s="1"/>
  <c r="H37" i="116"/>
  <c r="H14" i="139" s="1"/>
  <c r="F35" i="116"/>
  <c r="F12" i="139" s="1"/>
  <c r="H43" i="116"/>
  <c r="H20" i="139" s="1"/>
  <c r="H33" i="116"/>
  <c r="H10" i="139" s="1"/>
  <c r="H35" i="116"/>
  <c r="H12" i="139" s="1"/>
  <c r="H41" i="116"/>
  <c r="H18" i="139" s="1"/>
  <c r="F28" i="117"/>
  <c r="F39" i="117" s="1"/>
  <c r="F34" i="139" s="1"/>
  <c r="D28" i="117"/>
  <c r="D33" i="117" s="1"/>
  <c r="D35" i="116"/>
  <c r="D12" i="139" s="1"/>
  <c r="C45" i="116"/>
  <c r="E33" i="116"/>
  <c r="E10" i="139" s="1"/>
  <c r="E43" i="116"/>
  <c r="E20" i="139" s="1"/>
  <c r="G28" i="117"/>
  <c r="G33" i="117" s="1"/>
  <c r="C33" i="117"/>
  <c r="C28" i="139" s="1"/>
  <c r="D41" i="116"/>
  <c r="D18" i="139" s="1"/>
  <c r="E28" i="117"/>
  <c r="E41" i="117" s="1"/>
  <c r="E36" i="139" s="1"/>
  <c r="C39" i="117"/>
  <c r="C34" i="139" s="1"/>
  <c r="E37" i="116"/>
  <c r="E14" i="139" s="1"/>
  <c r="G35" i="116"/>
  <c r="G12" i="139" s="1"/>
  <c r="C35" i="117"/>
  <c r="C30" i="139" s="1"/>
  <c r="E41" i="116"/>
  <c r="E18" i="139" s="1"/>
  <c r="C43" i="117"/>
  <c r="C38" i="139" s="1"/>
  <c r="C41" i="117"/>
  <c r="C36" i="139" s="1"/>
  <c r="E35" i="116"/>
  <c r="E12" i="139" s="1"/>
  <c r="C37" i="117"/>
  <c r="C32" i="139" s="1"/>
  <c r="D33" i="116"/>
  <c r="G41" i="116"/>
  <c r="G18" i="139" s="1"/>
  <c r="G39" i="116"/>
  <c r="G16" i="139" s="1"/>
  <c r="D39" i="116"/>
  <c r="D16" i="139" s="1"/>
  <c r="G43" i="116"/>
  <c r="G20" i="139" s="1"/>
  <c r="D43" i="116"/>
  <c r="D20" i="139" s="1"/>
  <c r="G33" i="116"/>
  <c r="G10" i="139" s="1"/>
  <c r="Q28" i="141"/>
  <c r="C33" i="32"/>
  <c r="C37" i="32" s="1"/>
  <c r="H41" i="117"/>
  <c r="H36" i="139" s="1"/>
  <c r="H35" i="117"/>
  <c r="H30" i="139" s="1"/>
  <c r="H33" i="117"/>
  <c r="H39" i="117"/>
  <c r="H34" i="139" s="1"/>
  <c r="H43" i="117"/>
  <c r="H38" i="139" s="1"/>
  <c r="H37" i="117"/>
  <c r="H32" i="139" s="1"/>
  <c r="C22" i="139"/>
  <c r="F33" i="117" l="1"/>
  <c r="F28" i="139" s="1"/>
  <c r="F43" i="117"/>
  <c r="F38" i="139" s="1"/>
  <c r="G39" i="117"/>
  <c r="G34" i="139" s="1"/>
  <c r="G35" i="117"/>
  <c r="G30" i="139" s="1"/>
  <c r="G43" i="117"/>
  <c r="G38" i="139" s="1"/>
  <c r="G37" i="117"/>
  <c r="G32" i="139" s="1"/>
  <c r="F41" i="117"/>
  <c r="F36" i="139" s="1"/>
  <c r="D37" i="117"/>
  <c r="D32" i="139" s="1"/>
  <c r="D41" i="117"/>
  <c r="D36" i="139" s="1"/>
  <c r="G41" i="117"/>
  <c r="G36" i="139" s="1"/>
  <c r="D43" i="117"/>
  <c r="D38" i="139" s="1"/>
  <c r="F35" i="117"/>
  <c r="F30" i="139" s="1"/>
  <c r="D39" i="117"/>
  <c r="D34" i="139" s="1"/>
  <c r="H45" i="116"/>
  <c r="D35" i="117"/>
  <c r="D30" i="139" s="1"/>
  <c r="F45" i="116"/>
  <c r="F22" i="139"/>
  <c r="H22" i="139"/>
  <c r="F37" i="117"/>
  <c r="F32" i="139" s="1"/>
  <c r="D45" i="116"/>
  <c r="E33" i="117"/>
  <c r="C45" i="117"/>
  <c r="E45" i="116"/>
  <c r="C40" i="139"/>
  <c r="E22" i="139"/>
  <c r="E43" i="117"/>
  <c r="E38" i="139" s="1"/>
  <c r="D10" i="139"/>
  <c r="D22" i="139" s="1"/>
  <c r="E37" i="117"/>
  <c r="E32" i="139" s="1"/>
  <c r="E35" i="117"/>
  <c r="E30" i="139" s="1"/>
  <c r="E39" i="117"/>
  <c r="E34" i="139" s="1"/>
  <c r="G22" i="139"/>
  <c r="G45" i="116"/>
  <c r="Q29" i="141"/>
  <c r="C15" i="22"/>
  <c r="E15" i="22" s="1"/>
  <c r="E19" i="22" s="1"/>
  <c r="E23" i="22" s="1"/>
  <c r="H45" i="117"/>
  <c r="H28" i="139"/>
  <c r="H40" i="139" s="1"/>
  <c r="D28" i="139"/>
  <c r="G28" i="139"/>
  <c r="I33" i="117" l="1"/>
  <c r="E28" i="139"/>
  <c r="I28" i="139" s="1"/>
  <c r="I41" i="117"/>
  <c r="I38" i="139"/>
  <c r="C24" i="114" s="1"/>
  <c r="E24" i="114" s="1"/>
  <c r="I34" i="139"/>
  <c r="C20" i="114" s="1"/>
  <c r="E20" i="114" s="1"/>
  <c r="I36" i="139"/>
  <c r="C22" i="114" s="1"/>
  <c r="F22" i="114" s="1"/>
  <c r="G40" i="139"/>
  <c r="F40" i="139"/>
  <c r="F45" i="117"/>
  <c r="G45" i="117"/>
  <c r="I39" i="117"/>
  <c r="D45" i="117"/>
  <c r="D40" i="139"/>
  <c r="I30" i="139"/>
  <c r="C16" i="114" s="1"/>
  <c r="E16" i="114" s="1"/>
  <c r="I32" i="139"/>
  <c r="C18" i="114" s="1"/>
  <c r="E18" i="114" s="1"/>
  <c r="I43" i="117"/>
  <c r="I37" i="117"/>
  <c r="I35" i="117"/>
  <c r="E45" i="117"/>
  <c r="C19" i="22"/>
  <c r="C23" i="22" s="1"/>
  <c r="Q30" i="141"/>
  <c r="E40" i="139" l="1"/>
  <c r="E22" i="114"/>
  <c r="F24" i="114"/>
  <c r="F20" i="114"/>
  <c r="F16" i="114"/>
  <c r="I45" i="117"/>
  <c r="F18" i="114"/>
  <c r="Q31" i="141"/>
  <c r="I40" i="139"/>
  <c r="C14" i="114"/>
  <c r="Q32" i="141" l="1"/>
  <c r="C27" i="114"/>
  <c r="F27" i="114" s="1"/>
  <c r="E14" i="114"/>
  <c r="E27" i="114" s="1"/>
  <c r="F14" i="114"/>
  <c r="Q33" i="141" l="1"/>
  <c r="Q34" i="141" l="1"/>
  <c r="Q35" i="141" l="1"/>
  <c r="Q36" i="141" l="1"/>
  <c r="Q37" i="141" l="1"/>
  <c r="Q38" i="141" l="1"/>
  <c r="Q39" i="141" l="1"/>
  <c r="Q40" i="141" l="1"/>
  <c r="Q41" i="141" l="1"/>
  <c r="Q42" i="141" l="1"/>
  <c r="Q43" i="141" l="1"/>
  <c r="Q44" i="141" l="1"/>
  <c r="Q45" i="141" l="1"/>
  <c r="Q46" i="141" l="1"/>
  <c r="Q47" i="141" l="1"/>
  <c r="Q48" i="141" l="1"/>
  <c r="Q49" i="141" l="1"/>
  <c r="Q50" i="141" l="1"/>
  <c r="Q51" i="141" l="1"/>
  <c r="Q52" i="141" l="1"/>
  <c r="Q53" i="1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Pham, Jenny L.</author>
  </authors>
  <commentList>
    <comment ref="C28" authorId="0" shapeId="0" xr:uid="{0CF2E599-52B0-4BDE-B496-A5E3311F1047}">
      <text>
        <r>
          <rPr>
            <sz val="11"/>
            <color indexed="81"/>
            <rFont val="Tahoma"/>
            <family val="2"/>
          </rPr>
          <t>-1 Rounding</t>
        </r>
      </text>
    </comment>
    <comment ref="C32" authorId="0" shapeId="0" xr:uid="{6CF4F732-ACB7-41B7-BA2F-7F2C3EB08553}">
      <text>
        <r>
          <rPr>
            <b/>
            <sz val="11"/>
            <color indexed="81"/>
            <rFont val="Tahoma"/>
            <family val="2"/>
          </rPr>
          <t>+1 Rounding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Pham, Jenny L.</author>
  </authors>
  <commentList>
    <comment ref="C28" authorId="0" shapeId="0" xr:uid="{25488B52-65CA-42DA-BC1C-7FF263BC6662}">
      <text>
        <r>
          <rPr>
            <sz val="9"/>
            <color indexed="81"/>
            <rFont val="Tahoma"/>
            <family val="2"/>
          </rPr>
          <t>-1 Rounding</t>
        </r>
      </text>
    </comment>
    <comment ref="C32" authorId="0" shapeId="0" xr:uid="{89E7D90A-6EF8-497C-85B0-A81E40A91E5A}">
      <text>
        <r>
          <rPr>
            <b/>
            <sz val="9"/>
            <color indexed="81"/>
            <rFont val="Tahoma"/>
            <family val="2"/>
          </rPr>
          <t>+1 Rounding</t>
        </r>
      </text>
    </comment>
  </commentList>
</comments>
</file>

<file path=xl/sharedStrings.xml><?xml version="1.0" encoding="utf-8"?>
<sst xmlns="http://schemas.openxmlformats.org/spreadsheetml/2006/main" count="1173" uniqueCount="529">
  <si>
    <t>Statement BD</t>
  </si>
  <si>
    <t>San Diego Gas &amp; Electric Company</t>
  </si>
  <si>
    <t>Allocation Energy and Supporting Data</t>
  </si>
  <si>
    <t>(A)</t>
  </si>
  <si>
    <t>(B)</t>
  </si>
  <si>
    <t>(C) = (A) - (B)</t>
  </si>
  <si>
    <t>Retail Energy Sales</t>
  </si>
  <si>
    <t>Sale for Resale</t>
  </si>
  <si>
    <t>Line</t>
  </si>
  <si>
    <t>@ Meter Level</t>
  </si>
  <si>
    <t xml:space="preserve">(City of </t>
  </si>
  <si>
    <t>No.</t>
  </si>
  <si>
    <t>Date</t>
  </si>
  <si>
    <t>Plus Sale for Resale</t>
  </si>
  <si>
    <r>
      <t xml:space="preserve">Escondido)  </t>
    </r>
    <r>
      <rPr>
        <b/>
        <vertAlign val="superscript"/>
        <sz val="12"/>
        <rFont val="Times New Roman"/>
        <family val="1"/>
      </rPr>
      <t>1</t>
    </r>
  </si>
  <si>
    <t>Net of Sale for Resale</t>
  </si>
  <si>
    <t>Reference</t>
  </si>
  <si>
    <t>Workpaper No. 1; Page 1.1; Lines 30; 29</t>
  </si>
  <si>
    <t>Total</t>
  </si>
  <si>
    <t>Sum Lines 1 thru 12</t>
  </si>
  <si>
    <t>City of Escondido sales are excluded from the KWh total because they are classified as sales to wholesale customers.</t>
  </si>
  <si>
    <t xml:space="preserve">(B) </t>
  </si>
  <si>
    <t>Workpaper No. 1; Page 1.2; Lines 30; 29</t>
  </si>
  <si>
    <t>City of Escondido sales are excluded from the KWh total because they are classified as sales to wholesale customers not retail.</t>
  </si>
  <si>
    <t>Forecast sales are used to develop Statements BG and BH, Revenues at Proposed Rates and Revenues at Present Rates.</t>
  </si>
  <si>
    <t>SAN DIEGO GAS &amp; ELECTRIC COMPANY</t>
  </si>
  <si>
    <t>MWH SALES FORECAST @ Transmission Level</t>
  </si>
  <si>
    <t>(D) = (C) x  Line 19, Col. C</t>
  </si>
  <si>
    <t xml:space="preserve">Retail Energy </t>
  </si>
  <si>
    <t>Energy Sales</t>
  </si>
  <si>
    <t>Sales</t>
  </si>
  <si>
    <t>@ Transmission</t>
  </si>
  <si>
    <t>Months</t>
  </si>
  <si>
    <t>MWh Sales</t>
  </si>
  <si>
    <t>(City of Escondido)</t>
  </si>
  <si>
    <t>Level</t>
  </si>
  <si>
    <t>Cols. A to C, WP No. 1; Page 1.2; Lines 10, 9 &amp; 12</t>
  </si>
  <si>
    <t>Retail Sales Forecast @ Meter Level</t>
  </si>
  <si>
    <t>Col. C; Line 14</t>
  </si>
  <si>
    <r>
      <t xml:space="preserve">Transmission Loss Factor  </t>
    </r>
    <r>
      <rPr>
        <b/>
        <vertAlign val="superscript"/>
        <sz val="12"/>
        <rFont val="Times New Roman"/>
        <family val="1"/>
      </rPr>
      <t>2</t>
    </r>
  </si>
  <si>
    <t>Column B / Column A</t>
  </si>
  <si>
    <t>Retail Sales Forecast @ Transmission Level</t>
  </si>
  <si>
    <t>Col. D; Line 14</t>
  </si>
  <si>
    <r>
      <t xml:space="preserve">Lake Hodges Pumped Storage Facilities </t>
    </r>
    <r>
      <rPr>
        <b/>
        <vertAlign val="superscript"/>
        <sz val="12"/>
        <rFont val="Times New Roman"/>
        <family val="1"/>
      </rPr>
      <t xml:space="preserve"> 3</t>
    </r>
  </si>
  <si>
    <t>Statement BD WP; Page 4 of 5</t>
  </si>
  <si>
    <r>
      <t xml:space="preserve">Pumped Storage True Up Adjustment </t>
    </r>
    <r>
      <rPr>
        <b/>
        <vertAlign val="superscript"/>
        <sz val="12"/>
        <rFont val="Times New Roman"/>
        <family val="1"/>
      </rPr>
      <t>4</t>
    </r>
  </si>
  <si>
    <t>Statement BD WP; Page 5 of 5</t>
  </si>
  <si>
    <t>Total Gross Load Forecast</t>
  </si>
  <si>
    <t>Sum Lines 22 thru 26</t>
  </si>
  <si>
    <t>This information is used for CAISO TAC purposes as shown in Statement BL -Wholesale. The sales forecast excludes Sale for Resale.</t>
  </si>
  <si>
    <t>Energy used for pumping at the Lake Hodges Pumped Storage Facilities is measured at 69kV and gets adjusted by a distribution loss factor to derive the Gross Load forecast.</t>
  </si>
  <si>
    <t>Represents the difference between actual and forecast load associated with the Lake Hodges Pumped Storage Facility for the base year.</t>
  </si>
  <si>
    <t>SAN DIEGO GAS AND ELECTRIC COMPANY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</si>
  <si>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</si>
  <si>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</si>
  <si>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</si>
  <si>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</si>
  <si>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</si>
  <si>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</si>
  <si>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</si>
  <si>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</si>
  <si>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</si>
  <si>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</si>
  <si>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</si>
  <si>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</si>
  <si>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Olivenhain-Lake Hodges Pumping Load</t>
  </si>
  <si>
    <t>Primary Level Distribution Loss Factor</t>
  </si>
  <si>
    <t>Total Lake Hodges Pumping Load</t>
  </si>
  <si>
    <t>Lake Hodges Pumping Load Adjustment Mechanism</t>
  </si>
  <si>
    <t>Line No.</t>
  </si>
  <si>
    <t>Description</t>
  </si>
  <si>
    <t>Amount</t>
  </si>
  <si>
    <t xml:space="preserve">Pumped Storage Facility - Actual Load </t>
  </si>
  <si>
    <t>SDG&amp;E Records</t>
  </si>
  <si>
    <t xml:space="preserve">Pumped Storage Facility - Forecast Load </t>
  </si>
  <si>
    <t>Difference</t>
  </si>
  <si>
    <t>Line 1 Minus Line 2</t>
  </si>
  <si>
    <r>
      <t xml:space="preserve">Pumped Storage - True Up Adjustment  </t>
    </r>
    <r>
      <rPr>
        <b/>
        <vertAlign val="superscript"/>
        <sz val="12"/>
        <rFont val="Times New Roman"/>
        <family val="1"/>
      </rPr>
      <t>1</t>
    </r>
  </si>
  <si>
    <t>Line 3 x Line 4</t>
  </si>
  <si>
    <t>The pumped storage True-Up Adjustment reconciles the difference between the prior year's forecast and actual load data.</t>
  </si>
  <si>
    <t>Statement BG</t>
  </si>
  <si>
    <t>Transmission Revenue Balancing Account Adjustment (TRBAA) Revenues Data to Reflect Changed Rates</t>
  </si>
  <si>
    <t>Comparison of Revenues</t>
  </si>
  <si>
    <t>(D) = (C) / (B)</t>
  </si>
  <si>
    <t>(Statement BG)</t>
  </si>
  <si>
    <t>(Statement BH)</t>
  </si>
  <si>
    <t>TRBAA Revenues</t>
  </si>
  <si>
    <t>(%)</t>
  </si>
  <si>
    <t>Customer Classes</t>
  </si>
  <si>
    <t>@ Changed Rates</t>
  </si>
  <si>
    <r>
      <t xml:space="preserve">@ Present Rates </t>
    </r>
    <r>
      <rPr>
        <b/>
        <vertAlign val="superscript"/>
        <sz val="12"/>
        <rFont val="Times New Roman"/>
        <family val="1"/>
      </rPr>
      <t>1</t>
    </r>
  </si>
  <si>
    <t>($) Change</t>
  </si>
  <si>
    <t>Change</t>
  </si>
  <si>
    <t>Residential Customers</t>
  </si>
  <si>
    <t>Statement BG; Page 2 of 4; Line 14</t>
  </si>
  <si>
    <t>Statement BH; Page 1 of 3; Line 14</t>
  </si>
  <si>
    <t>Small Commercial Customers</t>
  </si>
  <si>
    <t>Statement BG; Page 2 of 4; Line 16</t>
  </si>
  <si>
    <t>Statement BH; Page 1 of 3; Line 16</t>
  </si>
  <si>
    <t xml:space="preserve">Medium and Large Commercial/Industrial  </t>
  </si>
  <si>
    <t>Statement BG; Page 2 of 4; Line 18</t>
  </si>
  <si>
    <t>Statement BH; Page 1 of 3; Line 18</t>
  </si>
  <si>
    <t>Agriculture (PA and TOU-PA)</t>
  </si>
  <si>
    <t>Statement BG; Page 2 of 4; Line 20</t>
  </si>
  <si>
    <t>Statement BH; Page 1 of 3; Line 20</t>
  </si>
  <si>
    <t>Agriculture (PA-T-1)</t>
  </si>
  <si>
    <t>Statement BG; Page 2 of 4; Line 22</t>
  </si>
  <si>
    <t>Statement BH; Page 1 of 3; Line 22</t>
  </si>
  <si>
    <t>Street Lighting Customers</t>
  </si>
  <si>
    <t>Statement BG; Page 2 of 4; Line 24</t>
  </si>
  <si>
    <t>Statement BH; Page 1 of 3; Line 24</t>
  </si>
  <si>
    <t xml:space="preserve">     Grand Total</t>
  </si>
  <si>
    <t>Sum Lines 1 through 11</t>
  </si>
  <si>
    <t>(C)</t>
  </si>
  <si>
    <t>(D)</t>
  </si>
  <si>
    <t>(E)</t>
  </si>
  <si>
    <t>(F)</t>
  </si>
  <si>
    <t>(G)</t>
  </si>
  <si>
    <r>
      <t xml:space="preserve">Residential  </t>
    </r>
    <r>
      <rPr>
        <b/>
        <vertAlign val="superscript"/>
        <sz val="12"/>
        <rFont val="Times New Roman"/>
        <family val="1"/>
      </rPr>
      <t>1</t>
    </r>
  </si>
  <si>
    <r>
      <t xml:space="preserve">Small Commercial  </t>
    </r>
    <r>
      <rPr>
        <b/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</t>
    </r>
  </si>
  <si>
    <r>
      <t xml:space="preserve">Medium and Large Commercial/Industrial  </t>
    </r>
    <r>
      <rPr>
        <b/>
        <vertAlign val="superscript"/>
        <sz val="12"/>
        <rFont val="Times New Roman"/>
        <family val="1"/>
      </rPr>
      <t>3</t>
    </r>
  </si>
  <si>
    <r>
      <t xml:space="preserve">Agriculture (PA and TOU-PA)  </t>
    </r>
    <r>
      <rPr>
        <b/>
        <vertAlign val="superscript"/>
        <sz val="12"/>
        <rFont val="Times New Roman"/>
        <family val="1"/>
      </rPr>
      <t>4</t>
    </r>
  </si>
  <si>
    <r>
      <t xml:space="preserve">Agriculture (PA-T-1)  </t>
    </r>
    <r>
      <rPr>
        <b/>
        <vertAlign val="superscript"/>
        <sz val="12"/>
        <rFont val="Times New Roman"/>
        <family val="1"/>
      </rPr>
      <t>5</t>
    </r>
  </si>
  <si>
    <r>
      <t xml:space="preserve">Street Lighting  </t>
    </r>
    <r>
      <rPr>
        <b/>
        <vertAlign val="superscript"/>
        <sz val="12"/>
        <rFont val="Times New Roman"/>
        <family val="1"/>
      </rPr>
      <t>6</t>
    </r>
  </si>
  <si>
    <t>TOTAL</t>
  </si>
  <si>
    <t>1</t>
  </si>
  <si>
    <t>See Stmt BG pages 3 of 4 and 4 of 4, Line 23.</t>
  </si>
  <si>
    <t>See Stmt BG pages 3 of 4 and 4 of 4, Line 29.</t>
  </si>
  <si>
    <t>See Stmt BG pages 3 of 4 and 4 of 4, Line 25.</t>
  </si>
  <si>
    <t>See Stmt BG pages 3 of 4 and 4 of 4, Line 31.</t>
  </si>
  <si>
    <t>See Stmt BG pages 3 of 4 and 4 of 4, Line 27.</t>
  </si>
  <si>
    <t>See Stmt BG pages 3 of 4 and 4 of 4, Line 33.</t>
  </si>
  <si>
    <t>Energy (kWh)</t>
  </si>
  <si>
    <t>Workpaper No. 1; Page 1.2; Line 23</t>
  </si>
  <si>
    <t xml:space="preserve">Small Commercial </t>
  </si>
  <si>
    <t>Workpaper No. 1; Page 1.2; Line 24</t>
  </si>
  <si>
    <t>Workpaper No. 1; Page 1.2; Line 25</t>
  </si>
  <si>
    <t>Workpaper No. 1; Page 1.2; Line 26</t>
  </si>
  <si>
    <t>Workpaper No. 1; Page 1.2; Line 27</t>
  </si>
  <si>
    <t>Street Lighting</t>
  </si>
  <si>
    <t>Workpaper No. 1; Page 1.2; Line 28</t>
  </si>
  <si>
    <t>Sum Lines 1 thru 11</t>
  </si>
  <si>
    <t>$/(kWh)</t>
  </si>
  <si>
    <t>Retail TRBAA Rate ($/kWh) @ Changed Rate</t>
  </si>
  <si>
    <t>Statement BL (Retail); Page 1; Line 27</t>
  </si>
  <si>
    <t>Revenues @ Changed Rates</t>
  </si>
  <si>
    <t>Line 1 x Line 18</t>
  </si>
  <si>
    <t>Line 3 x Line 18</t>
  </si>
  <si>
    <t>Line 5 x Line 18</t>
  </si>
  <si>
    <t>Line 7 x Line 18</t>
  </si>
  <si>
    <t>Line 9 x Line 18</t>
  </si>
  <si>
    <t>Line 11 x Line 18</t>
  </si>
  <si>
    <t>Sum Lines 23 through 33</t>
  </si>
  <si>
    <t>(H)</t>
  </si>
  <si>
    <t>(I)</t>
  </si>
  <si>
    <t>(J)</t>
  </si>
  <si>
    <t>(K)</t>
  </si>
  <si>
    <t>(L)</t>
  </si>
  <si>
    <t>(M)</t>
  </si>
  <si>
    <t>(N)</t>
  </si>
  <si>
    <t>(O)</t>
  </si>
  <si>
    <t xml:space="preserve">   TOTAL</t>
  </si>
  <si>
    <t>Statement BH</t>
  </si>
  <si>
    <t>See Stmt BH pages 2 of 3 and 3 of 3, Line 23.</t>
  </si>
  <si>
    <t>See Stmt BH pages 2 of 3 and 3 of 3, Line 29.</t>
  </si>
  <si>
    <t>See Stmt BH pages 2 of 3 and 3 of 3, Line 25.</t>
  </si>
  <si>
    <t>See Stmt BH pages 2 of 3 and 3 of 3, Line 31.</t>
  </si>
  <si>
    <t>See Stmt BH pages 2 of 3 and 3 of 3, Line 27.</t>
  </si>
  <si>
    <t>See Stmt BH pages 2 of 3 and 3 of 3, Line 33.</t>
  </si>
  <si>
    <t>Retail TRBAA Rate ($/kWh) @ Present Rate</t>
  </si>
  <si>
    <t>TRBAA @ Present Rates</t>
  </si>
  <si>
    <t>Statement BK-1</t>
  </si>
  <si>
    <t>Total Retail TRBAA Forecast - Including Franchise Fees &amp; Uncollectible Expense</t>
  </si>
  <si>
    <t>Components</t>
  </si>
  <si>
    <t xml:space="preserve">Retail - TRBAA </t>
  </si>
  <si>
    <t>Work paper No. 4; Page 4.4; Line 32</t>
  </si>
  <si>
    <t>Transmission Revenue Credits Forecast:</t>
  </si>
  <si>
    <t xml:space="preserve">   Wheeling Revenues </t>
  </si>
  <si>
    <t>Work paper No. 7; Page 7.1; Line 27</t>
  </si>
  <si>
    <t xml:space="preserve">   Settlements, Metering and Client Relations </t>
  </si>
  <si>
    <t>Work paper No. 8; Page 8.1; Line 27</t>
  </si>
  <si>
    <t xml:space="preserve">   Existing Transmission Contract (ETC) Cost Differentials</t>
  </si>
  <si>
    <t>Work paper No. 9; Page 9.1; Line 27</t>
  </si>
  <si>
    <t xml:space="preserve">   Other PTO Related Revenue (Credits)/Charges</t>
  </si>
  <si>
    <t>Work paper No. 11; Page 11.1; Line 27</t>
  </si>
  <si>
    <t>Total Transmission Revenue Credits Forecast</t>
  </si>
  <si>
    <t>Sum {Line 5 thru Line 11}</t>
  </si>
  <si>
    <t>Total TRBAA Before Franchise Fees and Uncollectibles</t>
  </si>
  <si>
    <t>Line 1 + Line 13</t>
  </si>
  <si>
    <t>Total Franchise Fees and Uncollectible</t>
  </si>
  <si>
    <t>Line 17 + Line 19</t>
  </si>
  <si>
    <t>Total Retail TRBAA Forecast Including FF&amp;U</t>
  </si>
  <si>
    <t>Line 15 + Line 21</t>
  </si>
  <si>
    <t>Statement BK-2</t>
  </si>
  <si>
    <t>Wholesale Customers - HVTRR &amp; LVTRR Calculation</t>
  </si>
  <si>
    <t>(C) = (A) + (B)</t>
  </si>
  <si>
    <t>HIGH VOLTAGE</t>
  </si>
  <si>
    <t>LOW VOLTAGE</t>
  </si>
  <si>
    <t>Transmission</t>
  </si>
  <si>
    <t>Transmission Revenue</t>
  </si>
  <si>
    <t xml:space="preserve">Revenue </t>
  </si>
  <si>
    <t>Requirements</t>
  </si>
  <si>
    <r>
      <t xml:space="preserve">Wholesale Base Transmission Revenue Requirement  </t>
    </r>
    <r>
      <rPr>
        <b/>
        <vertAlign val="superscript"/>
        <sz val="12"/>
        <rFont val="Times New Roman"/>
        <family val="1"/>
      </rPr>
      <t>1</t>
    </r>
  </si>
  <si>
    <t>See Note 1</t>
  </si>
  <si>
    <t>Work paper No. 2 Page 2.1; Line 15</t>
  </si>
  <si>
    <t xml:space="preserve">   Wheeling Revenues</t>
  </si>
  <si>
    <t>Work paper No. 6; Page 6.1; Line 19</t>
  </si>
  <si>
    <t xml:space="preserve">   Settlements, Metering and Client Relations</t>
  </si>
  <si>
    <t>Work paper No. 6; Page 6.1; Line 26</t>
  </si>
  <si>
    <t xml:space="preserve">   ETC Cost Differentials</t>
  </si>
  <si>
    <t>Work paper No. 6; Page 6.1; Line 32</t>
  </si>
  <si>
    <t>Work paper No. 6; Page 6.1; Line 42</t>
  </si>
  <si>
    <t>Sum {Line 7 through Line 13}</t>
  </si>
  <si>
    <t>Total Wholesale TRBAA Before Franchise Fees</t>
  </si>
  <si>
    <t xml:space="preserve">Line 3 + Line 15 </t>
  </si>
  <si>
    <t>Total Wholesale TRBAA Forecast Including Franchise Fees</t>
  </si>
  <si>
    <r>
      <t>Transmission Standby 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 xml:space="preserve"> 2</t>
    </r>
  </si>
  <si>
    <t>Work paper No. 3; Page 3.1; Line 7</t>
  </si>
  <si>
    <t>Wholesale Transmission Revenue Requirement</t>
  </si>
  <si>
    <t>Line 1 + Line 21 + Line 23</t>
  </si>
  <si>
    <t>Statement BL</t>
  </si>
  <si>
    <t>Retail TRBAA Rate Calculation</t>
  </si>
  <si>
    <t>Sum {Line 5 through Line 11}</t>
  </si>
  <si>
    <t>Statement BD; Pg. 1 of 5; Col. C; Ln. 15</t>
  </si>
  <si>
    <t>Retail TRBAA Rate ($/kWh)</t>
  </si>
  <si>
    <t>Line 23 / Line 25</t>
  </si>
  <si>
    <t>High Voltage &amp; Low Voltage Component</t>
  </si>
  <si>
    <t>Combined</t>
  </si>
  <si>
    <t>High Voltage</t>
  </si>
  <si>
    <t>Low Voltage</t>
  </si>
  <si>
    <t>TRR</t>
  </si>
  <si>
    <t>Notes &amp; Reference</t>
  </si>
  <si>
    <r>
      <t xml:space="preserve">Total Wholesale TRBAA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</si>
  <si>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Statement BK-2; Page 1; Line 21</t>
  </si>
  <si>
    <r>
      <t xml:space="preserve">Transmission Standby Revenue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</si>
  <si>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See Note 3</t>
  </si>
  <si>
    <t>Wholesale Transmission Revenue Requirements</t>
  </si>
  <si>
    <t>Sum ( Lines 1, 3, &amp; 5 )</t>
  </si>
  <si>
    <t>Gross Load - MWh</t>
  </si>
  <si>
    <t>Utility Specific Access Charges ($/MWh)</t>
  </si>
  <si>
    <t>Line 7 / Line 9</t>
  </si>
  <si>
    <t>NOTES:</t>
  </si>
  <si>
    <t>The Wholesale TRBAA amount comes from the instant filing, in Statement BK-2; Page 1; Line 21</t>
  </si>
  <si>
    <t>San Diego Gas &amp; Electric Co.</t>
  </si>
  <si>
    <t>System Delivery Determinants</t>
  </si>
  <si>
    <t>Customer Class Deliveries (MWh)</t>
  </si>
  <si>
    <t>Residential</t>
  </si>
  <si>
    <t>Small Commercial</t>
  </si>
  <si>
    <t>Med. &amp; Large Comm./Ind.</t>
  </si>
  <si>
    <t>Agriculture (PA)</t>
  </si>
  <si>
    <t>Lighting</t>
  </si>
  <si>
    <t>Total System</t>
  </si>
  <si>
    <t>Total System - EXCLUDING Sale for Resale</t>
  </si>
  <si>
    <t>INPUT FROM RECORDED SALES FILE:</t>
  </si>
  <si>
    <t>Medium &amp; Large Details - Deliveries in MWH:</t>
  </si>
  <si>
    <t>Med &amp; Large C/I (AD)</t>
  </si>
  <si>
    <t>Med &amp; Large C/I (AL+AY+DGR)</t>
  </si>
  <si>
    <t>Med &amp; Large C/I (A6)</t>
  </si>
  <si>
    <t>San Diego Gas &amp; Electric</t>
  </si>
  <si>
    <t>Customer Class Deliveries (kWh)</t>
  </si>
  <si>
    <t>Medium &amp; Large Details - Deliveries in kWh:</t>
  </si>
  <si>
    <t xml:space="preserve">Med. &amp; Large Comm./Ind. </t>
  </si>
  <si>
    <t>INPUT FROM FORECAST INFORMATION:</t>
  </si>
  <si>
    <t>Allocation Of Beginning TRBAA Balance Based on Forecast Balances</t>
  </si>
  <si>
    <t>Beginning</t>
  </si>
  <si>
    <t>TRBAA Balance</t>
  </si>
  <si>
    <t>TRBAA</t>
  </si>
  <si>
    <t>Forecast - Wheeling Revenues</t>
  </si>
  <si>
    <t>Forecast - Settlements, Metering and Client Relations</t>
  </si>
  <si>
    <t>Forecast - ETC Cost Differentials</t>
  </si>
  <si>
    <t>Forecast - Other PTO Related Revenue (Credits)/Charges</t>
  </si>
  <si>
    <t>Sum Lines 3 through 9</t>
  </si>
  <si>
    <t>Allocation Factors Based on Revenue Credit Forecast</t>
  </si>
  <si>
    <t>Ratios Per Line 11</t>
  </si>
  <si>
    <r>
      <t xml:space="preserve">Allocation of Beginning TRBAA Balance  </t>
    </r>
    <r>
      <rPr>
        <b/>
        <vertAlign val="superscript"/>
        <sz val="12"/>
        <rFont val="Times New Roman"/>
        <family val="1"/>
      </rPr>
      <t>1</t>
    </r>
  </si>
  <si>
    <t>Column (A) Line 1 x Line 13</t>
  </si>
  <si>
    <t>The beginning TRBAA balance on line 1, Column (A), is allocated between High Voltage and Low Voltage, using the ratios that were developed on line 13.</t>
  </si>
  <si>
    <t>Standby Revenues</t>
  </si>
  <si>
    <t>(1)</t>
  </si>
  <si>
    <t>(2)</t>
  </si>
  <si>
    <t>(3) = (1) + (2)</t>
  </si>
  <si>
    <t>Combined TRR</t>
  </si>
  <si>
    <t xml:space="preserve">Total Standby Revenues  </t>
  </si>
  <si>
    <t>See Note 2</t>
  </si>
  <si>
    <t>HV-LV Allocation Factors</t>
  </si>
  <si>
    <t>Ratios Based on Line 2</t>
  </si>
  <si>
    <t>Total HV-LV Standby Revenue Credits</t>
  </si>
  <si>
    <t xml:space="preserve">Col. 3; Line 1 x Line 5 Ratios </t>
  </si>
  <si>
    <t>October</t>
  </si>
  <si>
    <t>November</t>
  </si>
  <si>
    <t>December</t>
  </si>
  <si>
    <t>January</t>
  </si>
  <si>
    <t>February</t>
  </si>
  <si>
    <t>March</t>
  </si>
  <si>
    <t>April</t>
  </si>
  <si>
    <t>August</t>
  </si>
  <si>
    <t>September</t>
  </si>
  <si>
    <t>Beginning Balance (Overcollection)/Undercollection</t>
  </si>
  <si>
    <t>Previous Month's Balance</t>
  </si>
  <si>
    <t>TRBAA Refund</t>
  </si>
  <si>
    <t xml:space="preserve">   Kwh (Excluding Sales for Resale).</t>
  </si>
  <si>
    <t>Work Paper No. 1; Page 1.1; Line 32</t>
  </si>
  <si>
    <t xml:space="preserve">   TRBAA Rate</t>
  </si>
  <si>
    <t xml:space="preserve">        Total TRBAA Refund Including Franchise Fees &amp; Uncollectibles</t>
  </si>
  <si>
    <t>Line 4 x Line 5</t>
  </si>
  <si>
    <t xml:space="preserve">   Franchise Fees &amp; Uncollectible Expense Adjustment</t>
  </si>
  <si>
    <t>(Line 6 / (1+ Line 38)) * Line 38</t>
  </si>
  <si>
    <t xml:space="preserve">   TRBAA Refunds/Collections Excluding Uncollectibles</t>
  </si>
  <si>
    <t>Line 6 - Line 7</t>
  </si>
  <si>
    <t>PTO Related - ISO Charge Types:</t>
  </si>
  <si>
    <t xml:space="preserve">    CT 384/ CT 382 - HV Wheeling Revenues Due TO/Due ISO (Net)</t>
  </si>
  <si>
    <t>Work Paper No. 5; Page 5.1-5.2; Line 4</t>
  </si>
  <si>
    <t xml:space="preserve">    CT 4575 - Settlements, Metering, Client Relations </t>
  </si>
  <si>
    <t>Work Paper No. 5; Page 5.1-5.2; Line 7</t>
  </si>
  <si>
    <t xml:space="preserve">    ETC Cost Differentials</t>
  </si>
  <si>
    <t>Work Paper No. 5; Page 5.1-5.2; Line 10</t>
  </si>
  <si>
    <t xml:space="preserve">    Other PTO Related Revenue (Credits)/Charges</t>
  </si>
  <si>
    <t>Work Paper No. 5; Page 5.1-5.2; Line 13</t>
  </si>
  <si>
    <t xml:space="preserve">          Sub-Total Monthly PTO Related Activity</t>
  </si>
  <si>
    <t>Sum Lines 11 thru 14</t>
  </si>
  <si>
    <t>Other CAISO Adjustment</t>
  </si>
  <si>
    <t xml:space="preserve">          Sub-Total Adjustment</t>
  </si>
  <si>
    <t>Sum Line 17</t>
  </si>
  <si>
    <t xml:space="preserve">               Total </t>
  </si>
  <si>
    <t>Sum Lines 15; 18</t>
  </si>
  <si>
    <t>Net Monthly Activity (Net Refunds, Revenues, Expenses, &amp; Adjustments)</t>
  </si>
  <si>
    <t>Interest Expense Calculations:</t>
  </si>
  <si>
    <t xml:space="preserve">      Beginning Balance for Interest Calculation</t>
  </si>
  <si>
    <t xml:space="preserve">      Monthly Activity Included in Interest Calculation Basis</t>
  </si>
  <si>
    <t>Interest Calculation Basis</t>
  </si>
  <si>
    <t xml:space="preserve">      Basis for Interest Expense Calculation</t>
  </si>
  <si>
    <t>Line 24 + Line 25</t>
  </si>
  <si>
    <t xml:space="preserve">      Monthly Interest Rate</t>
  </si>
  <si>
    <t>FERC Monthly Rates</t>
  </si>
  <si>
    <t xml:space="preserve">         Interest Expense</t>
  </si>
  <si>
    <t>Line 26 x Line 27</t>
  </si>
  <si>
    <t>Other Adjustment (rounding)</t>
  </si>
  <si>
    <t>Ending Balance (Overcollection)/Undercollection</t>
  </si>
  <si>
    <t>Line 1 + Line 21 + Line 28 + Line 30</t>
  </si>
  <si>
    <t>Franchise Fees &amp; Uncollectible Adjustment:</t>
  </si>
  <si>
    <t>Franchise Fees Expense Rate</t>
  </si>
  <si>
    <t>Uncollectible Expense Adjustment Rate</t>
  </si>
  <si>
    <t xml:space="preserve">     Combined FF&amp;U Adjustment Rate</t>
  </si>
  <si>
    <t>Line 36 + Line 37</t>
  </si>
  <si>
    <t>Franchise Fee Rate</t>
  </si>
  <si>
    <t>Uncollectible Rate</t>
  </si>
  <si>
    <t xml:space="preserve">      Total</t>
  </si>
  <si>
    <t>Total Rate</t>
  </si>
  <si>
    <t>Verification of Interest Rates</t>
  </si>
  <si>
    <t>FERC INTEREST RATE</t>
  </si>
  <si>
    <t>Days in Year</t>
  </si>
  <si>
    <t>Days in Month</t>
  </si>
  <si>
    <t>Monthly Interest Rate - Calculated</t>
  </si>
  <si>
    <t>FERC Interest Rates - Website</t>
  </si>
  <si>
    <t>FOOTNOTES to Monthly TRBAA Balance:</t>
  </si>
  <si>
    <r>
      <t xml:space="preserve"> </t>
    </r>
    <r>
      <rPr>
        <b/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  The Franchise Fees and Uncollectible expense amount adjustment are removed from the amount collected from/(refunded) to customers to properly balance in the TRBAA mechanism only the approved revenue credits and CAISO charges.</t>
    </r>
  </si>
  <si>
    <r>
      <t xml:space="preserve"> </t>
    </r>
    <r>
      <rPr>
        <b/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  Existing Transmission Contract (ETC) Cost Differentials related to APS-IID pertains to SDG&amp;E as the Scheduling Coordinator for Arizona Public Service - Imperial Irrigation District ("APS-IID") (See Work Paper No. 5; Pages 5.1 - 5.2; Line 10).</t>
    </r>
  </si>
  <si>
    <r>
      <rPr>
        <b/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   Other Participating Transmission Owner (PTO) Related (Credits)/Charges include CAISO charge codes 1592, 7989, 7999, 8526, 8989, and 8999. These charges are segregated out of the ETC Cost Differentials category and classified as Other PTO related (Credits)/Charges to enhance reporting transparency. Each account has a different allocation method specified by CAISO.</t>
    </r>
  </si>
  <si>
    <t>High Voltage Wheeling Revenues:</t>
  </si>
  <si>
    <t xml:space="preserve">      CT 384 - HV Wheeling Revenues Due TO</t>
  </si>
  <si>
    <t>ISO Charge Type 384</t>
  </si>
  <si>
    <t xml:space="preserve">      CT 382 - HV Wheeling Charge Due ISO </t>
  </si>
  <si>
    <t>ISO Charge Type 382</t>
  </si>
  <si>
    <t xml:space="preserve">            Net </t>
  </si>
  <si>
    <t>CT 4575 - Settlements, Metering, &amp; Client Relations (SDGE-PTO)</t>
  </si>
  <si>
    <t>ISO Charge Type 4575</t>
  </si>
  <si>
    <t>ETC Cost Differentials from CAISO</t>
  </si>
  <si>
    <t>Other PTO Related Revenue (Credits)/Charges</t>
  </si>
  <si>
    <t>Check:</t>
  </si>
  <si>
    <t>Total Per TRBAA Details (From Regulatory Reporting)</t>
  </si>
  <si>
    <t>Summary of TRBAA Forecast Allocation Between High Voltage and Low Voltage Facilities</t>
  </si>
  <si>
    <t>HV-LV Allocation Factors:</t>
  </si>
  <si>
    <t>A. Development of Allocation Factors:</t>
  </si>
  <si>
    <t xml:space="preserve">   Total Recorded &amp; Forecast Gross Plant Balances; Dollars in ($000)</t>
  </si>
  <si>
    <t>Line 5 + Line 7</t>
  </si>
  <si>
    <t>High Voltage - Low Voltage Ratios Based on Gross Plant; Per Line 9</t>
  </si>
  <si>
    <t>Allocation Ratios Based on Line 9</t>
  </si>
  <si>
    <t>B. Allocation of High Voltage Wheeling Revenues:</t>
  </si>
  <si>
    <t>Work paper No.7; Page 7.1; Line 27</t>
  </si>
  <si>
    <t xml:space="preserve">HV - Allocation Ratio is NOT Based on Plant as shown on Line 11 </t>
  </si>
  <si>
    <t>Wheeling Revenues are assigned 100% to High Voltage facilities</t>
  </si>
  <si>
    <t>Total HV-LV Wheeling Revenues Allocation</t>
  </si>
  <si>
    <t>Line 15 x Line 17</t>
  </si>
  <si>
    <t>C. Forecast of Settlements, Metering, &amp; Client Relations Expense:</t>
  </si>
  <si>
    <t>Work paper No. 8; Page 8.1, Line 27</t>
  </si>
  <si>
    <t>Adjusted for Known and Measurable Changes.</t>
  </si>
  <si>
    <t>Total Settlements, Metering, &amp; Client Relations Allocation</t>
  </si>
  <si>
    <t>Col. C; Line 23 x Line 11 Ratios</t>
  </si>
  <si>
    <t>D: Forecast of ETC Cost Differentials Expense:</t>
  </si>
  <si>
    <t>Work paper No. 9; Page 9.1, Line 27</t>
  </si>
  <si>
    <t>Total ETC Cost Differentials Allocation</t>
  </si>
  <si>
    <t>Col. C; Line 30 x Line 11 Ratios</t>
  </si>
  <si>
    <t>E: Forecast of Other PTO Related Revenue (Credits)/Charges:</t>
  </si>
  <si>
    <t>Less: CC 8526 HV/LV specific allocation per CAISO</t>
  </si>
  <si>
    <t>WP No. 12; Page 12.1, footnotes (b) and (c) explanation on the HV/LV allocation per CAISO</t>
  </si>
  <si>
    <t>Net Other PTO Related Revenue (Credits)/Charges HV/LV Allocation</t>
  </si>
  <si>
    <t>Total Other PTO Related Revenue (Credits)/Charges Allocation</t>
  </si>
  <si>
    <t>Line 38 + Line 40</t>
  </si>
  <si>
    <t>Wheeling Revenues Forecast</t>
  </si>
  <si>
    <t xml:space="preserve">High Voltage </t>
  </si>
  <si>
    <t>Wheeling Revenues</t>
  </si>
  <si>
    <t>No</t>
  </si>
  <si>
    <t>Actual Recorded Month</t>
  </si>
  <si>
    <t>(384)/(382)-Net</t>
  </si>
  <si>
    <t>(385)</t>
  </si>
  <si>
    <t>Work paper No. 5; Page 5.1 and 5.2; Line 4</t>
  </si>
  <si>
    <t>Total Recorded</t>
  </si>
  <si>
    <t>Sum Lines 1 to 23</t>
  </si>
  <si>
    <t>Wheeling Revenue Forecast</t>
  </si>
  <si>
    <t>See Line 25</t>
  </si>
  <si>
    <t>CAISO Charge Code 4575 - Settlements, Metering and Client Relations Charge Code 4575 Forecast</t>
  </si>
  <si>
    <t xml:space="preserve">Settlements, Metering, and Client Relations Charge Code - 4575 </t>
  </si>
  <si>
    <t>Work paper No. 5; Page 5.1 and 5.2; Line 7</t>
  </si>
  <si>
    <r>
      <t xml:space="preserve">Settlements, Metering and Client Relations Charge Code - 4575 Forecast  </t>
    </r>
    <r>
      <rPr>
        <b/>
        <vertAlign val="superscript"/>
        <sz val="12"/>
        <rFont val="Times New Roman"/>
        <family val="1"/>
      </rPr>
      <t>a</t>
    </r>
  </si>
  <si>
    <t>a</t>
  </si>
  <si>
    <t>CAISO Settlements, Metering and Client Relations forecast is based on the recorded rates under MRTU.</t>
  </si>
  <si>
    <t xml:space="preserve">The monthly amounts represent the amount charged to SDG&amp;E as a PTO. A similar amount is charged to SDG&amp;E as the Scheduling </t>
  </si>
  <si>
    <t>Coordinator for APS-IID where the amount is included as part of ETC Cost Differentials.</t>
  </si>
  <si>
    <t>Existing Transmission Contracts (ETC) Cost Differentials Forecast</t>
  </si>
  <si>
    <t xml:space="preserve">Existing Transmission Contracts (ETC) Cost Differentials  </t>
  </si>
  <si>
    <t>Work paper No. 5; Page 5.1 and 5.2; Line 10</t>
  </si>
  <si>
    <t>Charge Type</t>
  </si>
  <si>
    <t>ETC Cost Differentials Charge Types</t>
  </si>
  <si>
    <t>EP Penalty Allocation Payment</t>
  </si>
  <si>
    <t>Day Ahead Energy Congestion Loss Management</t>
  </si>
  <si>
    <t>Ancillary Service Upward Neutrality Allocation</t>
  </si>
  <si>
    <t>Spinning Reserve Obligation Settlement</t>
  </si>
  <si>
    <t>Non-Spinning Reserve Obligation Settlement</t>
  </si>
  <si>
    <t>Intertie Deviation Settlement Allocation</t>
  </si>
  <si>
    <t>Real Time System Imbalance Energy Offset</t>
  </si>
  <si>
    <t>Monthly CRRBA Clearing</t>
  </si>
  <si>
    <t>Real Time Market Congestion Credit Settlement</t>
  </si>
  <si>
    <t>CRR Accrued Interest Allocation</t>
  </si>
  <si>
    <t>IFM Marginal Losses Surplus Credit Allocation- Prelim</t>
  </si>
  <si>
    <t>Allocation of Transmission Loss Obligation Charge for Real Time Schedule Under Control Agreement</t>
  </si>
  <si>
    <t>Flexible Ramp Forecasted Movement Settlement</t>
  </si>
  <si>
    <t>Monthly Flexible Ramp Up Uncertainty Award Allocation</t>
  </si>
  <si>
    <t>Invoice Deviation Interest Distribution</t>
  </si>
  <si>
    <t>Generator Interconnection Process Forfeited Deposit Allocation</t>
  </si>
  <si>
    <t>TRBAA Expenses</t>
  </si>
  <si>
    <t>0550</t>
  </si>
  <si>
    <t>FERC Fees</t>
  </si>
  <si>
    <t>Bid Segment Fee</t>
  </si>
  <si>
    <t>GMC - Market Services Charge</t>
  </si>
  <si>
    <t>GMC - System Operations Charge</t>
  </si>
  <si>
    <t>GMC - Transmission Ownership Rights</t>
  </si>
  <si>
    <t>Settlements, Metering, Client Relations</t>
  </si>
  <si>
    <t>Spinning Reserve Neutrality Allocation</t>
  </si>
  <si>
    <t>Non-Spinning Reserve Neutrality Allocation</t>
  </si>
  <si>
    <t>Intertie Deviation Settlement</t>
  </si>
  <si>
    <t>FMM Instructed Imbalance Energy Settlement</t>
  </si>
  <si>
    <t>Real Time Instructed Imbalance Energy Settlement</t>
  </si>
  <si>
    <t>Real Time Imbalance Energy Offset</t>
  </si>
  <si>
    <t>Real Time Bid Cost Recovery Allocation</t>
  </si>
  <si>
    <t>Real Time Congestion Offset</t>
  </si>
  <si>
    <t>CRR Balancing Account</t>
  </si>
  <si>
    <t>Real Time Marginal Losses Offset</t>
  </si>
  <si>
    <t>Daily Flexible Ramp Up Uncertainty Award Allocation</t>
  </si>
  <si>
    <t>Daily Flexible Ramp Down Uncertainty Award Allocation</t>
  </si>
  <si>
    <t>Monthly Flexible Ramp Down Uncertainty Award Allocation</t>
  </si>
  <si>
    <t>Invoice Deviation Interest Allocation</t>
  </si>
  <si>
    <t>Grand Total</t>
  </si>
  <si>
    <t>Per TRBAA Schedule; Workpaper 4.1 to 4.4; Line 13</t>
  </si>
  <si>
    <t>Other PTO Related Revenue (Credits) / Charge Forecast</t>
  </si>
  <si>
    <t xml:space="preserve">Other PTO Related Revenue (Credits)/Charges </t>
  </si>
  <si>
    <t>Work paper No. 5; Page 5.1 and 5.2; Line 13</t>
  </si>
  <si>
    <t>Other PTO Related Revenue (Credits) / Charges Forecast</t>
  </si>
  <si>
    <r>
      <t xml:space="preserve">Other PTO Related Revenue (Credits)/Charge Types  </t>
    </r>
    <r>
      <rPr>
        <b/>
        <vertAlign val="superscript"/>
        <sz val="14"/>
        <rFont val="Times New Roman"/>
        <family val="1"/>
      </rPr>
      <t>a</t>
    </r>
  </si>
  <si>
    <t>b</t>
  </si>
  <si>
    <t>Neutrality Adjustment</t>
  </si>
  <si>
    <t>Daily Neutrality Adjustment</t>
  </si>
  <si>
    <t>Adjusted Total Other PTO Related Revenue (Credits)/Charges - Line 13 above</t>
  </si>
  <si>
    <t>Per TRBAA Schedule; Workpaper 4.1 to 4.4; Line 14</t>
  </si>
  <si>
    <t>Other Participating Transmission Owner (PTO) Related (Credits)/Charges include CAISO charge codes 1592, 7989, 7999, 8526, 8989, and 8999. The segregation of these charges and classifying them as Other PTO Related (Credits)/Charges enhances reporting transparency.</t>
  </si>
  <si>
    <t>San Diego Unified Port District</t>
  </si>
  <si>
    <t xml:space="preserve">Beg. Monthly Balances </t>
  </si>
  <si>
    <t>Minus Line 8 + Line 19</t>
  </si>
  <si>
    <t>Statement BD; Page 1 of 5; Line 28; Col. D</t>
  </si>
  <si>
    <t>Work Paper 12; Pages 12.1; Line 13</t>
  </si>
  <si>
    <t>WP No. 12; Page 12.1, Total Col, Line 13</t>
  </si>
  <si>
    <t xml:space="preserve">   Franchise Fees Expense @ 1.0207%</t>
  </si>
  <si>
    <t>Line 15 x 1.0207%</t>
  </si>
  <si>
    <t>Real Time Assistance Energy Surcharge Allocation</t>
  </si>
  <si>
    <t>Line 17 x 1.0207%</t>
  </si>
  <si>
    <t>0525</t>
  </si>
  <si>
    <t>FERC Fees Under/Over Recovery</t>
  </si>
  <si>
    <t>Work Paper 10; Pages 10.1 - 10.3; Line 44</t>
  </si>
  <si>
    <t>Adjusted Total ETC Cost Differential - Line 44 above</t>
  </si>
  <si>
    <t>Col. C, Line 40 x Line 11 Ratios</t>
  </si>
  <si>
    <t>2026 - TRBAA Rate Filing</t>
  </si>
  <si>
    <t>TO6 Cycle 2 - Recorded Gross Plant Balances; Dollars in ($000)</t>
  </si>
  <si>
    <t>TO6 Cycle 2 - Weighted Forecast Plant Additions; Dollars in ($000)</t>
  </si>
  <si>
    <t>Total Wheeling Revenues Forecast based on recorded HV-LV wheeling revenues ending 9/30/2025</t>
  </si>
  <si>
    <t>Total Settlements, Metering &amp; Client Relations Expense Forecast based on recorded CC4575 ending 9/30/2025</t>
  </si>
  <si>
    <t>Total ETC Cost Differentials Expense Forecast based on recorded other various CAISO charges ending 9/30/2025</t>
  </si>
  <si>
    <t>Total Other PTO Related Revenue (Credits)/Charges based on recorded specific various CAISO charges ending 9/30/2025</t>
  </si>
  <si>
    <t xml:space="preserve"> Forecast Plant; Line 16 of SDG&amp;E's TO6 Cycle 2 Annual Informational Filing</t>
  </si>
  <si>
    <t>TRBAA Rates; ER24-212 (Oct - Dec 2024); ER25-218 (Jan - Sep 2025)</t>
  </si>
  <si>
    <t>Average TRBAA Rate Calculation for January 2025</t>
  </si>
  <si>
    <t xml:space="preserve">   Prior Year - TRBAA Rate 2024</t>
  </si>
  <si>
    <t xml:space="preserve">   Current Year - TRBAA Rate 2025</t>
  </si>
  <si>
    <t>Average TRBAA Rate Calculation for January 2025:</t>
  </si>
  <si>
    <t xml:space="preserve">TO6-Cycle 1 Informational Filing-Wholesale Base TRR  </t>
  </si>
  <si>
    <t>Standby Revenue amount of $12,796,728, from Cost Statement BG; Page 1; Column A; Line 26, of SDG&amp;E's TO6 Cycle 1 Annual Informational Filing.</t>
  </si>
  <si>
    <t>Wholesale Base TRR information comes from SDG&amp;E's TO6 Cycle 1 Annual Informational Filing.</t>
  </si>
  <si>
    <t>TRBAA Balance @ 9/30/2025</t>
  </si>
  <si>
    <t>Forecast 2026 - Net Transmission Revenue Credits</t>
  </si>
  <si>
    <t>Forecast Billing Determinants for the 12-Month Period: January 2026- December 2026</t>
  </si>
  <si>
    <t>Recorded Billing Determinants for the 12-Month Period: October 2024 - September 2025</t>
  </si>
  <si>
    <t>2026 - Wholesale Customers Utility Specific Access Charge Rate Calculations</t>
  </si>
  <si>
    <t>Wholesale Base TRR information comes from Cost Statement BK-2 of SDG&amp;E's TO6 Cycle 1 Annual Informational Filing.</t>
  </si>
  <si>
    <t>Beginning TRBAA Balance @ 9/30/2025</t>
  </si>
  <si>
    <t>12 Months kWh Ending September 30, 2025</t>
  </si>
  <si>
    <t>HV-LV Plant Study; Line 32 of SDG&amp;E's TO6 Cycle 2 Annual  Informational Filing</t>
  </si>
  <si>
    <r>
      <t xml:space="preserve">January 2026 - December 2026 </t>
    </r>
    <r>
      <rPr>
        <b/>
        <vertAlign val="superscript"/>
        <sz val="12"/>
        <rFont val="Times New Roman"/>
        <family val="1"/>
      </rPr>
      <t xml:space="preserve"> 1</t>
    </r>
  </si>
  <si>
    <t>Per Cost Statement BB; Page 1; Line 24 of SDG&amp;E's TO6-Cycle 2 Annual Informational Filing.</t>
  </si>
  <si>
    <t>The 1.0414 factor is used to convert the retail sales forecast at meter level up to the transmission level.</t>
  </si>
  <si>
    <t>Forecast Period January 2026 - December 2026</t>
  </si>
  <si>
    <t>2026 (MWh)</t>
  </si>
  <si>
    <t>For the 12-Month Base &amp; True Up Period Ending December 31, 2024</t>
  </si>
  <si>
    <t>FERC Docket No. ER25-218-000</t>
  </si>
  <si>
    <t>Transmission Revenue Balancing Account Adjustment (TRBAA) Revenue Data To Reflect Present Rates per ER25-218</t>
  </si>
  <si>
    <t>Rate Effective Period - Twelve Months Ending December 31, 2026</t>
  </si>
  <si>
    <t>Present Rates are defined as rates effective pursuant to ER25-218.</t>
  </si>
  <si>
    <t>In accordance with the CAISO Tariff Appendix DD, Section 7.6, SDG&amp;E, as a PTO, received $3,673,721.89 under CAISO Charge Code 8526 in September, 2025, and this was recorded in the TRBA.  Of this amount, $1,684,969.52 is associated with the High Voltage Transmission Revenue Requirement and $1,988,752.37 is associated with the Low Voltage Transmission Revenue Requirement.</t>
  </si>
  <si>
    <t xml:space="preserve">   Uncollectibles @ 0.2410%</t>
  </si>
  <si>
    <t>Line 15 x 0.2410%</t>
  </si>
  <si>
    <t>FF&amp;U used in Balancing Acct detail (2024 Rates)</t>
  </si>
  <si>
    <t xml:space="preserve">FF&amp;U used in Balancing Acct detail (2025 Rates)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</si>
</sst>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  <numFmt numFmtId="167" formatCode="_(&quot;$&quot;* #,##0.0000_);_(&quot;$&quot;* \(#,##0.0000\);_(&quot;$&quot;* &quot;-&quot;??_);_(@_)"/>
    <numFmt numFmtId="168" formatCode="_(&quot;$&quot;* #,##0.00000_);_(&quot;$&quot;* \(#,##0.00000\);_(&quot;$&quot;* &quot;-&quot;??_);_(@_)"/>
    <numFmt numFmtId="169" formatCode="0.000%"/>
    <numFmt numFmtId="170" formatCode="0.0000%"/>
    <numFmt numFmtId="171" formatCode="[$-409]mmmm\-yy;@"/>
    <numFmt numFmtId="172" formatCode="&quot;$&quot;#,##0.00000"/>
    <numFmt numFmtId="173" formatCode="0.00000%"/>
    <numFmt numFmtId="174" formatCode="[$-409]mmm\-yy;@"/>
    <numFmt numFmtId="175" formatCode="_(* #,##0.00000_);_(* \(#,##0.00000\);_(* &quot;-&quot;??_);_(@_)"/>
    <numFmt numFmtId="176" formatCode="#,##0.0000000_);[Red]\(#,##0.0000000\)"/>
    <numFmt numFmtId="177" formatCode="mmmm\-yy"/>
    <numFmt numFmtId="178" formatCode="0.0000"/>
    <numFmt numFmtId="179" formatCode="_(* #,##0.00000_);_(* \(#,##0.00000\);_(* &quot;-&quot;_);_(@_)"/>
    <numFmt numFmtId="180" formatCode="0.0%"/>
    <numFmt numFmtId="181" formatCode="_(* #,##0.0000_);_(* \(#,##0.0000\);_(* &quot;-&quot;_);_(@_)"/>
    <numFmt numFmtId="182" formatCode="_(* #,##0.0_);_(* \(#,##0.0\);_(* &quot;-&quot;??_);_(@_)"/>
    <numFmt numFmtId="183" formatCode="0.0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vertAlign val="superscript"/>
      <sz val="12"/>
      <name val="Times New Roman"/>
      <family val="1"/>
    </font>
    <font>
      <b/>
      <vertAlign val="superscript"/>
      <sz val="12"/>
      <name val="Times New Roman"/>
      <family val="1"/>
    </font>
    <font>
      <sz val="8"/>
      <name val="Arial"/>
      <family val="2"/>
    </font>
    <font>
      <b/>
      <i/>
      <u/>
      <sz val="10"/>
      <name val="Times New Roman"/>
      <family val="1"/>
    </font>
    <font>
      <b/>
      <i/>
      <u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b/>
      <i/>
      <sz val="13"/>
      <name val="Times New Roman"/>
      <family val="1"/>
    </font>
    <font>
      <vertAlign val="superscript"/>
      <sz val="13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b/>
      <u/>
      <sz val="13"/>
      <name val="Times New Roman"/>
      <family val="1"/>
    </font>
    <font>
      <vertAlign val="superscript"/>
      <sz val="14"/>
      <name val="Times New Roman"/>
      <family val="1"/>
    </font>
    <font>
      <b/>
      <u/>
      <sz val="11"/>
      <name val="Times New Roman"/>
      <family val="1"/>
    </font>
    <font>
      <b/>
      <vertAlign val="superscript"/>
      <sz val="14"/>
      <name val="Times New Roman"/>
      <family val="1"/>
    </font>
    <font>
      <sz val="14"/>
      <name val="Arial"/>
      <family val="2"/>
    </font>
    <font>
      <sz val="10"/>
      <name val="System"/>
      <family val="2"/>
    </font>
    <font>
      <u/>
      <sz val="10"/>
      <name val="Arial"/>
      <family val="2"/>
    </font>
    <font>
      <b/>
      <sz val="10"/>
      <name val="Arial"/>
      <family val="2"/>
    </font>
    <font>
      <i/>
      <u/>
      <sz val="12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2"/>
      <name val="Times New Roman"/>
      <family val="1"/>
    </font>
    <font>
      <sz val="12"/>
      <color rgb="FFFF0000"/>
      <name val="Times New Roman"/>
      <family val="1"/>
    </font>
    <font>
      <sz val="10"/>
      <color rgb="FF0000FF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6" fillId="0" borderId="0"/>
    <xf numFmtId="0" fontId="7" fillId="0" borderId="0"/>
    <xf numFmtId="9" fontId="7" fillId="0" borderId="0" applyFont="0" applyFill="0" applyBorder="0" applyAlignment="0" applyProtection="0"/>
    <xf numFmtId="0" fontId="32" fillId="0" borderId="0"/>
    <xf numFmtId="0" fontId="6" fillId="0" borderId="0"/>
    <xf numFmtId="0" fontId="7" fillId="0" borderId="0"/>
    <xf numFmtId="0" fontId="5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94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1" fontId="9" fillId="0" borderId="0" xfId="0" applyNumberFormat="1" applyFont="1"/>
    <xf numFmtId="0" fontId="10" fillId="0" borderId="0" xfId="0" applyFont="1" applyAlignment="1">
      <alignment horizontal="centerContinuous" vertical="justify"/>
    </xf>
    <xf numFmtId="0" fontId="8" fillId="0" borderId="0" xfId="0" applyFont="1" applyAlignment="1">
      <alignment horizontal="centerContinuous" vertical="justify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6" fontId="11" fillId="0" borderId="3" xfId="2" applyNumberFormat="1" applyFont="1" applyBorder="1"/>
    <xf numFmtId="44" fontId="11" fillId="0" borderId="2" xfId="2" applyFont="1" applyBorder="1"/>
    <xf numFmtId="166" fontId="11" fillId="0" borderId="2" xfId="0" applyNumberFormat="1" applyFont="1" applyBorder="1"/>
    <xf numFmtId="0" fontId="11" fillId="0" borderId="2" xfId="0" applyFont="1" applyBorder="1"/>
    <xf numFmtId="17" fontId="11" fillId="0" borderId="2" xfId="0" applyNumberFormat="1" applyFont="1" applyBorder="1" applyAlignment="1">
      <alignment horizontal="left"/>
    </xf>
    <xf numFmtId="166" fontId="11" fillId="0" borderId="2" xfId="2" applyNumberFormat="1" applyFont="1" applyBorder="1"/>
    <xf numFmtId="17" fontId="12" fillId="0" borderId="2" xfId="0" applyNumberFormat="1" applyFont="1" applyBorder="1" applyAlignment="1">
      <alignment horizontal="left"/>
    </xf>
    <xf numFmtId="166" fontId="11" fillId="0" borderId="1" xfId="2" applyNumberFormat="1" applyFont="1" applyBorder="1"/>
    <xf numFmtId="0" fontId="11" fillId="0" borderId="0" xfId="0" applyFont="1"/>
    <xf numFmtId="44" fontId="11" fillId="0" borderId="2" xfId="2" applyFont="1" applyBorder="1" applyAlignment="1">
      <alignment horizontal="center"/>
    </xf>
    <xf numFmtId="166" fontId="11" fillId="0" borderId="2" xfId="0" applyNumberFormat="1" applyFont="1" applyBorder="1" applyAlignment="1">
      <alignment horizontal="left"/>
    </xf>
    <xf numFmtId="10" fontId="11" fillId="0" borderId="2" xfId="5" applyNumberFormat="1" applyFont="1" applyBorder="1"/>
    <xf numFmtId="166" fontId="11" fillId="0" borderId="2" xfId="2" applyNumberFormat="1" applyFont="1" applyBorder="1" applyAlignment="1">
      <alignment horizontal="center"/>
    </xf>
    <xf numFmtId="0" fontId="11" fillId="0" borderId="5" xfId="0" applyFont="1" applyBorder="1"/>
    <xf numFmtId="166" fontId="11" fillId="0" borderId="0" xfId="2" applyNumberFormat="1" applyFont="1" applyBorder="1"/>
    <xf numFmtId="44" fontId="11" fillId="0" borderId="4" xfId="2" applyFont="1" applyBorder="1" applyAlignment="1">
      <alignment horizontal="center"/>
    </xf>
    <xf numFmtId="10" fontId="11" fillId="0" borderId="2" xfId="0" applyNumberFormat="1" applyFont="1" applyBorder="1"/>
    <xf numFmtId="165" fontId="11" fillId="0" borderId="2" xfId="1" applyNumberFormat="1" applyFont="1" applyBorder="1"/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5" fontId="11" fillId="0" borderId="2" xfId="1" applyNumberFormat="1" applyFont="1" applyBorder="1" applyAlignment="1">
      <alignment horizontal="center"/>
    </xf>
    <xf numFmtId="167" fontId="11" fillId="0" borderId="4" xfId="2" applyNumberFormat="1" applyFont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3" xfId="1" applyNumberFormat="1" applyFont="1" applyBorder="1"/>
    <xf numFmtId="165" fontId="11" fillId="0" borderId="2" xfId="1" applyNumberFormat="1" applyFont="1" applyBorder="1" applyAlignment="1">
      <alignment horizontal="left"/>
    </xf>
    <xf numFmtId="165" fontId="11" fillId="0" borderId="3" xfId="1" applyNumberFormat="1" applyFont="1" applyBorder="1" applyAlignment="1">
      <alignment horizontal="left"/>
    </xf>
    <xf numFmtId="0" fontId="11" fillId="0" borderId="0" xfId="0" applyFont="1" applyAlignment="1">
      <alignment horizontal="centerContinuous" vertical="justify"/>
    </xf>
    <xf numFmtId="166" fontId="11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165" fontId="11" fillId="0" borderId="2" xfId="1" applyNumberFormat="1" applyFont="1" applyFill="1" applyBorder="1"/>
    <xf numFmtId="41" fontId="11" fillId="0" borderId="2" xfId="0" applyNumberFormat="1" applyFont="1" applyBorder="1"/>
    <xf numFmtId="41" fontId="11" fillId="0" borderId="3" xfId="0" applyNumberFormat="1" applyFont="1" applyBorder="1"/>
    <xf numFmtId="41" fontId="11" fillId="0" borderId="4" xfId="0" applyNumberFormat="1" applyFont="1" applyBorder="1"/>
    <xf numFmtId="41" fontId="11" fillId="0" borderId="0" xfId="0" applyNumberFormat="1" applyFont="1"/>
    <xf numFmtId="41" fontId="11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5" fontId="11" fillId="0" borderId="3" xfId="1" applyNumberFormat="1" applyFont="1" applyFill="1" applyBorder="1"/>
    <xf numFmtId="17" fontId="11" fillId="0" borderId="1" xfId="0" applyNumberFormat="1" applyFont="1" applyBorder="1" applyAlignment="1">
      <alignment horizontal="center"/>
    </xf>
    <xf numFmtId="165" fontId="11" fillId="0" borderId="1" xfId="1" applyNumberFormat="1" applyFont="1" applyBorder="1"/>
    <xf numFmtId="165" fontId="11" fillId="0" borderId="0" xfId="1" applyNumberFormat="1" applyFont="1" applyBorder="1"/>
    <xf numFmtId="0" fontId="9" fillId="0" borderId="12" xfId="0" applyFont="1" applyBorder="1"/>
    <xf numFmtId="0" fontId="11" fillId="0" borderId="9" xfId="0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165" fontId="11" fillId="0" borderId="13" xfId="1" applyNumberFormat="1" applyFont="1" applyBorder="1"/>
    <xf numFmtId="0" fontId="11" fillId="0" borderId="14" xfId="0" applyFont="1" applyBorder="1" applyAlignment="1">
      <alignment horizontal="center"/>
    </xf>
    <xf numFmtId="0" fontId="11" fillId="0" borderId="14" xfId="0" applyFont="1" applyBorder="1"/>
    <xf numFmtId="44" fontId="11" fillId="0" borderId="8" xfId="2" applyFont="1" applyBorder="1" applyAlignment="1">
      <alignment horizontal="center"/>
    </xf>
    <xf numFmtId="44" fontId="10" fillId="0" borderId="8" xfId="2" applyFont="1" applyBorder="1" applyAlignment="1">
      <alignment horizontal="center"/>
    </xf>
    <xf numFmtId="44" fontId="10" fillId="0" borderId="8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7" fontId="11" fillId="0" borderId="9" xfId="0" applyNumberFormat="1" applyFont="1" applyBorder="1" applyAlignment="1">
      <alignment horizontal="left"/>
    </xf>
    <xf numFmtId="0" fontId="11" fillId="0" borderId="9" xfId="0" applyFont="1" applyBorder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3" fillId="0" borderId="0" xfId="0" quotePrefix="1" applyFont="1" applyAlignment="1">
      <alignment horizontal="center"/>
    </xf>
    <xf numFmtId="44" fontId="18" fillId="0" borderId="8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166" fontId="10" fillId="0" borderId="0" xfId="2" applyNumberFormat="1" applyFont="1" applyBorder="1"/>
    <xf numFmtId="166" fontId="10" fillId="0" borderId="4" xfId="2" applyNumberFormat="1" applyFont="1" applyBorder="1"/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40" fontId="11" fillId="0" borderId="0" xfId="0" applyNumberFormat="1" applyFont="1"/>
    <xf numFmtId="38" fontId="11" fillId="0" borderId="2" xfId="0" applyNumberFormat="1" applyFont="1" applyBorder="1"/>
    <xf numFmtId="0" fontId="11" fillId="0" borderId="12" xfId="0" applyFont="1" applyBorder="1"/>
    <xf numFmtId="0" fontId="11" fillId="0" borderId="13" xfId="0" applyFont="1" applyBorder="1"/>
    <xf numFmtId="165" fontId="11" fillId="0" borderId="13" xfId="1" applyNumberFormat="1" applyFont="1" applyFill="1" applyBorder="1"/>
    <xf numFmtId="0" fontId="14" fillId="0" borderId="0" xfId="0" quotePrefix="1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44" fontId="18" fillId="0" borderId="8" xfId="0" applyNumberFormat="1" applyFont="1" applyBorder="1" applyAlignment="1">
      <alignment horizontal="center"/>
    </xf>
    <xf numFmtId="0" fontId="11" fillId="0" borderId="15" xfId="0" applyFont="1" applyBorder="1"/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0" fontId="11" fillId="0" borderId="8" xfId="0" applyFont="1" applyBorder="1"/>
    <xf numFmtId="0" fontId="10" fillId="0" borderId="0" xfId="0" applyFont="1" applyAlignment="1">
      <alignment horizontal="left"/>
    </xf>
    <xf numFmtId="165" fontId="11" fillId="0" borderId="0" xfId="1" applyNumberFormat="1" applyFont="1" applyFill="1" applyBorder="1"/>
    <xf numFmtId="0" fontId="10" fillId="0" borderId="2" xfId="0" applyFont="1" applyBorder="1"/>
    <xf numFmtId="37" fontId="11" fillId="0" borderId="2" xfId="0" applyNumberFormat="1" applyFont="1" applyBorder="1"/>
    <xf numFmtId="37" fontId="11" fillId="0" borderId="3" xfId="0" applyNumberFormat="1" applyFont="1" applyBorder="1"/>
    <xf numFmtId="166" fontId="11" fillId="0" borderId="10" xfId="2" applyNumberFormat="1" applyFont="1" applyBorder="1"/>
    <xf numFmtId="0" fontId="20" fillId="0" borderId="2" xfId="0" applyFont="1" applyBorder="1"/>
    <xf numFmtId="0" fontId="20" fillId="0" borderId="13" xfId="0" applyFont="1" applyBorder="1"/>
    <xf numFmtId="166" fontId="11" fillId="0" borderId="13" xfId="2" applyNumberFormat="1" applyFont="1" applyBorder="1"/>
    <xf numFmtId="166" fontId="10" fillId="0" borderId="2" xfId="2" applyNumberFormat="1" applyFont="1" applyBorder="1"/>
    <xf numFmtId="168" fontId="11" fillId="0" borderId="3" xfId="2" applyNumberFormat="1" applyFont="1" applyFill="1" applyBorder="1"/>
    <xf numFmtId="166" fontId="11" fillId="0" borderId="3" xfId="2" applyNumberFormat="1" applyFont="1" applyFill="1" applyBorder="1"/>
    <xf numFmtId="166" fontId="25" fillId="0" borderId="0" xfId="0" applyNumberFormat="1" applyFont="1"/>
    <xf numFmtId="0" fontId="24" fillId="0" borderId="13" xfId="0" applyFont="1" applyBorder="1" applyAlignment="1">
      <alignment horizontal="center"/>
    </xf>
    <xf numFmtId="174" fontId="11" fillId="0" borderId="2" xfId="0" applyNumberFormat="1" applyFont="1" applyBorder="1" applyAlignment="1">
      <alignment horizontal="center"/>
    </xf>
    <xf numFmtId="0" fontId="11" fillId="0" borderId="0" xfId="3" applyFont="1"/>
    <xf numFmtId="17" fontId="11" fillId="0" borderId="2" xfId="3" applyNumberFormat="1" applyFont="1" applyBorder="1" applyAlignment="1">
      <alignment horizontal="center"/>
    </xf>
    <xf numFmtId="17" fontId="11" fillId="0" borderId="13" xfId="3" applyNumberFormat="1" applyFont="1" applyBorder="1" applyAlignment="1">
      <alignment horizontal="center"/>
    </xf>
    <xf numFmtId="169" fontId="11" fillId="0" borderId="0" xfId="5" applyNumberFormat="1" applyFont="1" applyBorder="1"/>
    <xf numFmtId="0" fontId="9" fillId="0" borderId="0" xfId="3" applyFont="1" applyAlignment="1">
      <alignment horizontal="left"/>
    </xf>
    <xf numFmtId="0" fontId="9" fillId="0" borderId="0" xfId="3" applyFont="1"/>
    <xf numFmtId="0" fontId="11" fillId="0" borderId="0" xfId="3" quotePrefix="1" applyFont="1" applyAlignment="1">
      <alignment horizontal="center"/>
    </xf>
    <xf numFmtId="164" fontId="11" fillId="0" borderId="2" xfId="0" applyNumberFormat="1" applyFont="1" applyBorder="1"/>
    <xf numFmtId="170" fontId="11" fillId="0" borderId="2" xfId="5" applyNumberFormat="1" applyFont="1" applyBorder="1"/>
    <xf numFmtId="165" fontId="11" fillId="0" borderId="19" xfId="1" applyNumberFormat="1" applyFont="1" applyBorder="1"/>
    <xf numFmtId="165" fontId="11" fillId="0" borderId="19" xfId="1" applyNumberFormat="1" applyFont="1" applyFill="1" applyBorder="1"/>
    <xf numFmtId="165" fontId="11" fillId="0" borderId="22" xfId="1" applyNumberFormat="1" applyFont="1" applyBorder="1"/>
    <xf numFmtId="165" fontId="11" fillId="0" borderId="22" xfId="1" applyNumberFormat="1" applyFont="1" applyFill="1" applyBorder="1"/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24" xfId="0" applyFont="1" applyBorder="1"/>
    <xf numFmtId="0" fontId="11" fillId="0" borderId="22" xfId="0" applyFont="1" applyBorder="1"/>
    <xf numFmtId="0" fontId="11" fillId="0" borderId="23" xfId="0" applyFont="1" applyBorder="1"/>
    <xf numFmtId="0" fontId="11" fillId="0" borderId="28" xfId="0" applyFont="1" applyBorder="1"/>
    <xf numFmtId="0" fontId="11" fillId="0" borderId="29" xfId="0" applyFont="1" applyBorder="1"/>
    <xf numFmtId="165" fontId="10" fillId="0" borderId="20" xfId="1" applyNumberFormat="1" applyFont="1" applyFill="1" applyBorder="1"/>
    <xf numFmtId="165" fontId="10" fillId="0" borderId="23" xfId="1" applyNumberFormat="1" applyFont="1" applyFill="1" applyBorder="1"/>
    <xf numFmtId="0" fontId="10" fillId="0" borderId="0" xfId="3" applyFont="1" applyAlignment="1">
      <alignment horizontal="centerContinuous" vertical="justify"/>
    </xf>
    <xf numFmtId="0" fontId="8" fillId="0" borderId="0" xfId="3" applyFont="1" applyAlignment="1">
      <alignment horizontal="centerContinuous" vertical="justify"/>
    </xf>
    <xf numFmtId="0" fontId="11" fillId="0" borderId="0" xfId="3" applyFont="1" applyAlignment="1">
      <alignment horizontal="left"/>
    </xf>
    <xf numFmtId="0" fontId="10" fillId="0" borderId="4" xfId="3" applyFont="1" applyBorder="1" applyAlignment="1">
      <alignment horizontal="center"/>
    </xf>
    <xf numFmtId="0" fontId="11" fillId="0" borderId="0" xfId="4" applyFont="1"/>
    <xf numFmtId="166" fontId="11" fillId="0" borderId="14" xfId="2" applyNumberFormat="1" applyFont="1" applyBorder="1"/>
    <xf numFmtId="0" fontId="11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/>
    <xf numFmtId="166" fontId="11" fillId="0" borderId="1" xfId="2" applyNumberFormat="1" applyFont="1" applyFill="1" applyBorder="1"/>
    <xf numFmtId="0" fontId="11" fillId="0" borderId="38" xfId="0" applyFont="1" applyBorder="1" applyAlignment="1">
      <alignment horizontal="center"/>
    </xf>
    <xf numFmtId="165" fontId="11" fillId="0" borderId="0" xfId="1" applyNumberFormat="1" applyFont="1"/>
    <xf numFmtId="166" fontId="11" fillId="0" borderId="2" xfId="2" applyNumberFormat="1" applyFont="1" applyFill="1" applyBorder="1"/>
    <xf numFmtId="0" fontId="9" fillId="0" borderId="6" xfId="0" applyFont="1" applyBorder="1"/>
    <xf numFmtId="166" fontId="11" fillId="0" borderId="0" xfId="0" applyNumberFormat="1" applyFont="1"/>
    <xf numFmtId="0" fontId="28" fillId="0" borderId="8" xfId="0" applyFont="1" applyBorder="1" applyAlignment="1">
      <alignment horizontal="center"/>
    </xf>
    <xf numFmtId="0" fontId="13" fillId="0" borderId="0" xfId="0" applyFont="1"/>
    <xf numFmtId="0" fontId="11" fillId="0" borderId="37" xfId="0" applyFont="1" applyBorder="1"/>
    <xf numFmtId="0" fontId="11" fillId="0" borderId="41" xfId="0" applyFont="1" applyBorder="1"/>
    <xf numFmtId="165" fontId="11" fillId="0" borderId="28" xfId="1" applyNumberFormat="1" applyFont="1" applyFill="1" applyBorder="1"/>
    <xf numFmtId="0" fontId="11" fillId="0" borderId="28" xfId="0" applyFont="1" applyBorder="1" applyAlignment="1">
      <alignment horizontal="left"/>
    </xf>
    <xf numFmtId="0" fontId="11" fillId="0" borderId="39" xfId="0" applyFont="1" applyBorder="1" applyAlignment="1">
      <alignment horizontal="center"/>
    </xf>
    <xf numFmtId="165" fontId="10" fillId="0" borderId="0" xfId="1" applyNumberFormat="1" applyFont="1"/>
    <xf numFmtId="173" fontId="11" fillId="0" borderId="3" xfId="5" applyNumberFormat="1" applyFont="1" applyFill="1" applyBorder="1"/>
    <xf numFmtId="0" fontId="10" fillId="0" borderId="13" xfId="0" applyFont="1" applyBorder="1" applyAlignment="1">
      <alignment horizontal="center"/>
    </xf>
    <xf numFmtId="166" fontId="10" fillId="0" borderId="3" xfId="2" applyNumberFormat="1" applyFont="1" applyBorder="1"/>
    <xf numFmtId="165" fontId="10" fillId="0" borderId="4" xfId="1" applyNumberFormat="1" applyFont="1" applyBorder="1"/>
    <xf numFmtId="0" fontId="21" fillId="0" borderId="0" xfId="0" applyFont="1" applyAlignment="1">
      <alignment horizontal="left"/>
    </xf>
    <xf numFmtId="44" fontId="18" fillId="0" borderId="2" xfId="2" applyFont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0" fontId="9" fillId="0" borderId="2" xfId="0" applyFont="1" applyBorder="1"/>
    <xf numFmtId="0" fontId="8" fillId="0" borderId="13" xfId="0" applyFont="1" applyBorder="1" applyAlignment="1">
      <alignment horizontal="center"/>
    </xf>
    <xf numFmtId="166" fontId="18" fillId="0" borderId="2" xfId="2" applyNumberFormat="1" applyFont="1" applyBorder="1"/>
    <xf numFmtId="165" fontId="18" fillId="0" borderId="2" xfId="1" applyNumberFormat="1" applyFont="1" applyBorder="1"/>
    <xf numFmtId="165" fontId="10" fillId="0" borderId="2" xfId="1" applyNumberFormat="1" applyFont="1" applyFill="1" applyBorder="1"/>
    <xf numFmtId="0" fontId="30" fillId="0" borderId="0" xfId="3" quotePrefix="1" applyFont="1" applyAlignment="1">
      <alignment horizontal="center"/>
    </xf>
    <xf numFmtId="0" fontId="10" fillId="0" borderId="48" xfId="0" quotePrefix="1" applyFont="1" applyBorder="1" applyAlignment="1">
      <alignment horizontal="center"/>
    </xf>
    <xf numFmtId="0" fontId="11" fillId="0" borderId="42" xfId="0" applyFont="1" applyBorder="1"/>
    <xf numFmtId="0" fontId="23" fillId="0" borderId="4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11" fillId="0" borderId="38" xfId="0" applyFont="1" applyBorder="1"/>
    <xf numFmtId="0" fontId="10" fillId="0" borderId="37" xfId="0" applyFont="1" applyBorder="1"/>
    <xf numFmtId="172" fontId="11" fillId="0" borderId="36" xfId="0" applyNumberFormat="1" applyFont="1" applyBorder="1"/>
    <xf numFmtId="168" fontId="11" fillId="0" borderId="34" xfId="2" applyNumberFormat="1" applyFont="1" applyBorder="1"/>
    <xf numFmtId="168" fontId="11" fillId="0" borderId="35" xfId="2" applyNumberFormat="1" applyFont="1" applyBorder="1"/>
    <xf numFmtId="164" fontId="11" fillId="0" borderId="40" xfId="0" applyNumberFormat="1" applyFont="1" applyBorder="1"/>
    <xf numFmtId="0" fontId="10" fillId="0" borderId="34" xfId="0" applyFont="1" applyBorder="1"/>
    <xf numFmtId="0" fontId="11" fillId="0" borderId="7" xfId="0" applyFont="1" applyBorder="1" applyAlignment="1">
      <alignment horizontal="center"/>
    </xf>
    <xf numFmtId="3" fontId="11" fillId="0" borderId="0" xfId="0" applyNumberFormat="1" applyFont="1"/>
    <xf numFmtId="3" fontId="11" fillId="0" borderId="3" xfId="0" applyNumberFormat="1" applyFont="1" applyBorder="1"/>
    <xf numFmtId="165" fontId="9" fillId="0" borderId="0" xfId="1" applyNumberFormat="1" applyFont="1"/>
    <xf numFmtId="0" fontId="31" fillId="0" borderId="0" xfId="0" applyFont="1"/>
    <xf numFmtId="0" fontId="10" fillId="0" borderId="2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11" fillId="0" borderId="43" xfId="0" applyFont="1" applyBorder="1"/>
    <xf numFmtId="0" fontId="21" fillId="0" borderId="28" xfId="0" applyFont="1" applyBorder="1" applyAlignment="1">
      <alignment horizontal="left"/>
    </xf>
    <xf numFmtId="17" fontId="21" fillId="0" borderId="22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174" fontId="11" fillId="0" borderId="5" xfId="0" applyNumberFormat="1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166" fontId="10" fillId="0" borderId="3" xfId="2" applyNumberFormat="1" applyFont="1" applyFill="1" applyBorder="1"/>
    <xf numFmtId="166" fontId="10" fillId="0" borderId="4" xfId="2" applyNumberFormat="1" applyFont="1" applyFill="1" applyBorder="1"/>
    <xf numFmtId="0" fontId="11" fillId="0" borderId="0" xfId="0" applyFont="1" applyAlignment="1">
      <alignment vertical="center"/>
    </xf>
    <xf numFmtId="44" fontId="18" fillId="0" borderId="8" xfId="2" applyFont="1" applyBorder="1" applyAlignment="1">
      <alignment horizontal="center" wrapText="1"/>
    </xf>
    <xf numFmtId="44" fontId="19" fillId="0" borderId="8" xfId="2" applyFont="1" applyBorder="1"/>
    <xf numFmtId="44" fontId="19" fillId="0" borderId="2" xfId="2" applyFont="1" applyBorder="1"/>
    <xf numFmtId="165" fontId="11" fillId="0" borderId="0" xfId="1" applyNumberFormat="1" applyFont="1" applyFill="1"/>
    <xf numFmtId="3" fontId="11" fillId="0" borderId="19" xfId="0" applyNumberFormat="1" applyFont="1" applyBorder="1"/>
    <xf numFmtId="3" fontId="11" fillId="0" borderId="22" xfId="0" applyNumberFormat="1" applyFont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19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3" fontId="11" fillId="0" borderId="53" xfId="0" applyNumberFormat="1" applyFont="1" applyBorder="1" applyAlignment="1">
      <alignment horizontal="right"/>
    </xf>
    <xf numFmtId="3" fontId="11" fillId="0" borderId="54" xfId="0" applyNumberFormat="1" applyFont="1" applyBorder="1" applyAlignment="1">
      <alignment horizontal="right"/>
    </xf>
    <xf numFmtId="3" fontId="11" fillId="0" borderId="55" xfId="0" applyNumberFormat="1" applyFont="1" applyBorder="1" applyAlignment="1">
      <alignment horizontal="right"/>
    </xf>
    <xf numFmtId="0" fontId="10" fillId="0" borderId="19" xfId="0" applyFont="1" applyBorder="1" applyAlignment="1">
      <alignment horizontal="left"/>
    </xf>
    <xf numFmtId="3" fontId="11" fillId="0" borderId="56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57" xfId="0" applyNumberFormat="1" applyFont="1" applyBorder="1" applyAlignment="1">
      <alignment horizontal="right"/>
    </xf>
    <xf numFmtId="0" fontId="11" fillId="0" borderId="20" xfId="0" applyFont="1" applyBorder="1"/>
    <xf numFmtId="3" fontId="11" fillId="0" borderId="12" xfId="0" applyNumberFormat="1" applyFont="1" applyBorder="1"/>
    <xf numFmtId="3" fontId="11" fillId="0" borderId="23" xfId="0" applyNumberFormat="1" applyFont="1" applyBorder="1"/>
    <xf numFmtId="0" fontId="27" fillId="0" borderId="28" xfId="0" applyFont="1" applyBorder="1"/>
    <xf numFmtId="17" fontId="21" fillId="0" borderId="19" xfId="0" applyNumberFormat="1" applyFont="1" applyBorder="1" applyAlignment="1">
      <alignment horizontal="center"/>
    </xf>
    <xf numFmtId="17" fontId="21" fillId="0" borderId="0" xfId="0" applyNumberFormat="1" applyFont="1" applyAlignment="1">
      <alignment horizontal="center"/>
    </xf>
    <xf numFmtId="0" fontId="21" fillId="0" borderId="28" xfId="0" applyFont="1" applyBorder="1"/>
    <xf numFmtId="0" fontId="11" fillId="0" borderId="19" xfId="0" applyFont="1" applyBorder="1"/>
    <xf numFmtId="3" fontId="11" fillId="0" borderId="7" xfId="0" applyNumberFormat="1" applyFont="1" applyBorder="1"/>
    <xf numFmtId="3" fontId="11" fillId="0" borderId="53" xfId="0" applyNumberFormat="1" applyFont="1" applyBorder="1"/>
    <xf numFmtId="3" fontId="11" fillId="0" borderId="54" xfId="0" applyNumberFormat="1" applyFont="1" applyBorder="1"/>
    <xf numFmtId="3" fontId="11" fillId="0" borderId="55" xfId="0" applyNumberFormat="1" applyFont="1" applyBorder="1"/>
    <xf numFmtId="0" fontId="11" fillId="0" borderId="21" xfId="0" applyFont="1" applyBorder="1"/>
    <xf numFmtId="3" fontId="11" fillId="0" borderId="59" xfId="0" applyNumberFormat="1" applyFont="1" applyBorder="1"/>
    <xf numFmtId="3" fontId="11" fillId="0" borderId="60" xfId="0" applyNumberFormat="1" applyFont="1" applyBorder="1"/>
    <xf numFmtId="166" fontId="10" fillId="0" borderId="4" xfId="0" applyNumberFormat="1" applyFont="1" applyBorder="1"/>
    <xf numFmtId="166" fontId="10" fillId="0" borderId="2" xfId="2" applyNumberFormat="1" applyFont="1" applyFill="1" applyBorder="1"/>
    <xf numFmtId="10" fontId="10" fillId="0" borderId="4" xfId="5" applyNumberFormat="1" applyFont="1" applyFill="1" applyBorder="1"/>
    <xf numFmtId="0" fontId="16" fillId="0" borderId="12" xfId="0" applyFont="1" applyBorder="1" applyAlignment="1">
      <alignment horizontal="left"/>
    </xf>
    <xf numFmtId="10" fontId="10" fillId="0" borderId="13" xfId="5" applyNumberFormat="1" applyFont="1" applyFill="1" applyBorder="1" applyAlignment="1">
      <alignment horizontal="right"/>
    </xf>
    <xf numFmtId="166" fontId="11" fillId="0" borderId="4" xfId="2" applyNumberFormat="1" applyFont="1" applyFill="1" applyBorder="1"/>
    <xf numFmtId="166" fontId="11" fillId="0" borderId="13" xfId="2" applyNumberFormat="1" applyFont="1" applyFill="1" applyBorder="1"/>
    <xf numFmtId="166" fontId="11" fillId="0" borderId="13" xfId="0" applyNumberFormat="1" applyFont="1" applyBorder="1"/>
    <xf numFmtId="0" fontId="11" fillId="0" borderId="8" xfId="0" applyFont="1" applyBorder="1" applyAlignment="1">
      <alignment horizontal="left"/>
    </xf>
    <xf numFmtId="17" fontId="12" fillId="0" borderId="8" xfId="0" applyNumberFormat="1" applyFont="1" applyBorder="1" applyAlignment="1">
      <alignment horizontal="left"/>
    </xf>
    <xf numFmtId="165" fontId="11" fillId="0" borderId="8" xfId="1" applyNumberFormat="1" applyFont="1" applyBorder="1" applyAlignment="1">
      <alignment horizontal="left"/>
    </xf>
    <xf numFmtId="165" fontId="11" fillId="0" borderId="8" xfId="1" applyNumberFormat="1" applyFont="1" applyBorder="1"/>
    <xf numFmtId="166" fontId="11" fillId="0" borderId="8" xfId="2" applyNumberFormat="1" applyFont="1" applyBorder="1"/>
    <xf numFmtId="41" fontId="18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7" fillId="0" borderId="0" xfId="0" applyFont="1"/>
    <xf numFmtId="166" fontId="11" fillId="0" borderId="42" xfId="2" applyNumberFormat="1" applyFont="1" applyBorder="1"/>
    <xf numFmtId="166" fontId="11" fillId="0" borderId="42" xfId="2" applyNumberFormat="1" applyFont="1" applyFill="1" applyBorder="1"/>
    <xf numFmtId="166" fontId="11" fillId="0" borderId="61" xfId="2" applyNumberFormat="1" applyFont="1" applyFill="1" applyBorder="1"/>
    <xf numFmtId="0" fontId="11" fillId="0" borderId="39" xfId="0" applyFont="1" applyBorder="1"/>
    <xf numFmtId="165" fontId="11" fillId="0" borderId="9" xfId="1" applyNumberFormat="1" applyFont="1" applyBorder="1"/>
    <xf numFmtId="166" fontId="11" fillId="0" borderId="45" xfId="2" applyNumberFormat="1" applyFont="1" applyBorder="1"/>
    <xf numFmtId="0" fontId="11" fillId="0" borderId="61" xfId="0" applyFont="1" applyBorder="1"/>
    <xf numFmtId="0" fontId="11" fillId="0" borderId="62" xfId="0" applyFont="1" applyBorder="1" applyAlignment="1">
      <alignment horizontal="center"/>
    </xf>
    <xf numFmtId="38" fontId="11" fillId="0" borderId="8" xfId="0" applyNumberFormat="1" applyFont="1" applyBorder="1"/>
    <xf numFmtId="165" fontId="11" fillId="0" borderId="6" xfId="1" applyNumberFormat="1" applyFont="1" applyBorder="1"/>
    <xf numFmtId="166" fontId="11" fillId="0" borderId="63" xfId="2" applyNumberFormat="1" applyFont="1" applyBorder="1"/>
    <xf numFmtId="166" fontId="11" fillId="0" borderId="6" xfId="2" applyNumberFormat="1" applyFont="1" applyBorder="1"/>
    <xf numFmtId="37" fontId="11" fillId="0" borderId="8" xfId="0" applyNumberFormat="1" applyFont="1" applyBorder="1"/>
    <xf numFmtId="166" fontId="11" fillId="0" borderId="8" xfId="2" applyNumberFormat="1" applyFont="1" applyFill="1" applyBorder="1"/>
    <xf numFmtId="37" fontId="11" fillId="0" borderId="6" xfId="0" applyNumberFormat="1" applyFont="1" applyBorder="1"/>
    <xf numFmtId="173" fontId="11" fillId="0" borderId="6" xfId="5" applyNumberFormat="1" applyFont="1" applyFill="1" applyBorder="1"/>
    <xf numFmtId="166" fontId="11" fillId="0" borderId="6" xfId="2" applyNumberFormat="1" applyFont="1" applyFill="1" applyBorder="1"/>
    <xf numFmtId="166" fontId="11" fillId="0" borderId="52" xfId="2" applyNumberFormat="1" applyFont="1" applyBorder="1"/>
    <xf numFmtId="0" fontId="11" fillId="0" borderId="65" xfId="0" applyFont="1" applyBorder="1"/>
    <xf numFmtId="0" fontId="11" fillId="0" borderId="66" xfId="0" applyFont="1" applyBorder="1" applyAlignment="1">
      <alignment horizontal="center"/>
    </xf>
    <xf numFmtId="0" fontId="11" fillId="0" borderId="67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166" fontId="11" fillId="0" borderId="66" xfId="2" applyNumberFormat="1" applyFont="1" applyBorder="1"/>
    <xf numFmtId="166" fontId="11" fillId="0" borderId="67" xfId="2" applyNumberFormat="1" applyFont="1" applyFill="1" applyBorder="1"/>
    <xf numFmtId="38" fontId="11" fillId="0" borderId="66" xfId="0" applyNumberFormat="1" applyFont="1" applyBorder="1"/>
    <xf numFmtId="165" fontId="11" fillId="0" borderId="66" xfId="1" applyNumberFormat="1" applyFont="1" applyBorder="1"/>
    <xf numFmtId="165" fontId="11" fillId="0" borderId="67" xfId="1" applyNumberFormat="1" applyFont="1" applyBorder="1"/>
    <xf numFmtId="168" fontId="11" fillId="0" borderId="68" xfId="2" applyNumberFormat="1" applyFont="1" applyFill="1" applyBorder="1"/>
    <xf numFmtId="168" fontId="11" fillId="0" borderId="69" xfId="2" applyNumberFormat="1" applyFont="1" applyFill="1" applyBorder="1"/>
    <xf numFmtId="166" fontId="11" fillId="0" borderId="70" xfId="2" applyNumberFormat="1" applyFont="1" applyBorder="1"/>
    <xf numFmtId="165" fontId="11" fillId="0" borderId="68" xfId="1" applyNumberFormat="1" applyFont="1" applyBorder="1"/>
    <xf numFmtId="166" fontId="11" fillId="0" borderId="72" xfId="2" applyNumberFormat="1" applyFont="1" applyBorder="1"/>
    <xf numFmtId="166" fontId="11" fillId="0" borderId="73" xfId="2" applyNumberFormat="1" applyFont="1" applyBorder="1"/>
    <xf numFmtId="165" fontId="11" fillId="0" borderId="69" xfId="1" applyNumberFormat="1" applyFont="1" applyBorder="1"/>
    <xf numFmtId="166" fontId="11" fillId="0" borderId="67" xfId="2" applyNumberFormat="1" applyFont="1" applyBorder="1"/>
    <xf numFmtId="166" fontId="11" fillId="0" borderId="68" xfId="2" applyNumberFormat="1" applyFont="1" applyBorder="1"/>
    <xf numFmtId="37" fontId="11" fillId="0" borderId="66" xfId="0" applyNumberFormat="1" applyFont="1" applyBorder="1"/>
    <xf numFmtId="166" fontId="11" fillId="0" borderId="66" xfId="2" applyNumberFormat="1" applyFont="1" applyFill="1" applyBorder="1"/>
    <xf numFmtId="37" fontId="11" fillId="0" borderId="68" xfId="0" applyNumberFormat="1" applyFont="1" applyBorder="1"/>
    <xf numFmtId="37" fontId="11" fillId="0" borderId="69" xfId="0" applyNumberFormat="1" applyFont="1" applyBorder="1"/>
    <xf numFmtId="173" fontId="11" fillId="0" borderId="68" xfId="5" applyNumberFormat="1" applyFont="1" applyFill="1" applyBorder="1"/>
    <xf numFmtId="173" fontId="11" fillId="0" borderId="69" xfId="5" applyNumberFormat="1" applyFont="1" applyFill="1" applyBorder="1"/>
    <xf numFmtId="164" fontId="11" fillId="0" borderId="19" xfId="0" applyNumberFormat="1" applyFont="1" applyBorder="1"/>
    <xf numFmtId="0" fontId="10" fillId="0" borderId="64" xfId="0" applyFont="1" applyBorder="1"/>
    <xf numFmtId="38" fontId="11" fillId="0" borderId="67" xfId="0" applyNumberFormat="1" applyFont="1" applyBorder="1"/>
    <xf numFmtId="166" fontId="11" fillId="0" borderId="71" xfId="2" applyNumberFormat="1" applyFont="1" applyBorder="1"/>
    <xf numFmtId="165" fontId="11" fillId="0" borderId="66" xfId="1" applyNumberFormat="1" applyFont="1" applyFill="1" applyBorder="1"/>
    <xf numFmtId="166" fontId="11" fillId="0" borderId="69" xfId="2" applyNumberFormat="1" applyFont="1" applyBorder="1"/>
    <xf numFmtId="37" fontId="11" fillId="0" borderId="67" xfId="0" applyNumberFormat="1" applyFont="1" applyBorder="1"/>
    <xf numFmtId="166" fontId="11" fillId="0" borderId="77" xfId="2" applyNumberFormat="1" applyFont="1" applyBorder="1"/>
    <xf numFmtId="166" fontId="11" fillId="0" borderId="78" xfId="2" applyNumberFormat="1" applyFont="1" applyBorder="1"/>
    <xf numFmtId="166" fontId="11" fillId="0" borderId="21" xfId="2" applyNumberFormat="1" applyFont="1" applyBorder="1"/>
    <xf numFmtId="170" fontId="11" fillId="0" borderId="66" xfId="5" applyNumberFormat="1" applyFont="1" applyBorder="1"/>
    <xf numFmtId="170" fontId="11" fillId="0" borderId="67" xfId="5" applyNumberFormat="1" applyFont="1" applyBorder="1"/>
    <xf numFmtId="165" fontId="9" fillId="0" borderId="0" xfId="0" applyNumberFormat="1" applyFont="1"/>
    <xf numFmtId="0" fontId="11" fillId="0" borderId="64" xfId="0" applyFont="1" applyBorder="1" applyAlignment="1">
      <alignment horizontal="center"/>
    </xf>
    <xf numFmtId="0" fontId="9" fillId="0" borderId="43" xfId="0" applyFont="1" applyBorder="1"/>
    <xf numFmtId="0" fontId="11" fillId="0" borderId="77" xfId="0" applyFont="1" applyBorder="1" applyAlignment="1">
      <alignment horizontal="center"/>
    </xf>
    <xf numFmtId="0" fontId="11" fillId="0" borderId="78" xfId="0" applyFont="1" applyBorder="1" applyAlignment="1">
      <alignment horizontal="center"/>
    </xf>
    <xf numFmtId="0" fontId="18" fillId="0" borderId="0" xfId="0" applyFont="1" applyAlignment="1">
      <alignment horizontal="left"/>
    </xf>
    <xf numFmtId="40" fontId="11" fillId="0" borderId="2" xfId="0" applyNumberFormat="1" applyFont="1" applyBorder="1"/>
    <xf numFmtId="165" fontId="10" fillId="0" borderId="13" xfId="1" applyNumberFormat="1" applyFont="1" applyFill="1" applyBorder="1"/>
    <xf numFmtId="40" fontId="10" fillId="0" borderId="0" xfId="0" applyNumberFormat="1" applyFont="1"/>
    <xf numFmtId="165" fontId="10" fillId="0" borderId="0" xfId="1" applyNumberFormat="1" applyFont="1" applyFill="1"/>
    <xf numFmtId="168" fontId="11" fillId="0" borderId="6" xfId="2" applyNumberFormat="1" applyFont="1" applyFill="1" applyBorder="1"/>
    <xf numFmtId="0" fontId="11" fillId="0" borderId="68" xfId="0" applyFont="1" applyBorder="1" applyAlignment="1">
      <alignment horizontal="center"/>
    </xf>
    <xf numFmtId="0" fontId="10" fillId="0" borderId="12" xfId="0" applyFont="1" applyBorder="1"/>
    <xf numFmtId="40" fontId="11" fillId="0" borderId="42" xfId="0" applyNumberFormat="1" applyFont="1" applyBorder="1"/>
    <xf numFmtId="40" fontId="11" fillId="0" borderId="21" xfId="0" applyNumberFormat="1" applyFont="1" applyBorder="1"/>
    <xf numFmtId="40" fontId="11" fillId="0" borderId="24" xfId="0" applyNumberFormat="1" applyFont="1" applyBorder="1"/>
    <xf numFmtId="0" fontId="10" fillId="0" borderId="28" xfId="0" applyFont="1" applyBorder="1" applyAlignment="1">
      <alignment horizontal="center" wrapText="1"/>
    </xf>
    <xf numFmtId="0" fontId="10" fillId="0" borderId="79" xfId="0" applyFont="1" applyBorder="1" applyAlignment="1">
      <alignment horizontal="center" wrapText="1"/>
    </xf>
    <xf numFmtId="0" fontId="11" fillId="0" borderId="0" xfId="0" quotePrefix="1" applyFont="1" applyAlignment="1">
      <alignment vertical="center"/>
    </xf>
    <xf numFmtId="0" fontId="11" fillId="0" borderId="0" xfId="4" quotePrefix="1" applyFont="1"/>
    <xf numFmtId="40" fontId="11" fillId="0" borderId="12" xfId="0" applyNumberFormat="1" applyFont="1" applyBorder="1"/>
    <xf numFmtId="40" fontId="11" fillId="0" borderId="13" xfId="0" applyNumberFormat="1" applyFont="1" applyBorder="1"/>
    <xf numFmtId="165" fontId="11" fillId="0" borderId="4" xfId="1" applyNumberFormat="1" applyFont="1" applyBorder="1"/>
    <xf numFmtId="165" fontId="10" fillId="0" borderId="56" xfId="1" applyNumberFormat="1" applyFont="1" applyBorder="1"/>
    <xf numFmtId="165" fontId="10" fillId="0" borderId="57" xfId="1" applyNumberFormat="1" applyFont="1" applyBorder="1"/>
    <xf numFmtId="165" fontId="11" fillId="0" borderId="57" xfId="1" applyNumberFormat="1" applyFont="1" applyBorder="1"/>
    <xf numFmtId="40" fontId="10" fillId="0" borderId="20" xfId="0" applyNumberFormat="1" applyFont="1" applyBorder="1"/>
    <xf numFmtId="0" fontId="11" fillId="0" borderId="64" xfId="0" applyFont="1" applyBorder="1"/>
    <xf numFmtId="166" fontId="11" fillId="0" borderId="69" xfId="2" applyNumberFormat="1" applyFont="1" applyFill="1" applyBorder="1"/>
    <xf numFmtId="0" fontId="11" fillId="0" borderId="31" xfId="0" applyFont="1" applyBorder="1"/>
    <xf numFmtId="166" fontId="11" fillId="0" borderId="0" xfId="2" applyNumberFormat="1" applyFont="1" applyFill="1" applyBorder="1"/>
    <xf numFmtId="166" fontId="11" fillId="0" borderId="22" xfId="2" applyNumberFormat="1" applyFont="1" applyFill="1" applyBorder="1"/>
    <xf numFmtId="165" fontId="11" fillId="0" borderId="58" xfId="1" applyNumberFormat="1" applyFont="1" applyBorder="1"/>
    <xf numFmtId="165" fontId="11" fillId="0" borderId="76" xfId="1" applyNumberFormat="1" applyFont="1" applyBorder="1"/>
    <xf numFmtId="165" fontId="11" fillId="0" borderId="7" xfId="1" applyNumberFormat="1" applyFont="1" applyBorder="1"/>
    <xf numFmtId="0" fontId="11" fillId="0" borderId="66" xfId="0" applyFont="1" applyBorder="1"/>
    <xf numFmtId="0" fontId="10" fillId="0" borderId="0" xfId="3" applyFont="1" applyAlignment="1">
      <alignment horizontal="left"/>
    </xf>
    <xf numFmtId="0" fontId="11" fillId="0" borderId="66" xfId="3" applyFont="1" applyBorder="1" applyAlignment="1">
      <alignment horizontal="center"/>
    </xf>
    <xf numFmtId="0" fontId="11" fillId="0" borderId="67" xfId="3" applyFont="1" applyBorder="1" applyAlignment="1">
      <alignment horizontal="center"/>
    </xf>
    <xf numFmtId="0" fontId="11" fillId="0" borderId="77" xfId="3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11" fillId="0" borderId="12" xfId="3" applyFont="1" applyBorder="1"/>
    <xf numFmtId="0" fontId="11" fillId="0" borderId="78" xfId="3" applyFont="1" applyBorder="1" applyAlignment="1">
      <alignment horizontal="center"/>
    </xf>
    <xf numFmtId="166" fontId="11" fillId="0" borderId="43" xfId="2" applyNumberFormat="1" applyFont="1" applyFill="1" applyBorder="1"/>
    <xf numFmtId="170" fontId="11" fillId="0" borderId="8" xfId="5" applyNumberFormat="1" applyFont="1" applyBorder="1"/>
    <xf numFmtId="166" fontId="11" fillId="0" borderId="61" xfId="2" applyNumberFormat="1" applyFont="1" applyBorder="1"/>
    <xf numFmtId="0" fontId="11" fillId="0" borderId="81" xfId="0" applyFont="1" applyBorder="1"/>
    <xf numFmtId="176" fontId="11" fillId="0" borderId="67" xfId="0" applyNumberFormat="1" applyFont="1" applyBorder="1"/>
    <xf numFmtId="170" fontId="11" fillId="0" borderId="0" xfId="5" applyNumberFormat="1" applyFont="1" applyBorder="1"/>
    <xf numFmtId="166" fontId="11" fillId="0" borderId="64" xfId="2" applyNumberFormat="1" applyFont="1" applyBorder="1"/>
    <xf numFmtId="166" fontId="11" fillId="0" borderId="65" xfId="2" applyNumberFormat="1" applyFont="1" applyFill="1" applyBorder="1"/>
    <xf numFmtId="0" fontId="11" fillId="0" borderId="67" xfId="0" applyFont="1" applyBorder="1"/>
    <xf numFmtId="0" fontId="11" fillId="0" borderId="22" xfId="0" applyFont="1" applyBorder="1" applyAlignment="1">
      <alignment horizontal="center"/>
    </xf>
    <xf numFmtId="166" fontId="11" fillId="0" borderId="19" xfId="2" applyNumberFormat="1" applyFont="1" applyFill="1" applyBorder="1"/>
    <xf numFmtId="0" fontId="11" fillId="0" borderId="70" xfId="0" applyFont="1" applyBorder="1"/>
    <xf numFmtId="0" fontId="11" fillId="0" borderId="71" xfId="0" applyFont="1" applyBorder="1"/>
    <xf numFmtId="0" fontId="10" fillId="0" borderId="28" xfId="0" applyFont="1" applyBorder="1"/>
    <xf numFmtId="0" fontId="22" fillId="0" borderId="29" xfId="0" applyFont="1" applyBorder="1"/>
    <xf numFmtId="0" fontId="11" fillId="0" borderId="66" xfId="0" applyFont="1" applyBorder="1" applyAlignment="1">
      <alignment horizontal="center" vertical="top"/>
    </xf>
    <xf numFmtId="0" fontId="18" fillId="0" borderId="0" xfId="0" applyFont="1" applyAlignment="1">
      <alignment horizontal="left" vertical="top"/>
    </xf>
    <xf numFmtId="166" fontId="10" fillId="0" borderId="2" xfId="2" applyNumberFormat="1" applyFont="1" applyFill="1" applyBorder="1" applyAlignment="1">
      <alignment vertical="top"/>
    </xf>
    <xf numFmtId="166" fontId="10" fillId="0" borderId="3" xfId="2" applyNumberFormat="1" applyFont="1" applyFill="1" applyBorder="1" applyAlignment="1">
      <alignment vertical="top"/>
    </xf>
    <xf numFmtId="0" fontId="11" fillId="0" borderId="67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43" fontId="11" fillId="0" borderId="23" xfId="1" applyFont="1" applyFill="1" applyBorder="1"/>
    <xf numFmtId="0" fontId="10" fillId="0" borderId="12" xfId="3" applyFont="1" applyBorder="1" applyAlignment="1">
      <alignment horizontal="center"/>
    </xf>
    <xf numFmtId="166" fontId="10" fillId="0" borderId="58" xfId="2" applyNumberFormat="1" applyFont="1" applyBorder="1"/>
    <xf numFmtId="166" fontId="10" fillId="0" borderId="76" xfId="2" applyNumberFormat="1" applyFont="1" applyBorder="1"/>
    <xf numFmtId="174" fontId="10" fillId="0" borderId="27" xfId="0" applyNumberFormat="1" applyFont="1" applyBorder="1" applyAlignment="1">
      <alignment horizontal="center"/>
    </xf>
    <xf numFmtId="174" fontId="10" fillId="0" borderId="47" xfId="0" applyNumberFormat="1" applyFont="1" applyBorder="1" applyAlignment="1">
      <alignment horizontal="center"/>
    </xf>
    <xf numFmtId="174" fontId="10" fillId="0" borderId="25" xfId="0" applyNumberFormat="1" applyFont="1" applyBorder="1" applyAlignment="1">
      <alignment horizontal="center"/>
    </xf>
    <xf numFmtId="174" fontId="10" fillId="0" borderId="26" xfId="0" applyNumberFormat="1" applyFont="1" applyBorder="1" applyAlignment="1">
      <alignment horizontal="center"/>
    </xf>
    <xf numFmtId="174" fontId="10" fillId="0" borderId="2" xfId="0" applyNumberFormat="1" applyFont="1" applyBorder="1" applyAlignment="1">
      <alignment horizontal="center"/>
    </xf>
    <xf numFmtId="174" fontId="10" fillId="0" borderId="19" xfId="0" applyNumberFormat="1" applyFont="1" applyBorder="1" applyAlignment="1">
      <alignment horizontal="center"/>
    </xf>
    <xf numFmtId="0" fontId="11" fillId="0" borderId="0" xfId="0" applyFont="1" applyAlignment="1">
      <alignment vertical="top"/>
    </xf>
    <xf numFmtId="165" fontId="7" fillId="0" borderId="0" xfId="0" applyNumberFormat="1" applyFont="1"/>
    <xf numFmtId="40" fontId="7" fillId="0" borderId="0" xfId="0" applyNumberFormat="1" applyFont="1"/>
    <xf numFmtId="0" fontId="11" fillId="0" borderId="28" xfId="0" applyFont="1" applyBorder="1" applyAlignment="1">
      <alignment vertical="top"/>
    </xf>
    <xf numFmtId="166" fontId="10" fillId="0" borderId="19" xfId="2" applyNumberFormat="1" applyFont="1" applyFill="1" applyBorder="1" applyAlignment="1">
      <alignment vertical="top"/>
    </xf>
    <xf numFmtId="166" fontId="10" fillId="0" borderId="22" xfId="2" applyNumberFormat="1" applyFont="1" applyFill="1" applyBorder="1" applyAlignment="1">
      <alignment vertical="top"/>
    </xf>
    <xf numFmtId="166" fontId="11" fillId="0" borderId="2" xfId="2" applyNumberFormat="1" applyFont="1" applyFill="1" applyBorder="1" applyAlignment="1">
      <alignment vertical="top"/>
    </xf>
    <xf numFmtId="44" fontId="18" fillId="0" borderId="8" xfId="2" applyFont="1" applyBorder="1" applyAlignment="1">
      <alignment horizontal="center" vertical="top" wrapText="1"/>
    </xf>
    <xf numFmtId="165" fontId="10" fillId="0" borderId="66" xfId="1" applyNumberFormat="1" applyFont="1" applyFill="1" applyBorder="1"/>
    <xf numFmtId="171" fontId="10" fillId="0" borderId="79" xfId="0" applyNumberFormat="1" applyFont="1" applyBorder="1" applyAlignment="1">
      <alignment horizontal="center"/>
    </xf>
    <xf numFmtId="0" fontId="30" fillId="0" borderId="0" xfId="0" applyFont="1" applyAlignment="1">
      <alignment horizontal="center" vertical="top"/>
    </xf>
    <xf numFmtId="42" fontId="11" fillId="0" borderId="0" xfId="0" applyNumberFormat="1" applyFont="1" applyAlignment="1">
      <alignment horizontal="centerContinuous" vertical="justify"/>
    </xf>
    <xf numFmtId="10" fontId="11" fillId="0" borderId="0" xfId="5" applyNumberFormat="1" applyFont="1" applyBorder="1" applyAlignment="1">
      <alignment horizontal="centerContinuous" vertical="justify"/>
    </xf>
    <xf numFmtId="168" fontId="11" fillId="0" borderId="2" xfId="2" applyNumberFormat="1" applyFont="1" applyBorder="1"/>
    <xf numFmtId="0" fontId="21" fillId="0" borderId="2" xfId="0" applyFont="1" applyBorder="1" applyAlignment="1">
      <alignment horizontal="left"/>
    </xf>
    <xf numFmtId="42" fontId="11" fillId="0" borderId="4" xfId="0" applyNumberFormat="1" applyFont="1" applyBorder="1"/>
    <xf numFmtId="10" fontId="11" fillId="0" borderId="4" xfId="5" applyNumberFormat="1" applyFont="1" applyBorder="1"/>
    <xf numFmtId="42" fontId="11" fillId="0" borderId="2" xfId="0" applyNumberFormat="1" applyFont="1" applyBorder="1"/>
    <xf numFmtId="42" fontId="11" fillId="0" borderId="2" xfId="0" applyNumberFormat="1" applyFont="1" applyBorder="1" applyAlignment="1">
      <alignment horizontal="center"/>
    </xf>
    <xf numFmtId="0" fontId="21" fillId="0" borderId="0" xfId="0" applyFont="1"/>
    <xf numFmtId="168" fontId="11" fillId="0" borderId="0" xfId="2" applyNumberFormat="1" applyFont="1"/>
    <xf numFmtId="166" fontId="11" fillId="0" borderId="2" xfId="2" applyNumberFormat="1" applyFont="1" applyFill="1" applyBorder="1" applyAlignment="1">
      <alignment horizontal="left"/>
    </xf>
    <xf numFmtId="165" fontId="21" fillId="0" borderId="2" xfId="1" applyNumberFormat="1" applyFont="1" applyFill="1" applyBorder="1" applyAlignment="1">
      <alignment horizontal="left"/>
    </xf>
    <xf numFmtId="166" fontId="11" fillId="0" borderId="4" xfId="2" applyNumberFormat="1" applyFont="1" applyFill="1" applyBorder="1" applyAlignment="1">
      <alignment horizontal="left"/>
    </xf>
    <xf numFmtId="0" fontId="12" fillId="0" borderId="0" xfId="0" applyFont="1"/>
    <xf numFmtId="166" fontId="12" fillId="0" borderId="0" xfId="0" applyNumberFormat="1" applyFont="1"/>
    <xf numFmtId="0" fontId="33" fillId="0" borderId="0" xfId="0" applyFont="1"/>
    <xf numFmtId="165" fontId="11" fillId="0" borderId="2" xfId="1" applyNumberFormat="1" applyFont="1" applyFill="1" applyBorder="1" applyAlignment="1">
      <alignment horizontal="left"/>
    </xf>
    <xf numFmtId="165" fontId="18" fillId="0" borderId="2" xfId="1" applyNumberFormat="1" applyFont="1" applyFill="1" applyBorder="1" applyAlignment="1">
      <alignment horizontal="center"/>
    </xf>
    <xf numFmtId="165" fontId="29" fillId="0" borderId="2" xfId="1" applyNumberFormat="1" applyFont="1" applyFill="1" applyBorder="1" applyAlignment="1">
      <alignment horizontal="center"/>
    </xf>
    <xf numFmtId="165" fontId="18" fillId="0" borderId="2" xfId="1" applyNumberFormat="1" applyFont="1" applyBorder="1" applyAlignment="1">
      <alignment horizontal="center"/>
    </xf>
    <xf numFmtId="168" fontId="11" fillId="0" borderId="2" xfId="2" applyNumberFormat="1" applyFont="1" applyBorder="1" applyAlignment="1">
      <alignment horizontal="center"/>
    </xf>
    <xf numFmtId="0" fontId="11" fillId="0" borderId="13" xfId="0" applyFont="1" applyBorder="1" applyAlignment="1">
      <alignment horizontal="centerContinuous" vertical="justify"/>
    </xf>
    <xf numFmtId="165" fontId="11" fillId="0" borderId="2" xfId="1" applyNumberFormat="1" applyFont="1" applyFill="1" applyBorder="1" applyAlignment="1">
      <alignment horizontal="center"/>
    </xf>
    <xf numFmtId="166" fontId="11" fillId="0" borderId="2" xfId="2" applyNumberFormat="1" applyFont="1" applyFill="1" applyBorder="1" applyAlignment="1">
      <alignment horizontal="center"/>
    </xf>
    <xf numFmtId="0" fontId="11" fillId="0" borderId="78" xfId="0" applyFont="1" applyBorder="1"/>
    <xf numFmtId="165" fontId="21" fillId="0" borderId="2" xfId="1" applyNumberFormat="1" applyFont="1" applyFill="1" applyBorder="1" applyAlignment="1">
      <alignment horizontal="center"/>
    </xf>
    <xf numFmtId="0" fontId="12" fillId="0" borderId="42" xfId="0" applyFont="1" applyBorder="1"/>
    <xf numFmtId="168" fontId="18" fillId="0" borderId="2" xfId="2" applyNumberFormat="1" applyFont="1" applyBorder="1" applyAlignment="1">
      <alignment horizontal="center"/>
    </xf>
    <xf numFmtId="168" fontId="18" fillId="0" borderId="13" xfId="2" applyNumberFormat="1" applyFont="1" applyBorder="1" applyAlignment="1">
      <alignment horizontal="center"/>
    </xf>
    <xf numFmtId="0" fontId="11" fillId="0" borderId="45" xfId="0" applyFont="1" applyBorder="1" applyAlignment="1">
      <alignment horizontal="centerContinuous" vertical="justify"/>
    </xf>
    <xf numFmtId="166" fontId="10" fillId="0" borderId="13" xfId="2" applyNumberFormat="1" applyFont="1" applyFill="1" applyBorder="1"/>
    <xf numFmtId="0" fontId="14" fillId="0" borderId="0" xfId="0" applyFont="1" applyAlignment="1">
      <alignment horizontal="center"/>
    </xf>
    <xf numFmtId="166" fontId="11" fillId="0" borderId="18" xfId="2" applyNumberFormat="1" applyFont="1" applyBorder="1"/>
    <xf numFmtId="0" fontId="10" fillId="0" borderId="0" xfId="3" quotePrefix="1" applyFont="1" applyAlignment="1">
      <alignment horizontal="center"/>
    </xf>
    <xf numFmtId="0" fontId="21" fillId="0" borderId="39" xfId="0" applyFont="1" applyBorder="1" applyAlignment="1">
      <alignment horizontal="center"/>
    </xf>
    <xf numFmtId="0" fontId="34" fillId="0" borderId="0" xfId="0" applyFont="1" applyAlignment="1">
      <alignment horizontal="centerContinuous" vertical="justify"/>
    </xf>
    <xf numFmtId="3" fontId="10" fillId="0" borderId="0" xfId="0" applyNumberFormat="1" applyFont="1" applyAlignment="1">
      <alignment horizontal="centerContinuous" vertical="justify"/>
    </xf>
    <xf numFmtId="0" fontId="11" fillId="0" borderId="1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70" fontId="11" fillId="0" borderId="2" xfId="5" applyNumberFormat="1" applyFont="1" applyFill="1" applyBorder="1"/>
    <xf numFmtId="170" fontId="11" fillId="0" borderId="8" xfId="5" applyNumberFormat="1" applyFont="1" applyFill="1" applyBorder="1"/>
    <xf numFmtId="170" fontId="11" fillId="0" borderId="3" xfId="5" applyNumberFormat="1" applyFont="1" applyFill="1" applyBorder="1"/>
    <xf numFmtId="170" fontId="11" fillId="0" borderId="6" xfId="5" applyNumberFormat="1" applyFont="1" applyFill="1" applyBorder="1"/>
    <xf numFmtId="170" fontId="11" fillId="0" borderId="7" xfId="5" applyNumberFormat="1" applyFont="1" applyBorder="1"/>
    <xf numFmtId="170" fontId="11" fillId="0" borderId="68" xfId="5" applyNumberFormat="1" applyFont="1" applyBorder="1"/>
    <xf numFmtId="170" fontId="11" fillId="0" borderId="6" xfId="5" applyNumberFormat="1" applyFont="1" applyBorder="1"/>
    <xf numFmtId="170" fontId="11" fillId="0" borderId="69" xfId="5" applyNumberFormat="1" applyFont="1" applyBorder="1"/>
    <xf numFmtId="170" fontId="11" fillId="0" borderId="3" xfId="5" applyNumberFormat="1" applyFont="1" applyBorder="1"/>
    <xf numFmtId="0" fontId="11" fillId="0" borderId="9" xfId="4" applyFont="1" applyBorder="1" applyAlignment="1">
      <alignment horizontal="center" wrapText="1"/>
    </xf>
    <xf numFmtId="0" fontId="11" fillId="0" borderId="9" xfId="3" applyFont="1" applyBorder="1" applyAlignment="1">
      <alignment horizontal="center" wrapText="1"/>
    </xf>
    <xf numFmtId="10" fontId="11" fillId="0" borderId="67" xfId="5" applyNumberFormat="1" applyFont="1" applyBorder="1"/>
    <xf numFmtId="10" fontId="11" fillId="0" borderId="66" xfId="5" applyNumberFormat="1" applyFont="1" applyBorder="1"/>
    <xf numFmtId="10" fontId="11" fillId="0" borderId="0" xfId="5" applyNumberFormat="1" applyFont="1" applyBorder="1"/>
    <xf numFmtId="10" fontId="11" fillId="0" borderId="66" xfId="5" applyNumberFormat="1" applyFont="1" applyFill="1" applyBorder="1"/>
    <xf numFmtId="10" fontId="11" fillId="0" borderId="2" xfId="5" applyNumberFormat="1" applyFont="1" applyFill="1" applyBorder="1"/>
    <xf numFmtId="10" fontId="11" fillId="0" borderId="67" xfId="5" applyNumberFormat="1" applyFont="1" applyFill="1" applyBorder="1"/>
    <xf numFmtId="3" fontId="11" fillId="0" borderId="17" xfId="0" applyNumberFormat="1" applyFont="1" applyBorder="1"/>
    <xf numFmtId="166" fontId="11" fillId="0" borderId="6" xfId="0" applyNumberFormat="1" applyFont="1" applyBorder="1" applyAlignment="1">
      <alignment horizontal="left"/>
    </xf>
    <xf numFmtId="165" fontId="11" fillId="0" borderId="6" xfId="1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166" fontId="11" fillId="0" borderId="8" xfId="0" applyNumberFormat="1" applyFont="1" applyBorder="1"/>
    <xf numFmtId="44" fontId="11" fillId="0" borderId="8" xfId="0" applyNumberFormat="1" applyFont="1" applyBorder="1"/>
    <xf numFmtId="44" fontId="11" fillId="0" borderId="8" xfId="2" applyFont="1" applyBorder="1"/>
    <xf numFmtId="165" fontId="11" fillId="0" borderId="6" xfId="1" applyNumberFormat="1" applyFont="1" applyFill="1" applyBorder="1"/>
    <xf numFmtId="166" fontId="11" fillId="0" borderId="8" xfId="2" applyNumberFormat="1" applyFont="1" applyFill="1" applyBorder="1" applyAlignment="1">
      <alignment vertical="top"/>
    </xf>
    <xf numFmtId="167" fontId="11" fillId="0" borderId="18" xfId="2" applyNumberFormat="1" applyFont="1" applyBorder="1"/>
    <xf numFmtId="0" fontId="11" fillId="0" borderId="2" xfId="0" applyFont="1" applyBorder="1" applyAlignment="1">
      <alignment horizontal="right"/>
    </xf>
    <xf numFmtId="40" fontId="11" fillId="0" borderId="20" xfId="0" applyNumberFormat="1" applyFont="1" applyBorder="1"/>
    <xf numFmtId="40" fontId="11" fillId="0" borderId="23" xfId="0" applyNumberFormat="1" applyFont="1" applyBorder="1"/>
    <xf numFmtId="40" fontId="11" fillId="0" borderId="29" xfId="0" applyNumberFormat="1" applyFont="1" applyBorder="1"/>
    <xf numFmtId="0" fontId="15" fillId="0" borderId="0" xfId="0" applyFont="1"/>
    <xf numFmtId="0" fontId="11" fillId="0" borderId="19" xfId="3" applyFont="1" applyBorder="1" applyAlignment="1">
      <alignment horizontal="center" wrapText="1"/>
    </xf>
    <xf numFmtId="0" fontId="11" fillId="0" borderId="67" xfId="3" applyFont="1" applyBorder="1" applyAlignment="1">
      <alignment horizontal="center" wrapText="1"/>
    </xf>
    <xf numFmtId="0" fontId="10" fillId="0" borderId="42" xfId="0" applyFont="1" applyBorder="1" applyAlignment="1">
      <alignment horizontal="center"/>
    </xf>
    <xf numFmtId="0" fontId="9" fillId="0" borderId="9" xfId="0" applyFont="1" applyBorder="1"/>
    <xf numFmtId="0" fontId="8" fillId="0" borderId="43" xfId="0" applyFont="1" applyBorder="1" applyAlignment="1">
      <alignment horizontal="center"/>
    </xf>
    <xf numFmtId="0" fontId="9" fillId="0" borderId="49" xfId="0" applyFont="1" applyBorder="1"/>
    <xf numFmtId="0" fontId="11" fillId="0" borderId="24" xfId="0" applyFont="1" applyBorder="1" applyAlignment="1">
      <alignment horizontal="center"/>
    </xf>
    <xf numFmtId="177" fontId="11" fillId="0" borderId="0" xfId="0" applyNumberFormat="1" applyFont="1" applyAlignment="1">
      <alignment horizontal="left"/>
    </xf>
    <xf numFmtId="0" fontId="10" fillId="0" borderId="26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1" fillId="0" borderId="23" xfId="0" applyFont="1" applyBorder="1" applyAlignment="1">
      <alignment horizontal="center"/>
    </xf>
    <xf numFmtId="171" fontId="10" fillId="0" borderId="28" xfId="0" applyNumberFormat="1" applyFont="1" applyBorder="1" applyAlignment="1">
      <alignment horizontal="center"/>
    </xf>
    <xf numFmtId="166" fontId="11" fillId="0" borderId="28" xfId="2" applyNumberFormat="1" applyFont="1" applyFill="1" applyBorder="1"/>
    <xf numFmtId="0" fontId="11" fillId="0" borderId="0" xfId="0" applyFont="1" applyAlignment="1">
      <alignment horizontal="centerContinuous" vertical="top"/>
    </xf>
    <xf numFmtId="166" fontId="11" fillId="4" borderId="10" xfId="2" applyNumberFormat="1" applyFont="1" applyFill="1" applyBorder="1"/>
    <xf numFmtId="0" fontId="12" fillId="0" borderId="0" xfId="0" applyFont="1" applyAlignment="1">
      <alignment horizontal="center"/>
    </xf>
    <xf numFmtId="44" fontId="11" fillId="0" borderId="0" xfId="0" applyNumberFormat="1" applyFont="1"/>
    <xf numFmtId="0" fontId="11" fillId="4" borderId="0" xfId="0" applyFont="1" applyFill="1"/>
    <xf numFmtId="0" fontId="10" fillId="0" borderId="13" xfId="0" applyFont="1" applyBorder="1"/>
    <xf numFmtId="165" fontId="11" fillId="0" borderId="0" xfId="0" applyNumberFormat="1" applyFont="1"/>
    <xf numFmtId="166" fontId="10" fillId="4" borderId="10" xfId="0" applyNumberFormat="1" applyFont="1" applyFill="1" applyBorder="1"/>
    <xf numFmtId="165" fontId="11" fillId="0" borderId="4" xfId="1" applyNumberFormat="1" applyFont="1" applyFill="1" applyBorder="1" applyAlignment="1">
      <alignment horizontal="left"/>
    </xf>
    <xf numFmtId="165" fontId="11" fillId="0" borderId="1" xfId="1" applyNumberFormat="1" applyFont="1" applyFill="1" applyBorder="1"/>
    <xf numFmtId="44" fontId="11" fillId="0" borderId="2" xfId="0" applyNumberFormat="1" applyFont="1" applyBorder="1"/>
    <xf numFmtId="17" fontId="11" fillId="0" borderId="2" xfId="0" applyNumberFormat="1" applyFont="1" applyBorder="1" applyAlignment="1">
      <alignment horizontal="center"/>
    </xf>
    <xf numFmtId="17" fontId="11" fillId="0" borderId="2" xfId="0" applyNumberFormat="1" applyFont="1" applyBorder="1"/>
    <xf numFmtId="168" fontId="11" fillId="0" borderId="18" xfId="2" applyNumberFormat="1" applyFont="1" applyFill="1" applyBorder="1"/>
    <xf numFmtId="0" fontId="11" fillId="0" borderId="2" xfId="0" applyFont="1" applyBorder="1" applyAlignment="1">
      <alignment horizontal="left" vertical="top"/>
    </xf>
    <xf numFmtId="165" fontId="11" fillId="0" borderId="7" xfId="1" applyNumberFormat="1" applyFont="1" applyFill="1" applyBorder="1"/>
    <xf numFmtId="165" fontId="11" fillId="0" borderId="92" xfId="1" applyNumberFormat="1" applyFont="1" applyFill="1" applyBorder="1"/>
    <xf numFmtId="165" fontId="11" fillId="0" borderId="91" xfId="1" applyNumberFormat="1" applyFont="1" applyFill="1" applyBorder="1"/>
    <xf numFmtId="165" fontId="11" fillId="0" borderId="15" xfId="1" applyNumberFormat="1" applyFont="1" applyFill="1" applyBorder="1"/>
    <xf numFmtId="166" fontId="10" fillId="0" borderId="17" xfId="2" applyNumberFormat="1" applyFont="1" applyFill="1" applyBorder="1"/>
    <xf numFmtId="165" fontId="11" fillId="0" borderId="31" xfId="1" applyNumberFormat="1" applyFont="1" applyFill="1" applyBorder="1"/>
    <xf numFmtId="166" fontId="10" fillId="0" borderId="30" xfId="2" applyNumberFormat="1" applyFont="1" applyFill="1" applyBorder="1"/>
    <xf numFmtId="166" fontId="10" fillId="0" borderId="56" xfId="2" applyNumberFormat="1" applyFont="1" applyFill="1" applyBorder="1"/>
    <xf numFmtId="166" fontId="10" fillId="0" borderId="57" xfId="2" applyNumberFormat="1" applyFont="1" applyFill="1" applyBorder="1"/>
    <xf numFmtId="0" fontId="22" fillId="0" borderId="39" xfId="0" applyFont="1" applyBorder="1"/>
    <xf numFmtId="37" fontId="11" fillId="0" borderId="2" xfId="0" applyNumberFormat="1" applyFont="1" applyBorder="1" applyAlignment="1">
      <alignment horizontal="right"/>
    </xf>
    <xf numFmtId="17" fontId="11" fillId="0" borderId="1" xfId="0" applyNumberFormat="1" applyFont="1" applyBorder="1" applyAlignment="1">
      <alignment horizontal="right"/>
    </xf>
    <xf numFmtId="37" fontId="11" fillId="0" borderId="3" xfId="0" applyNumberFormat="1" applyFont="1" applyBorder="1" applyAlignment="1">
      <alignment horizontal="right"/>
    </xf>
    <xf numFmtId="37" fontId="11" fillId="0" borderId="0" xfId="0" applyNumberFormat="1" applyFont="1" applyAlignment="1">
      <alignment horizontal="right"/>
    </xf>
    <xf numFmtId="0" fontId="11" fillId="0" borderId="5" xfId="0" applyFont="1" applyBorder="1" applyAlignment="1">
      <alignment horizontal="center"/>
    </xf>
    <xf numFmtId="37" fontId="11" fillId="0" borderId="7" xfId="0" applyNumberFormat="1" applyFont="1" applyBorder="1" applyAlignment="1">
      <alignment horizontal="right"/>
    </xf>
    <xf numFmtId="41" fontId="11" fillId="0" borderId="3" xfId="0" applyNumberFormat="1" applyFont="1" applyBorder="1" applyAlignment="1">
      <alignment horizontal="center"/>
    </xf>
    <xf numFmtId="37" fontId="11" fillId="0" borderId="4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/>
    </xf>
    <xf numFmtId="37" fontId="11" fillId="0" borderId="1" xfId="0" applyNumberFormat="1" applyFont="1" applyBorder="1" applyAlignment="1">
      <alignment horizontal="right"/>
    </xf>
    <xf numFmtId="41" fontId="11" fillId="0" borderId="8" xfId="0" applyNumberFormat="1" applyFont="1" applyBorder="1"/>
    <xf numFmtId="41" fontId="11" fillId="0" borderId="6" xfId="0" applyNumberFormat="1" applyFont="1" applyBorder="1"/>
    <xf numFmtId="41" fontId="11" fillId="0" borderId="11" xfId="0" applyNumberFormat="1" applyFont="1" applyBorder="1"/>
    <xf numFmtId="41" fontId="11" fillId="0" borderId="16" xfId="0" applyNumberFormat="1" applyFont="1" applyBorder="1"/>
    <xf numFmtId="41" fontId="11" fillId="0" borderId="8" xfId="0" applyNumberFormat="1" applyFont="1" applyBorder="1" applyAlignment="1">
      <alignment horizontal="center"/>
    </xf>
    <xf numFmtId="179" fontId="11" fillId="0" borderId="11" xfId="0" applyNumberFormat="1" applyFont="1" applyBorder="1"/>
    <xf numFmtId="166" fontId="11" fillId="0" borderId="18" xfId="2" applyNumberFormat="1" applyFont="1" applyFill="1" applyBorder="1"/>
    <xf numFmtId="0" fontId="35" fillId="0" borderId="0" xfId="0" applyFont="1" applyAlignment="1">
      <alignment horizontal="left"/>
    </xf>
    <xf numFmtId="0" fontId="11" fillId="0" borderId="8" xfId="0" applyFont="1" applyBorder="1" applyAlignment="1">
      <alignment horizontal="center" wrapText="1"/>
    </xf>
    <xf numFmtId="0" fontId="13" fillId="0" borderId="0" xfId="0" applyFont="1" applyAlignment="1">
      <alignment horizontal="right"/>
    </xf>
    <xf numFmtId="166" fontId="11" fillId="0" borderId="54" xfId="2" applyNumberFormat="1" applyFont="1" applyFill="1" applyBorder="1"/>
    <xf numFmtId="166" fontId="11" fillId="0" borderId="4" xfId="2" applyNumberFormat="1" applyFont="1" applyFill="1" applyBorder="1" applyAlignment="1">
      <alignment horizontal="center"/>
    </xf>
    <xf numFmtId="166" fontId="11" fillId="0" borderId="3" xfId="2" applyNumberFormat="1" applyFont="1" applyFill="1" applyBorder="1" applyAlignment="1">
      <alignment horizontal="center"/>
    </xf>
    <xf numFmtId="166" fontId="10" fillId="0" borderId="74" xfId="2" applyNumberFormat="1" applyFont="1" applyBorder="1"/>
    <xf numFmtId="0" fontId="11" fillId="0" borderId="0" xfId="0" applyFont="1" applyAlignment="1">
      <alignment vertical="justify"/>
    </xf>
    <xf numFmtId="0" fontId="11" fillId="0" borderId="0" xfId="0" applyFont="1" applyAlignment="1">
      <alignment horizontal="center" vertical="justify"/>
    </xf>
    <xf numFmtId="3" fontId="11" fillId="0" borderId="0" xfId="0" applyNumberFormat="1" applyFont="1" applyAlignment="1">
      <alignment horizontal="center" vertical="justify"/>
    </xf>
    <xf numFmtId="166" fontId="11" fillId="0" borderId="3" xfId="2" applyNumberFormat="1" applyFont="1" applyFill="1" applyBorder="1" applyAlignment="1">
      <alignment horizontal="left"/>
    </xf>
    <xf numFmtId="0" fontId="14" fillId="0" borderId="0" xfId="0" quotePrefix="1" applyFont="1" applyAlignment="1">
      <alignment horizontal="right"/>
    </xf>
    <xf numFmtId="166" fontId="11" fillId="0" borderId="17" xfId="2" applyNumberFormat="1" applyFont="1" applyFill="1" applyBorder="1"/>
    <xf numFmtId="10" fontId="11" fillId="0" borderId="8" xfId="5" applyNumberFormat="1" applyFont="1" applyBorder="1"/>
    <xf numFmtId="166" fontId="11" fillId="0" borderId="63" xfId="2" applyNumberFormat="1" applyFont="1" applyFill="1" applyBorder="1"/>
    <xf numFmtId="166" fontId="11" fillId="0" borderId="73" xfId="2" applyNumberFormat="1" applyFont="1" applyFill="1" applyBorder="1"/>
    <xf numFmtId="40" fontId="11" fillId="0" borderId="22" xfId="0" applyNumberFormat="1" applyFont="1" applyBorder="1"/>
    <xf numFmtId="40" fontId="11" fillId="0" borderId="19" xfId="0" applyNumberFormat="1" applyFont="1" applyBorder="1"/>
    <xf numFmtId="0" fontId="11" fillId="0" borderId="29" xfId="0" quotePrefix="1" applyFont="1" applyBorder="1" applyAlignment="1">
      <alignment horizontal="center"/>
    </xf>
    <xf numFmtId="166" fontId="10" fillId="0" borderId="18" xfId="2" applyNumberFormat="1" applyFont="1" applyBorder="1"/>
    <xf numFmtId="165" fontId="11" fillId="0" borderId="8" xfId="1" applyNumberFormat="1" applyFont="1" applyFill="1" applyBorder="1"/>
    <xf numFmtId="0" fontId="11" fillId="0" borderId="2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0" fontId="11" fillId="0" borderId="34" xfId="5" applyNumberFormat="1" applyFont="1" applyBorder="1"/>
    <xf numFmtId="10" fontId="11" fillId="0" borderId="51" xfId="0" applyNumberFormat="1" applyFont="1" applyBorder="1"/>
    <xf numFmtId="10" fontId="11" fillId="0" borderId="44" xfId="0" applyNumberFormat="1" applyFont="1" applyBorder="1"/>
    <xf numFmtId="10" fontId="11" fillId="0" borderId="84" xfId="0" applyNumberFormat="1" applyFont="1" applyBorder="1"/>
    <xf numFmtId="10" fontId="11" fillId="0" borderId="82" xfId="0" applyNumberFormat="1" applyFont="1" applyBorder="1"/>
    <xf numFmtId="10" fontId="11" fillId="0" borderId="85" xfId="0" applyNumberFormat="1" applyFont="1" applyBorder="1"/>
    <xf numFmtId="174" fontId="10" fillId="0" borderId="0" xfId="0" applyNumberFormat="1" applyFont="1" applyAlignment="1">
      <alignment horizontal="center"/>
    </xf>
    <xf numFmtId="174" fontId="10" fillId="0" borderId="79" xfId="0" applyNumberFormat="1" applyFont="1" applyBorder="1" applyAlignment="1">
      <alignment horizontal="center"/>
    </xf>
    <xf numFmtId="181" fontId="11" fillId="0" borderId="4" xfId="0" applyNumberFormat="1" applyFont="1" applyBorder="1"/>
    <xf numFmtId="17" fontId="11" fillId="0" borderId="9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2" xfId="0" applyFont="1" applyBorder="1"/>
    <xf numFmtId="0" fontId="10" fillId="0" borderId="42" xfId="0" quotePrefix="1" applyFont="1" applyBorder="1" applyAlignment="1">
      <alignment horizontal="center"/>
    </xf>
    <xf numFmtId="0" fontId="10" fillId="0" borderId="65" xfId="0" applyFont="1" applyBorder="1"/>
    <xf numFmtId="0" fontId="10" fillId="0" borderId="66" xfId="0" applyFont="1" applyBorder="1"/>
    <xf numFmtId="0" fontId="10" fillId="0" borderId="67" xfId="0" applyFont="1" applyBorder="1"/>
    <xf numFmtId="0" fontId="10" fillId="0" borderId="66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1" fillId="0" borderId="32" xfId="0" applyFont="1" applyBorder="1"/>
    <xf numFmtId="0" fontId="11" fillId="0" borderId="86" xfId="0" applyFont="1" applyBorder="1"/>
    <xf numFmtId="0" fontId="10" fillId="0" borderId="61" xfId="0" quotePrefix="1" applyFont="1" applyBorder="1" applyAlignment="1">
      <alignment horizontal="center"/>
    </xf>
    <xf numFmtId="0" fontId="11" fillId="0" borderId="52" xfId="0" applyFont="1" applyBorder="1"/>
    <xf numFmtId="0" fontId="10" fillId="0" borderId="64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0" fillId="0" borderId="48" xfId="0" applyFont="1" applyBorder="1" applyAlignment="1">
      <alignment horizontal="center" vertical="justify"/>
    </xf>
    <xf numFmtId="0" fontId="11" fillId="0" borderId="45" xfId="0" applyFont="1" applyBorder="1"/>
    <xf numFmtId="166" fontId="11" fillId="0" borderId="94" xfId="2" applyNumberFormat="1" applyFont="1" applyBorder="1"/>
    <xf numFmtId="166" fontId="11" fillId="0" borderId="83" xfId="2" applyNumberFormat="1" applyFont="1" applyBorder="1"/>
    <xf numFmtId="0" fontId="11" fillId="0" borderId="82" xfId="0" applyFont="1" applyBorder="1"/>
    <xf numFmtId="0" fontId="10" fillId="0" borderId="87" xfId="0" quotePrefix="1" applyFont="1" applyBorder="1" applyAlignment="1">
      <alignment horizontal="centerContinuous" vertical="justify"/>
    </xf>
    <xf numFmtId="0" fontId="10" fillId="0" borderId="48" xfId="0" quotePrefix="1" applyFont="1" applyBorder="1" applyAlignment="1">
      <alignment horizontal="centerContinuous" vertical="justify"/>
    </xf>
    <xf numFmtId="17" fontId="10" fillId="0" borderId="9" xfId="0" applyNumberFormat="1" applyFont="1" applyBorder="1" applyAlignment="1">
      <alignment horizontal="centerContinuous" vertical="justify"/>
    </xf>
    <xf numFmtId="17" fontId="10" fillId="0" borderId="2" xfId="0" applyNumberFormat="1" applyFont="1" applyBorder="1" applyAlignment="1">
      <alignment horizontal="center" vertical="justify"/>
    </xf>
    <xf numFmtId="0" fontId="10" fillId="0" borderId="77" xfId="0" applyFont="1" applyBorder="1" applyAlignment="1">
      <alignment horizontal="center"/>
    </xf>
    <xf numFmtId="0" fontId="10" fillId="0" borderId="78" xfId="0" applyFont="1" applyBorder="1" applyAlignment="1">
      <alignment horizontal="center"/>
    </xf>
    <xf numFmtId="0" fontId="10" fillId="0" borderId="13" xfId="0" quotePrefix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" xfId="0" quotePrefix="1" applyFont="1" applyBorder="1" applyAlignment="1">
      <alignment horizontal="centerContinuous" vertical="justify"/>
    </xf>
    <xf numFmtId="17" fontId="10" fillId="0" borderId="2" xfId="0" applyNumberFormat="1" applyFont="1" applyBorder="1" applyAlignment="1">
      <alignment horizontal="centerContinuous" vertical="justify"/>
    </xf>
    <xf numFmtId="0" fontId="10" fillId="0" borderId="5" xfId="0" quotePrefix="1" applyFont="1" applyBorder="1" applyAlignment="1">
      <alignment horizontal="centerContinuous" vertical="justify"/>
    </xf>
    <xf numFmtId="0" fontId="11" fillId="0" borderId="77" xfId="0" applyFont="1" applyBorder="1"/>
    <xf numFmtId="0" fontId="11" fillId="0" borderId="5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12" xfId="0" applyFont="1" applyBorder="1" applyAlignment="1">
      <alignment horizontal="centerContinuous" vertical="justify"/>
    </xf>
    <xf numFmtId="0" fontId="8" fillId="0" borderId="12" xfId="0" applyFont="1" applyBorder="1" applyAlignment="1">
      <alignment horizontal="centerContinuous" vertical="justify"/>
    </xf>
    <xf numFmtId="0" fontId="10" fillId="0" borderId="52" xfId="0" applyFont="1" applyBorder="1" applyAlignment="1">
      <alignment horizontal="center"/>
    </xf>
    <xf numFmtId="0" fontId="10" fillId="2" borderId="5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Continuous" vertical="justify"/>
    </xf>
    <xf numFmtId="0" fontId="10" fillId="2" borderId="2" xfId="0" applyFont="1" applyFill="1" applyBorder="1" applyAlignment="1">
      <alignment horizontal="centerContinuous" vertical="justify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42" xfId="0" applyFont="1" applyBorder="1" applyAlignment="1">
      <alignment horizontal="left"/>
    </xf>
    <xf numFmtId="0" fontId="19" fillId="0" borderId="88" xfId="0" quotePrefix="1" applyFont="1" applyBorder="1" applyAlignment="1">
      <alignment horizontal="center"/>
    </xf>
    <xf numFmtId="0" fontId="19" fillId="0" borderId="48" xfId="0" quotePrefix="1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61" xfId="0" applyFont="1" applyFill="1" applyBorder="1" applyAlignment="1">
      <alignment horizontal="center"/>
    </xf>
    <xf numFmtId="0" fontId="10" fillId="0" borderId="68" xfId="0" applyFont="1" applyBorder="1"/>
    <xf numFmtId="0" fontId="10" fillId="0" borderId="69" xfId="0" applyFont="1" applyBorder="1"/>
    <xf numFmtId="0" fontId="10" fillId="0" borderId="39" xfId="0" applyFont="1" applyBorder="1" applyAlignment="1">
      <alignment horizontal="center"/>
    </xf>
    <xf numFmtId="0" fontId="10" fillId="2" borderId="48" xfId="0" quotePrefix="1" applyFont="1" applyFill="1" applyBorder="1" applyAlignment="1">
      <alignment horizontal="center"/>
    </xf>
    <xf numFmtId="0" fontId="10" fillId="2" borderId="88" xfId="0" quotePrefix="1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10" fillId="0" borderId="39" xfId="0" applyFont="1" applyBorder="1"/>
    <xf numFmtId="0" fontId="10" fillId="0" borderId="43" xfId="0" applyFont="1" applyBorder="1"/>
    <xf numFmtId="0" fontId="10" fillId="0" borderId="61" xfId="0" applyFont="1" applyBorder="1"/>
    <xf numFmtId="0" fontId="10" fillId="0" borderId="12" xfId="0" applyFont="1" applyBorder="1" applyAlignment="1">
      <alignment horizontal="center"/>
    </xf>
    <xf numFmtId="165" fontId="11" fillId="0" borderId="3" xfId="19" applyNumberFormat="1" applyFont="1" applyFill="1" applyBorder="1" applyAlignment="1">
      <alignment horizontal="left"/>
    </xf>
    <xf numFmtId="165" fontId="11" fillId="0" borderId="58" xfId="19" applyNumberFormat="1" applyFont="1" applyFill="1" applyBorder="1" applyAlignment="1">
      <alignment horizontal="left"/>
    </xf>
    <xf numFmtId="165" fontId="11" fillId="0" borderId="76" xfId="19" applyNumberFormat="1" applyFont="1" applyFill="1" applyBorder="1" applyAlignment="1">
      <alignment horizontal="left"/>
    </xf>
    <xf numFmtId="166" fontId="11" fillId="0" borderId="34" xfId="2" applyNumberFormat="1" applyFont="1" applyBorder="1"/>
    <xf numFmtId="170" fontId="11" fillId="0" borderId="95" xfId="5" applyNumberFormat="1" applyFont="1" applyFill="1" applyBorder="1"/>
    <xf numFmtId="170" fontId="11" fillId="0" borderId="44" xfId="5" applyNumberFormat="1" applyFont="1" applyFill="1" applyBorder="1"/>
    <xf numFmtId="170" fontId="11" fillId="0" borderId="82" xfId="5" applyNumberFormat="1" applyFont="1" applyFill="1" applyBorder="1"/>
    <xf numFmtId="170" fontId="11" fillId="0" borderId="83" xfId="5" applyNumberFormat="1" applyFont="1" applyFill="1" applyBorder="1"/>
    <xf numFmtId="170" fontId="11" fillId="0" borderId="84" xfId="5" applyNumberFormat="1" applyFont="1" applyFill="1" applyBorder="1"/>
    <xf numFmtId="170" fontId="11" fillId="0" borderId="85" xfId="5" applyNumberFormat="1" applyFont="1" applyFill="1" applyBorder="1"/>
    <xf numFmtId="0" fontId="10" fillId="0" borderId="43" xfId="0" applyFont="1" applyBorder="1" applyAlignment="1">
      <alignment horizontal="left"/>
    </xf>
    <xf numFmtId="0" fontId="11" fillId="0" borderId="70" xfId="0" applyFont="1" applyBorder="1" applyAlignment="1">
      <alignment horizontal="center" vertical="top"/>
    </xf>
    <xf numFmtId="0" fontId="11" fillId="0" borderId="71" xfId="0" applyFont="1" applyBorder="1" applyAlignment="1">
      <alignment horizontal="center" vertical="top"/>
    </xf>
    <xf numFmtId="0" fontId="11" fillId="0" borderId="77" xfId="0" applyFont="1" applyBorder="1" applyAlignment="1">
      <alignment horizontal="center" vertical="top"/>
    </xf>
    <xf numFmtId="0" fontId="11" fillId="0" borderId="78" xfId="0" applyFont="1" applyBorder="1" applyAlignment="1">
      <alignment horizontal="center" vertical="top"/>
    </xf>
    <xf numFmtId="0" fontId="10" fillId="0" borderId="64" xfId="0" applyFont="1" applyBorder="1" applyAlignment="1">
      <alignment horizontal="centerContinuous" vertical="top"/>
    </xf>
    <xf numFmtId="0" fontId="10" fillId="0" borderId="65" xfId="0" applyFont="1" applyBorder="1" applyAlignment="1">
      <alignment horizontal="center" vertical="top"/>
    </xf>
    <xf numFmtId="166" fontId="10" fillId="0" borderId="68" xfId="2" applyNumberFormat="1" applyFont="1" applyBorder="1" applyAlignment="1">
      <alignment horizontal="center" vertical="top"/>
    </xf>
    <xf numFmtId="166" fontId="10" fillId="0" borderId="69" xfId="2" applyNumberFormat="1" applyFont="1" applyBorder="1" applyAlignment="1">
      <alignment horizontal="center" vertical="top"/>
    </xf>
    <xf numFmtId="0" fontId="37" fillId="0" borderId="5" xfId="0" applyFont="1" applyBorder="1"/>
    <xf numFmtId="0" fontId="11" fillId="4" borderId="66" xfId="0" applyFont="1" applyFill="1" applyBorder="1" applyAlignment="1">
      <alignment horizontal="center"/>
    </xf>
    <xf numFmtId="0" fontId="9" fillId="0" borderId="0" xfId="0" applyFont="1" applyAlignment="1">
      <alignment horizontal="centerContinuous" vertical="justify"/>
    </xf>
    <xf numFmtId="0" fontId="8" fillId="0" borderId="43" xfId="0" applyFont="1" applyBorder="1"/>
    <xf numFmtId="0" fontId="8" fillId="0" borderId="61" xfId="0" applyFont="1" applyBorder="1"/>
    <xf numFmtId="0" fontId="8" fillId="0" borderId="12" xfId="0" applyFont="1" applyBorder="1"/>
    <xf numFmtId="0" fontId="8" fillId="0" borderId="52" xfId="0" applyFont="1" applyBorder="1"/>
    <xf numFmtId="0" fontId="10" fillId="0" borderId="3" xfId="0" quotePrefix="1" applyFont="1" applyBorder="1" applyAlignment="1">
      <alignment horizontal="center"/>
    </xf>
    <xf numFmtId="0" fontId="21" fillId="0" borderId="42" xfId="0" applyFont="1" applyBorder="1" applyAlignment="1">
      <alignment horizontal="left"/>
    </xf>
    <xf numFmtId="0" fontId="9" fillId="0" borderId="42" xfId="0" applyFont="1" applyBorder="1"/>
    <xf numFmtId="0" fontId="9" fillId="0" borderId="43" xfId="0" applyFont="1" applyBorder="1" applyAlignment="1">
      <alignment horizontal="center"/>
    </xf>
    <xf numFmtId="0" fontId="9" fillId="0" borderId="8" xfId="0" applyFont="1" applyBorder="1"/>
    <xf numFmtId="166" fontId="9" fillId="0" borderId="2" xfId="0" applyNumberFormat="1" applyFont="1" applyBorder="1"/>
    <xf numFmtId="0" fontId="9" fillId="0" borderId="13" xfId="0" applyFont="1" applyBorder="1" applyAlignment="1">
      <alignment horizontal="left"/>
    </xf>
    <xf numFmtId="0" fontId="24" fillId="0" borderId="52" xfId="0" applyFont="1" applyBorder="1"/>
    <xf numFmtId="0" fontId="9" fillId="0" borderId="5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6" fontId="10" fillId="0" borderId="8" xfId="2" applyNumberFormat="1" applyFont="1" applyBorder="1"/>
    <xf numFmtId="0" fontId="11" fillId="0" borderId="20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9" xfId="0" applyFont="1" applyBorder="1"/>
    <xf numFmtId="0" fontId="14" fillId="0" borderId="19" xfId="0" quotePrefix="1" applyFont="1" applyBorder="1" applyAlignment="1">
      <alignment horizontal="center"/>
    </xf>
    <xf numFmtId="0" fontId="13" fillId="0" borderId="19" xfId="0" quotePrefix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2" borderId="13" xfId="0" quotePrefix="1" applyFont="1" applyFill="1" applyBorder="1" applyAlignment="1">
      <alignment horizontal="center"/>
    </xf>
    <xf numFmtId="17" fontId="11" fillId="0" borderId="13" xfId="0" applyNumberFormat="1" applyFont="1" applyBorder="1" applyAlignment="1">
      <alignment horizontal="center"/>
    </xf>
    <xf numFmtId="44" fontId="11" fillId="0" borderId="13" xfId="2" applyFont="1" applyBorder="1" applyAlignment="1">
      <alignment horizontal="center"/>
    </xf>
    <xf numFmtId="169" fontId="11" fillId="0" borderId="46" xfId="5" applyNumberFormat="1" applyFont="1" applyBorder="1"/>
    <xf numFmtId="169" fontId="11" fillId="0" borderId="13" xfId="5" applyNumberFormat="1" applyFont="1" applyBorder="1"/>
    <xf numFmtId="0" fontId="10" fillId="0" borderId="0" xfId="0" quotePrefix="1" applyFont="1" applyAlignment="1">
      <alignment horizontal="center"/>
    </xf>
    <xf numFmtId="166" fontId="11" fillId="0" borderId="0" xfId="2" applyNumberFormat="1" applyFont="1" applyBorder="1" applyAlignment="1">
      <alignment horizontal="center"/>
    </xf>
    <xf numFmtId="10" fontId="10" fillId="0" borderId="0" xfId="5" applyNumberFormat="1" applyFont="1" applyBorder="1"/>
    <xf numFmtId="166" fontId="11" fillId="0" borderId="0" xfId="0" applyNumberFormat="1" applyFont="1" applyAlignment="1">
      <alignment horizontal="center"/>
    </xf>
    <xf numFmtId="166" fontId="10" fillId="0" borderId="0" xfId="5" applyNumberFormat="1" applyFont="1" applyBorder="1"/>
    <xf numFmtId="166" fontId="10" fillId="0" borderId="0" xfId="0" applyNumberFormat="1" applyFont="1"/>
    <xf numFmtId="165" fontId="10" fillId="0" borderId="18" xfId="1" applyNumberFormat="1" applyFont="1" applyBorder="1"/>
    <xf numFmtId="166" fontId="10" fillId="0" borderId="80" xfId="2" applyNumberFormat="1" applyFont="1" applyBorder="1"/>
    <xf numFmtId="169" fontId="11" fillId="0" borderId="86" xfId="5" applyNumberFormat="1" applyFont="1" applyBorder="1"/>
    <xf numFmtId="0" fontId="9" fillId="0" borderId="0" xfId="0" applyFont="1" applyAlignment="1">
      <alignment horizontal="center" vertical="justify"/>
    </xf>
    <xf numFmtId="0" fontId="8" fillId="0" borderId="0" xfId="0" applyFont="1" applyAlignment="1">
      <alignment vertical="justify"/>
    </xf>
    <xf numFmtId="0" fontId="11" fillId="0" borderId="12" xfId="3" applyFont="1" applyBorder="1" applyAlignment="1">
      <alignment horizontal="left"/>
    </xf>
    <xf numFmtId="0" fontId="11" fillId="0" borderId="12" xfId="3" applyFont="1" applyBorder="1" applyAlignment="1">
      <alignment horizontal="center"/>
    </xf>
    <xf numFmtId="0" fontId="10" fillId="2" borderId="77" xfId="3" applyFont="1" applyFill="1" applyBorder="1" applyAlignment="1">
      <alignment horizontal="center" wrapText="1"/>
    </xf>
    <xf numFmtId="0" fontId="10" fillId="0" borderId="13" xfId="3" applyFont="1" applyBorder="1" applyAlignment="1">
      <alignment horizontal="center" vertical="top" wrapText="1"/>
    </xf>
    <xf numFmtId="0" fontId="10" fillId="2" borderId="78" xfId="3" applyFont="1" applyFill="1" applyBorder="1" applyAlignment="1">
      <alignment horizontal="center" wrapText="1"/>
    </xf>
    <xf numFmtId="0" fontId="11" fillId="0" borderId="66" xfId="3" applyFont="1" applyBorder="1" applyAlignment="1">
      <alignment horizontal="center" vertical="top" wrapText="1"/>
    </xf>
    <xf numFmtId="0" fontId="11" fillId="0" borderId="2" xfId="3" applyFont="1" applyBorder="1" applyAlignment="1">
      <alignment horizontal="center" vertical="top" wrapText="1"/>
    </xf>
    <xf numFmtId="0" fontId="11" fillId="0" borderId="67" xfId="3" applyFont="1" applyBorder="1" applyAlignment="1">
      <alignment horizontal="center" vertical="top" wrapText="1"/>
    </xf>
    <xf numFmtId="0" fontId="11" fillId="0" borderId="66" xfId="3" applyFont="1" applyBorder="1" applyAlignment="1">
      <alignment horizontal="center" vertical="center"/>
    </xf>
    <xf numFmtId="0" fontId="19" fillId="0" borderId="2" xfId="0" applyFont="1" applyBorder="1" applyAlignment="1">
      <alignment horizontal="left" wrapText="1"/>
    </xf>
    <xf numFmtId="0" fontId="11" fillId="0" borderId="67" xfId="3" applyFont="1" applyBorder="1" applyAlignment="1">
      <alignment horizontal="center" vertical="center"/>
    </xf>
    <xf numFmtId="166" fontId="19" fillId="0" borderId="4" xfId="2" applyNumberFormat="1" applyFont="1" applyFill="1" applyBorder="1"/>
    <xf numFmtId="0" fontId="10" fillId="0" borderId="13" xfId="4" applyFont="1" applyBorder="1" applyAlignment="1">
      <alignment horizontal="center" wrapText="1"/>
    </xf>
    <xf numFmtId="0" fontId="11" fillId="0" borderId="19" xfId="4" applyFont="1" applyBorder="1" applyAlignment="1">
      <alignment horizontal="center" wrapText="1"/>
    </xf>
    <xf numFmtId="0" fontId="11" fillId="0" borderId="67" xfId="4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4" fillId="0" borderId="0" xfId="3" quotePrefix="1" applyFont="1" applyAlignment="1">
      <alignment horizontal="center"/>
    </xf>
    <xf numFmtId="0" fontId="10" fillId="0" borderId="13" xfId="3" applyFont="1" applyBorder="1" applyAlignment="1">
      <alignment horizontal="center" wrapText="1"/>
    </xf>
    <xf numFmtId="0" fontId="10" fillId="0" borderId="2" xfId="3" applyFont="1" applyBorder="1" applyAlignment="1">
      <alignment horizontal="center"/>
    </xf>
    <xf numFmtId="44" fontId="11" fillId="0" borderId="0" xfId="2" applyFont="1" applyBorder="1" applyAlignment="1">
      <alignment horizontal="center"/>
    </xf>
    <xf numFmtId="0" fontId="11" fillId="0" borderId="86" xfId="3" applyFont="1" applyBorder="1"/>
    <xf numFmtId="166" fontId="10" fillId="0" borderId="8" xfId="2" applyNumberFormat="1" applyFont="1" applyFill="1" applyBorder="1"/>
    <xf numFmtId="165" fontId="10" fillId="0" borderId="9" xfId="1" applyNumberFormat="1" applyFont="1" applyFill="1" applyBorder="1"/>
    <xf numFmtId="0" fontId="10" fillId="0" borderId="42" xfId="0" applyFont="1" applyBorder="1" applyAlignment="1">
      <alignment horizontal="center" vertical="justify"/>
    </xf>
    <xf numFmtId="0" fontId="10" fillId="0" borderId="44" xfId="0" applyFont="1" applyBorder="1"/>
    <xf numFmtId="166" fontId="11" fillId="0" borderId="44" xfId="2" applyNumberFormat="1" applyFont="1" applyBorder="1"/>
    <xf numFmtId="17" fontId="10" fillId="0" borderId="13" xfId="0" applyNumberFormat="1" applyFont="1" applyBorder="1" applyAlignment="1">
      <alignment horizontal="centerContinuous" vertical="justify"/>
    </xf>
    <xf numFmtId="166" fontId="11" fillId="0" borderId="70" xfId="2" applyNumberFormat="1" applyFont="1" applyFill="1" applyBorder="1"/>
    <xf numFmtId="165" fontId="11" fillId="0" borderId="69" xfId="19" applyNumberFormat="1" applyFont="1" applyFill="1" applyBorder="1" applyAlignment="1">
      <alignment horizontal="left"/>
    </xf>
    <xf numFmtId="166" fontId="11" fillId="0" borderId="68" xfId="2" applyNumberFormat="1" applyFont="1" applyFill="1" applyBorder="1"/>
    <xf numFmtId="166" fontId="11" fillId="0" borderId="72" xfId="2" applyNumberFormat="1" applyFont="1" applyFill="1" applyBorder="1"/>
    <xf numFmtId="165" fontId="11" fillId="0" borderId="68" xfId="1" applyNumberFormat="1" applyFont="1" applyFill="1" applyBorder="1"/>
    <xf numFmtId="166" fontId="11" fillId="0" borderId="20" xfId="2" applyNumberFormat="1" applyFont="1" applyBorder="1"/>
    <xf numFmtId="166" fontId="11" fillId="0" borderId="21" xfId="2" applyNumberFormat="1" applyFont="1" applyFill="1" applyBorder="1"/>
    <xf numFmtId="166" fontId="11" fillId="0" borderId="24" xfId="2" applyNumberFormat="1" applyFont="1" applyFill="1" applyBorder="1"/>
    <xf numFmtId="170" fontId="11" fillId="0" borderId="19" xfId="5" applyNumberFormat="1" applyFont="1" applyBorder="1"/>
    <xf numFmtId="170" fontId="11" fillId="0" borderId="22" xfId="5" applyNumberFormat="1" applyFont="1" applyBorder="1"/>
    <xf numFmtId="170" fontId="11" fillId="0" borderId="58" xfId="5" applyNumberFormat="1" applyFont="1" applyBorder="1"/>
    <xf numFmtId="170" fontId="11" fillId="0" borderId="76" xfId="5" applyNumberFormat="1" applyFont="1" applyBorder="1"/>
    <xf numFmtId="0" fontId="10" fillId="0" borderId="24" xfId="0" applyFont="1" applyBorder="1"/>
    <xf numFmtId="0" fontId="10" fillId="0" borderId="22" xfId="0" applyFont="1" applyBorder="1" applyAlignment="1">
      <alignment horizontal="center"/>
    </xf>
    <xf numFmtId="166" fontId="11" fillId="0" borderId="22" xfId="2" applyNumberFormat="1" applyFont="1" applyBorder="1"/>
    <xf numFmtId="38" fontId="11" fillId="0" borderId="22" xfId="0" applyNumberFormat="1" applyFont="1" applyBorder="1"/>
    <xf numFmtId="166" fontId="11" fillId="0" borderId="91" xfId="2" applyNumberFormat="1" applyFont="1" applyBorder="1"/>
    <xf numFmtId="166" fontId="11" fillId="0" borderId="60" xfId="2" applyNumberFormat="1" applyFont="1" applyBorder="1"/>
    <xf numFmtId="166" fontId="11" fillId="0" borderId="76" xfId="2" applyNumberFormat="1" applyFont="1" applyBorder="1"/>
    <xf numFmtId="37" fontId="11" fillId="0" borderId="22" xfId="0" applyNumberFormat="1" applyFont="1" applyBorder="1"/>
    <xf numFmtId="37" fontId="11" fillId="0" borderId="76" xfId="0" applyNumberFormat="1" applyFont="1" applyBorder="1"/>
    <xf numFmtId="173" fontId="11" fillId="0" borderId="76" xfId="5" applyNumberFormat="1" applyFont="1" applyFill="1" applyBorder="1"/>
    <xf numFmtId="166" fontId="11" fillId="0" borderId="60" xfId="2" applyNumberFormat="1" applyFont="1" applyFill="1" applyBorder="1"/>
    <xf numFmtId="166" fontId="10" fillId="0" borderId="57" xfId="2" applyNumberFormat="1" applyFont="1" applyBorder="1"/>
    <xf numFmtId="166" fontId="11" fillId="0" borderId="23" xfId="2" applyNumberFormat="1" applyFont="1" applyBorder="1"/>
    <xf numFmtId="170" fontId="11" fillId="0" borderId="22" xfId="5" applyNumberFormat="1" applyFont="1" applyFill="1" applyBorder="1"/>
    <xf numFmtId="170" fontId="11" fillId="0" borderId="96" xfId="5" applyNumberFormat="1" applyFont="1" applyFill="1" applyBorder="1"/>
    <xf numFmtId="166" fontId="10" fillId="0" borderId="18" xfId="2" applyNumberFormat="1" applyFont="1" applyFill="1" applyBorder="1"/>
    <xf numFmtId="174" fontId="10" fillId="0" borderId="22" xfId="0" applyNumberFormat="1" applyFont="1" applyBorder="1" applyAlignment="1">
      <alignment horizontal="center"/>
    </xf>
    <xf numFmtId="165" fontId="11" fillId="0" borderId="29" xfId="1" applyNumberFormat="1" applyFont="1" applyFill="1" applyBorder="1"/>
    <xf numFmtId="165" fontId="11" fillId="0" borderId="28" xfId="1" applyNumberFormat="1" applyFont="1" applyFill="1" applyBorder="1" applyAlignment="1">
      <alignment vertical="center"/>
    </xf>
    <xf numFmtId="40" fontId="11" fillId="0" borderId="28" xfId="0" applyNumberFormat="1" applyFont="1" applyBorder="1"/>
    <xf numFmtId="166" fontId="10" fillId="0" borderId="28" xfId="2" applyNumberFormat="1" applyFont="1" applyFill="1" applyBorder="1"/>
    <xf numFmtId="166" fontId="10" fillId="0" borderId="62" xfId="2" applyNumberFormat="1" applyFont="1" applyBorder="1"/>
    <xf numFmtId="165" fontId="10" fillId="0" borderId="30" xfId="1" applyNumberFormat="1" applyFont="1" applyBorder="1"/>
    <xf numFmtId="165" fontId="10" fillId="0" borderId="29" xfId="1" applyNumberFormat="1" applyFont="1" applyBorder="1"/>
    <xf numFmtId="0" fontId="10" fillId="0" borderId="64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8" xfId="0" applyFont="1" applyBorder="1"/>
    <xf numFmtId="0" fontId="11" fillId="0" borderId="97" xfId="0" applyFont="1" applyBorder="1"/>
    <xf numFmtId="0" fontId="18" fillId="0" borderId="2" xfId="0" applyFont="1" applyBorder="1" applyAlignment="1">
      <alignment horizontal="left" wrapText="1"/>
    </xf>
    <xf numFmtId="0" fontId="11" fillId="0" borderId="28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166" fontId="11" fillId="0" borderId="19" xfId="2" applyNumberFormat="1" applyFont="1" applyFill="1" applyBorder="1" applyAlignment="1">
      <alignment horizontal="right"/>
    </xf>
    <xf numFmtId="166" fontId="11" fillId="0" borderId="2" xfId="2" applyNumberFormat="1" applyFont="1" applyFill="1" applyBorder="1" applyAlignment="1">
      <alignment horizontal="right"/>
    </xf>
    <xf numFmtId="166" fontId="11" fillId="0" borderId="22" xfId="2" applyNumberFormat="1" applyFont="1" applyFill="1" applyBorder="1" applyAlignment="1">
      <alignment horizontal="right"/>
    </xf>
    <xf numFmtId="166" fontId="11" fillId="0" borderId="0" xfId="2" applyNumberFormat="1" applyFont="1" applyFill="1" applyBorder="1" applyAlignment="1">
      <alignment horizontal="right"/>
    </xf>
    <xf numFmtId="166" fontId="11" fillId="0" borderId="28" xfId="2" applyNumberFormat="1" applyFont="1" applyFill="1" applyBorder="1" applyAlignment="1">
      <alignment horizontal="right"/>
    </xf>
    <xf numFmtId="10" fontId="11" fillId="0" borderId="3" xfId="5" applyNumberFormat="1" applyFont="1" applyBorder="1"/>
    <xf numFmtId="44" fontId="11" fillId="0" borderId="2" xfId="2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166" fontId="10" fillId="0" borderId="2" xfId="2" applyNumberFormat="1" applyFont="1" applyFill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10" fontId="10" fillId="0" borderId="3" xfId="5" applyNumberFormat="1" applyFont="1" applyFill="1" applyBorder="1"/>
    <xf numFmtId="10" fontId="10" fillId="0" borderId="1" xfId="5" applyNumberFormat="1" applyFont="1" applyFill="1" applyBorder="1"/>
    <xf numFmtId="166" fontId="10" fillId="0" borderId="4" xfId="0" applyNumberFormat="1" applyFont="1" applyBorder="1" applyAlignment="1">
      <alignment horizontal="center"/>
    </xf>
    <xf numFmtId="166" fontId="10" fillId="0" borderId="4" xfId="5" applyNumberFormat="1" applyFont="1" applyFill="1" applyBorder="1"/>
    <xf numFmtId="0" fontId="9" fillId="0" borderId="12" xfId="0" applyFont="1" applyBorder="1" applyAlignment="1">
      <alignment horizontal="left"/>
    </xf>
    <xf numFmtId="0" fontId="9" fillId="0" borderId="13" xfId="0" applyFont="1" applyBorder="1"/>
    <xf numFmtId="0" fontId="9" fillId="0" borderId="12" xfId="0" applyFont="1" applyBorder="1" applyAlignment="1">
      <alignment horizontal="center"/>
    </xf>
    <xf numFmtId="0" fontId="10" fillId="0" borderId="0" xfId="20" applyFont="1" applyAlignment="1">
      <alignment horizontal="left" vertical="top" wrapText="1"/>
    </xf>
    <xf numFmtId="165" fontId="11" fillId="0" borderId="0" xfId="21" applyNumberFormat="1" applyFont="1" applyBorder="1" applyAlignment="1">
      <alignment vertical="top"/>
    </xf>
    <xf numFmtId="165" fontId="11" fillId="0" borderId="0" xfId="21" applyNumberFormat="1" applyFont="1" applyBorder="1" applyAlignment="1">
      <alignment horizontal="center" vertical="top"/>
    </xf>
    <xf numFmtId="165" fontId="11" fillId="0" borderId="7" xfId="21" applyNumberFormat="1" applyFont="1" applyBorder="1" applyAlignment="1">
      <alignment vertical="top"/>
    </xf>
    <xf numFmtId="0" fontId="12" fillId="0" borderId="19" xfId="0" applyFont="1" applyBorder="1" applyAlignment="1">
      <alignment horizontal="left"/>
    </xf>
    <xf numFmtId="165" fontId="11" fillId="0" borderId="8" xfId="1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38" fillId="0" borderId="0" xfId="0" applyFont="1" applyAlignment="1">
      <alignment wrapText="1"/>
    </xf>
    <xf numFmtId="0" fontId="39" fillId="0" borderId="0" xfId="0" applyFont="1"/>
    <xf numFmtId="0" fontId="38" fillId="0" borderId="0" xfId="0" applyFont="1"/>
    <xf numFmtId="0" fontId="10" fillId="0" borderId="2" xfId="0" applyFont="1" applyBorder="1" applyAlignment="1">
      <alignment horizontal="right"/>
    </xf>
    <xf numFmtId="41" fontId="10" fillId="0" borderId="8" xfId="0" applyNumberFormat="1" applyFont="1" applyBorder="1"/>
    <xf numFmtId="41" fontId="11" fillId="0" borderId="18" xfId="0" applyNumberFormat="1" applyFont="1" applyBorder="1"/>
    <xf numFmtId="0" fontId="18" fillId="0" borderId="0" xfId="14" applyFont="1"/>
    <xf numFmtId="0" fontId="10" fillId="0" borderId="12" xfId="14" applyFont="1" applyBorder="1" applyAlignment="1">
      <alignment horizontal="center"/>
    </xf>
    <xf numFmtId="0" fontId="19" fillId="0" borderId="89" xfId="14" applyFont="1" applyBorder="1" applyAlignment="1">
      <alignment horizontal="center"/>
    </xf>
    <xf numFmtId="0" fontId="19" fillId="0" borderId="47" xfId="14" applyFont="1" applyBorder="1" applyAlignment="1">
      <alignment horizontal="center"/>
    </xf>
    <xf numFmtId="0" fontId="19" fillId="0" borderId="90" xfId="14" applyFont="1" applyBorder="1" applyAlignment="1">
      <alignment horizontal="center"/>
    </xf>
    <xf numFmtId="0" fontId="19" fillId="0" borderId="79" xfId="14" applyFont="1" applyBorder="1" applyAlignment="1">
      <alignment horizontal="center"/>
    </xf>
    <xf numFmtId="0" fontId="19" fillId="0" borderId="0" xfId="14" applyFont="1"/>
    <xf numFmtId="0" fontId="19" fillId="0" borderId="0" xfId="14" applyFont="1" applyAlignment="1">
      <alignment horizontal="center" vertical="top" wrapText="1"/>
    </xf>
    <xf numFmtId="165" fontId="9" fillId="0" borderId="0" xfId="15" applyNumberFormat="1" applyFont="1" applyBorder="1" applyAlignment="1">
      <alignment vertical="top"/>
    </xf>
    <xf numFmtId="165" fontId="19" fillId="0" borderId="0" xfId="15" applyNumberFormat="1" applyFont="1" applyBorder="1" applyAlignment="1">
      <alignment vertical="top"/>
    </xf>
    <xf numFmtId="178" fontId="18" fillId="0" borderId="7" xfId="14" applyNumberFormat="1" applyFont="1" applyBorder="1"/>
    <xf numFmtId="178" fontId="18" fillId="0" borderId="0" xfId="14" applyNumberFormat="1" applyFont="1"/>
    <xf numFmtId="165" fontId="19" fillId="0" borderId="17" xfId="1" applyNumberFormat="1" applyFont="1" applyFill="1" applyBorder="1"/>
    <xf numFmtId="0" fontId="19" fillId="0" borderId="0" xfId="14" applyFont="1" applyAlignment="1">
      <alignment horizontal="center"/>
    </xf>
    <xf numFmtId="174" fontId="10" fillId="0" borderId="28" xfId="0" applyNumberFormat="1" applyFont="1" applyBorder="1" applyAlignment="1">
      <alignment horizontal="right"/>
    </xf>
    <xf numFmtId="0" fontId="7" fillId="0" borderId="0" xfId="0" applyFont="1" applyAlignment="1">
      <alignment vertical="top"/>
    </xf>
    <xf numFmtId="0" fontId="10" fillId="0" borderId="2" xfId="3" applyFont="1" applyBorder="1" applyAlignment="1">
      <alignment horizontal="right"/>
    </xf>
    <xf numFmtId="0" fontId="10" fillId="0" borderId="0" xfId="3" applyFont="1"/>
    <xf numFmtId="169" fontId="10" fillId="0" borderId="32" xfId="5" applyNumberFormat="1" applyFont="1" applyBorder="1" applyAlignment="1">
      <alignment horizontal="center"/>
    </xf>
    <xf numFmtId="0" fontId="10" fillId="0" borderId="12" xfId="0" applyFont="1" applyBorder="1" applyAlignment="1">
      <alignment horizontal="right"/>
    </xf>
    <xf numFmtId="0" fontId="10" fillId="0" borderId="42" xfId="3" applyFont="1" applyBorder="1" applyAlignment="1">
      <alignment horizontal="right"/>
    </xf>
    <xf numFmtId="0" fontId="10" fillId="0" borderId="8" xfId="3" applyFont="1" applyBorder="1" applyAlignment="1">
      <alignment horizontal="right"/>
    </xf>
    <xf numFmtId="166" fontId="10" fillId="0" borderId="2" xfId="2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13" xfId="0" applyFont="1" applyBorder="1"/>
    <xf numFmtId="166" fontId="10" fillId="0" borderId="61" xfId="2" applyNumberFormat="1" applyFont="1" applyBorder="1" applyAlignment="1">
      <alignment horizontal="right"/>
    </xf>
    <xf numFmtId="166" fontId="10" fillId="0" borderId="0" xfId="2" applyNumberFormat="1" applyFont="1" applyBorder="1" applyAlignment="1">
      <alignment horizontal="right"/>
    </xf>
    <xf numFmtId="166" fontId="25" fillId="0" borderId="0" xfId="0" applyNumberFormat="1" applyFont="1" applyAlignment="1">
      <alignment horizontal="right"/>
    </xf>
    <xf numFmtId="0" fontId="8" fillId="0" borderId="0" xfId="0" applyFont="1"/>
    <xf numFmtId="0" fontId="10" fillId="0" borderId="28" xfId="0" applyFont="1" applyBorder="1" applyAlignment="1">
      <alignment horizontal="right"/>
    </xf>
    <xf numFmtId="170" fontId="11" fillId="0" borderId="19" xfId="5" applyNumberFormat="1" applyFont="1" applyFill="1" applyBorder="1"/>
    <xf numFmtId="170" fontId="11" fillId="0" borderId="58" xfId="5" applyNumberFormat="1" applyFont="1" applyFill="1" applyBorder="1"/>
    <xf numFmtId="175" fontId="11" fillId="0" borderId="35" xfId="1" applyNumberFormat="1" applyFont="1" applyBorder="1"/>
    <xf numFmtId="10" fontId="11" fillId="0" borderId="8" xfId="5" applyNumberFormat="1" applyFont="1" applyFill="1" applyBorder="1"/>
    <xf numFmtId="0" fontId="11" fillId="0" borderId="34" xfId="0" applyFont="1" applyBorder="1"/>
    <xf numFmtId="0" fontId="7" fillId="0" borderId="9" xfId="0" applyFont="1" applyBorder="1"/>
    <xf numFmtId="10" fontId="11" fillId="0" borderId="35" xfId="5" applyNumberFormat="1" applyFont="1" applyBorder="1"/>
    <xf numFmtId="10" fontId="11" fillId="0" borderId="68" xfId="5" applyNumberFormat="1" applyFont="1" applyFill="1" applyBorder="1"/>
    <xf numFmtId="10" fontId="11" fillId="0" borderId="6" xfId="5" applyNumberFormat="1" applyFont="1" applyBorder="1"/>
    <xf numFmtId="10" fontId="11" fillId="0" borderId="69" xfId="5" applyNumberFormat="1" applyFont="1" applyBorder="1"/>
    <xf numFmtId="10" fontId="11" fillId="0" borderId="68" xfId="5" applyNumberFormat="1" applyFont="1" applyBorder="1"/>
    <xf numFmtId="0" fontId="7" fillId="0" borderId="28" xfId="0" applyFont="1" applyBorder="1"/>
    <xf numFmtId="0" fontId="7" fillId="0" borderId="45" xfId="0" applyFont="1" applyBorder="1"/>
    <xf numFmtId="0" fontId="7" fillId="0" borderId="29" xfId="0" applyFont="1" applyBorder="1"/>
    <xf numFmtId="0" fontId="11" fillId="0" borderId="0" xfId="0" applyFont="1" applyAlignment="1">
      <alignment horizontal="right"/>
    </xf>
    <xf numFmtId="17" fontId="10" fillId="0" borderId="2" xfId="0" applyNumberFormat="1" applyFont="1" applyBorder="1" applyAlignment="1">
      <alignment horizontal="right"/>
    </xf>
    <xf numFmtId="17" fontId="10" fillId="0" borderId="9" xfId="0" applyNumberFormat="1" applyFont="1" applyBorder="1" applyAlignment="1">
      <alignment horizontal="right"/>
    </xf>
    <xf numFmtId="0" fontId="10" fillId="0" borderId="21" xfId="0" applyFont="1" applyBorder="1"/>
    <xf numFmtId="3" fontId="10" fillId="0" borderId="19" xfId="0" applyNumberFormat="1" applyFont="1" applyBorder="1" applyAlignment="1">
      <alignment horizontal="left"/>
    </xf>
    <xf numFmtId="3" fontId="10" fillId="0" borderId="93" xfId="0" applyNumberFormat="1" applyFont="1" applyBorder="1" applyAlignment="1">
      <alignment horizontal="left"/>
    </xf>
    <xf numFmtId="0" fontId="10" fillId="0" borderId="8" xfId="0" applyFont="1" applyBorder="1"/>
    <xf numFmtId="166" fontId="10" fillId="0" borderId="8" xfId="0" applyNumberFormat="1" applyFont="1" applyBorder="1"/>
    <xf numFmtId="0" fontId="10" fillId="0" borderId="52" xfId="0" applyFont="1" applyBorder="1"/>
    <xf numFmtId="0" fontId="10" fillId="0" borderId="8" xfId="0" applyFont="1" applyBorder="1" applyAlignment="1">
      <alignment horizontal="left"/>
    </xf>
    <xf numFmtId="165" fontId="10" fillId="0" borderId="13" xfId="1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 vertical="justify"/>
    </xf>
    <xf numFmtId="17" fontId="10" fillId="0" borderId="44" xfId="0" applyNumberFormat="1" applyFont="1" applyBorder="1" applyAlignment="1">
      <alignment horizontal="centerContinuous" vertical="justify"/>
    </xf>
    <xf numFmtId="0" fontId="40" fillId="0" borderId="0" xfId="20" applyFont="1"/>
    <xf numFmtId="0" fontId="10" fillId="0" borderId="0" xfId="20" applyFont="1" applyAlignment="1">
      <alignment horizontal="center"/>
    </xf>
    <xf numFmtId="0" fontId="10" fillId="0" borderId="12" xfId="20" applyFont="1" applyBorder="1" applyAlignment="1">
      <alignment horizontal="center"/>
    </xf>
    <xf numFmtId="0" fontId="11" fillId="0" borderId="0" xfId="20" applyFont="1" applyAlignment="1">
      <alignment horizontal="center"/>
    </xf>
    <xf numFmtId="0" fontId="41" fillId="0" borderId="0" xfId="20" applyFont="1"/>
    <xf numFmtId="0" fontId="11" fillId="0" borderId="0" xfId="20" applyFont="1"/>
    <xf numFmtId="178" fontId="11" fillId="0" borderId="7" xfId="20" applyNumberFormat="1" applyFont="1" applyBorder="1"/>
    <xf numFmtId="178" fontId="11" fillId="0" borderId="0" xfId="20" applyNumberFormat="1" applyFont="1" applyAlignment="1">
      <alignment horizontal="center"/>
    </xf>
    <xf numFmtId="178" fontId="11" fillId="0" borderId="0" xfId="20" applyNumberFormat="1" applyFont="1"/>
    <xf numFmtId="0" fontId="40" fillId="0" borderId="0" xfId="20" applyFont="1" applyAlignment="1">
      <alignment horizontal="left"/>
    </xf>
    <xf numFmtId="0" fontId="11" fillId="0" borderId="7" xfId="20" applyFont="1" applyBorder="1" applyAlignment="1">
      <alignment horizontal="center"/>
    </xf>
    <xf numFmtId="165" fontId="10" fillId="0" borderId="7" xfId="1" applyNumberFormat="1" applyFont="1" applyBorder="1"/>
    <xf numFmtId="0" fontId="11" fillId="0" borderId="0" xfId="20" applyFont="1" applyAlignment="1">
      <alignment horizontal="left"/>
    </xf>
    <xf numFmtId="165" fontId="11" fillId="0" borderId="7" xfId="1" applyNumberFormat="1" applyFont="1" applyBorder="1" applyAlignment="1">
      <alignment horizontal="center"/>
    </xf>
    <xf numFmtId="0" fontId="11" fillId="0" borderId="7" xfId="20" applyFont="1" applyBorder="1"/>
    <xf numFmtId="0" fontId="11" fillId="0" borderId="22" xfId="0" applyFont="1" applyBorder="1" applyAlignment="1">
      <alignment horizontal="center" vertical="top"/>
    </xf>
    <xf numFmtId="166" fontId="10" fillId="0" borderId="28" xfId="2" applyNumberFormat="1" applyFont="1" applyFill="1" applyBorder="1" applyAlignment="1">
      <alignment vertical="top"/>
    </xf>
    <xf numFmtId="0" fontId="19" fillId="0" borderId="79" xfId="14" applyFont="1" applyBorder="1" applyAlignment="1">
      <alignment horizontal="center" vertical="center" wrapText="1"/>
    </xf>
    <xf numFmtId="165" fontId="19" fillId="0" borderId="29" xfId="15" applyNumberFormat="1" applyFont="1" applyBorder="1" applyAlignment="1">
      <alignment vertical="center"/>
    </xf>
    <xf numFmtId="166" fontId="11" fillId="0" borderId="80" xfId="0" applyNumberFormat="1" applyFont="1" applyBorder="1"/>
    <xf numFmtId="166" fontId="11" fillId="0" borderId="3" xfId="0" applyNumberFormat="1" applyFont="1" applyBorder="1"/>
    <xf numFmtId="166" fontId="11" fillId="0" borderId="0" xfId="0" applyNumberFormat="1" applyFont="1" applyAlignment="1">
      <alignment horizontal="right"/>
    </xf>
    <xf numFmtId="165" fontId="11" fillId="0" borderId="22" xfId="1" applyNumberFormat="1" applyFont="1" applyFill="1" applyBorder="1" applyAlignment="1">
      <alignment horizontal="right"/>
    </xf>
    <xf numFmtId="173" fontId="11" fillId="0" borderId="0" xfId="5" applyNumberFormat="1" applyFont="1"/>
    <xf numFmtId="173" fontId="11" fillId="0" borderId="0" xfId="0" applyNumberFormat="1" applyFont="1"/>
    <xf numFmtId="0" fontId="10" fillId="0" borderId="25" xfId="0" applyFont="1" applyBorder="1" applyAlignment="1">
      <alignment horizontal="center" wrapText="1"/>
    </xf>
    <xf numFmtId="0" fontId="17" fillId="0" borderId="12" xfId="0" applyFont="1" applyBorder="1"/>
    <xf numFmtId="0" fontId="11" fillId="0" borderId="76" xfId="0" applyFont="1" applyBorder="1" applyAlignment="1">
      <alignment horizontal="center"/>
    </xf>
    <xf numFmtId="166" fontId="11" fillId="0" borderId="19" xfId="2" applyNumberFormat="1" applyFont="1" applyBorder="1"/>
    <xf numFmtId="170" fontId="10" fillId="0" borderId="55" xfId="0" applyNumberFormat="1" applyFont="1" applyBorder="1"/>
    <xf numFmtId="0" fontId="11" fillId="0" borderId="91" xfId="0" applyFont="1" applyBorder="1"/>
    <xf numFmtId="10" fontId="11" fillId="0" borderId="22" xfId="5" applyNumberFormat="1" applyFont="1" applyBorder="1"/>
    <xf numFmtId="10" fontId="11" fillId="0" borderId="76" xfId="5" applyNumberFormat="1" applyFont="1" applyBorder="1"/>
    <xf numFmtId="10" fontId="11" fillId="0" borderId="96" xfId="0" applyNumberFormat="1" applyFont="1" applyBorder="1"/>
    <xf numFmtId="166" fontId="11" fillId="0" borderId="12" xfId="2" applyNumberFormat="1" applyFont="1" applyBorder="1"/>
    <xf numFmtId="38" fontId="11" fillId="0" borderId="0" xfId="0" applyNumberFormat="1" applyFont="1"/>
    <xf numFmtId="168" fontId="11" fillId="0" borderId="7" xfId="2" applyNumberFormat="1" applyFont="1" applyFill="1" applyBorder="1"/>
    <xf numFmtId="166" fontId="11" fillId="0" borderId="15" xfId="2" applyNumberFormat="1" applyFont="1" applyBorder="1"/>
    <xf numFmtId="166" fontId="11" fillId="0" borderId="98" xfId="2" applyNumberFormat="1" applyFont="1" applyBorder="1"/>
    <xf numFmtId="166" fontId="11" fillId="0" borderId="7" xfId="2" applyNumberFormat="1" applyFont="1" applyBorder="1"/>
    <xf numFmtId="37" fontId="11" fillId="0" borderId="0" xfId="0" applyNumberFormat="1" applyFont="1"/>
    <xf numFmtId="37" fontId="11" fillId="0" borderId="7" xfId="0" applyNumberFormat="1" applyFont="1" applyBorder="1"/>
    <xf numFmtId="166" fontId="11" fillId="0" borderId="43" xfId="2" applyNumberFormat="1" applyFont="1" applyBorder="1"/>
    <xf numFmtId="180" fontId="11" fillId="0" borderId="0" xfId="0" applyNumberFormat="1" applyFont="1"/>
    <xf numFmtId="180" fontId="11" fillId="0" borderId="7" xfId="5" applyNumberFormat="1" applyFont="1" applyBorder="1"/>
    <xf numFmtId="180" fontId="11" fillId="0" borderId="83" xfId="0" applyNumberFormat="1" applyFont="1" applyBorder="1"/>
    <xf numFmtId="0" fontId="7" fillId="0" borderId="22" xfId="0" applyFont="1" applyBorder="1"/>
    <xf numFmtId="0" fontId="7" fillId="0" borderId="23" xfId="0" applyFont="1" applyBorder="1"/>
    <xf numFmtId="166" fontId="18" fillId="0" borderId="28" xfId="2" applyNumberFormat="1" applyFont="1" applyBorder="1" applyAlignment="1">
      <alignment horizontal="center"/>
    </xf>
    <xf numFmtId="38" fontId="18" fillId="0" borderId="28" xfId="0" applyNumberFormat="1" applyFont="1" applyBorder="1" applyAlignment="1">
      <alignment horizontal="center"/>
    </xf>
    <xf numFmtId="37" fontId="18" fillId="0" borderId="28" xfId="0" applyNumberFormat="1" applyFont="1" applyBorder="1" applyAlignment="1">
      <alignment horizontal="center"/>
    </xf>
    <xf numFmtId="165" fontId="11" fillId="0" borderId="6" xfId="19" applyNumberFormat="1" applyFont="1" applyFill="1" applyBorder="1" applyAlignment="1">
      <alignment horizontal="left"/>
    </xf>
    <xf numFmtId="164" fontId="11" fillId="0" borderId="13" xfId="0" applyNumberFormat="1" applyFont="1" applyBorder="1"/>
    <xf numFmtId="43" fontId="11" fillId="0" borderId="0" xfId="1" applyFont="1" applyFill="1" applyBorder="1"/>
    <xf numFmtId="170" fontId="10" fillId="0" borderId="54" xfId="0" applyNumberFormat="1" applyFont="1" applyBorder="1"/>
    <xf numFmtId="0" fontId="13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174" fontId="11" fillId="0" borderId="0" xfId="0" applyNumberFormat="1" applyFont="1" applyAlignment="1">
      <alignment horizontal="left"/>
    </xf>
    <xf numFmtId="174" fontId="43" fillId="0" borderId="0" xfId="0" applyNumberFormat="1" applyFont="1" applyAlignment="1">
      <alignment horizontal="right"/>
    </xf>
    <xf numFmtId="0" fontId="17" fillId="0" borderId="19" xfId="0" applyFont="1" applyBorder="1"/>
    <xf numFmtId="0" fontId="11" fillId="0" borderId="28" xfId="0" applyFont="1" applyBorder="1" applyAlignment="1">
      <alignment horizontal="center" vertical="top"/>
    </xf>
    <xf numFmtId="0" fontId="11" fillId="0" borderId="19" xfId="0" applyFont="1" applyBorder="1" applyAlignment="1">
      <alignment vertical="top" wrapText="1"/>
    </xf>
    <xf numFmtId="0" fontId="14" fillId="0" borderId="0" xfId="0" applyFont="1" applyAlignment="1">
      <alignment horizontal="center" vertical="top"/>
    </xf>
    <xf numFmtId="0" fontId="42" fillId="0" borderId="0" xfId="0" quotePrefix="1" applyFont="1"/>
    <xf numFmtId="0" fontId="11" fillId="0" borderId="0" xfId="0" applyFont="1" applyAlignment="1">
      <alignment horizontal="left" vertical="top" wrapText="1"/>
    </xf>
    <xf numFmtId="0" fontId="8" fillId="0" borderId="0" xfId="1" applyNumberFormat="1" applyFont="1" applyFill="1" applyBorder="1" applyAlignment="1">
      <alignment horizontal="right"/>
    </xf>
    <xf numFmtId="44" fontId="11" fillId="0" borderId="0" xfId="2" applyFont="1" applyBorder="1"/>
    <xf numFmtId="44" fontId="11" fillId="0" borderId="0" xfId="1" applyNumberFormat="1" applyFont="1" applyFill="1"/>
    <xf numFmtId="44" fontId="11" fillId="0" borderId="54" xfId="2" applyFont="1" applyFill="1" applyBorder="1"/>
    <xf numFmtId="0" fontId="18" fillId="0" borderId="8" xfId="0" applyFont="1" applyBorder="1" applyAlignment="1">
      <alignment horizontal="center" wrapText="1"/>
    </xf>
    <xf numFmtId="0" fontId="18" fillId="0" borderId="9" xfId="0" applyFont="1" applyBorder="1" applyAlignment="1">
      <alignment horizontal="left"/>
    </xf>
    <xf numFmtId="165" fontId="11" fillId="0" borderId="19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43" fontId="11" fillId="0" borderId="22" xfId="1" applyFont="1" applyFill="1" applyBorder="1" applyAlignment="1">
      <alignment horizontal="right"/>
    </xf>
    <xf numFmtId="168" fontId="10" fillId="0" borderId="50" xfId="2" applyNumberFormat="1" applyFont="1" applyBorder="1"/>
    <xf numFmtId="44" fontId="11" fillId="0" borderId="0" xfId="2" applyFont="1" applyFill="1" applyBorder="1"/>
    <xf numFmtId="166" fontId="11" fillId="0" borderId="39" xfId="2" applyNumberFormat="1" applyFont="1" applyFill="1" applyBorder="1"/>
    <xf numFmtId="40" fontId="11" fillId="0" borderId="79" xfId="0" applyNumberFormat="1" applyFont="1" applyBorder="1"/>
    <xf numFmtId="40" fontId="11" fillId="0" borderId="39" xfId="0" applyNumberFormat="1" applyFont="1" applyBorder="1"/>
    <xf numFmtId="165" fontId="10" fillId="0" borderId="29" xfId="1" applyNumberFormat="1" applyFont="1" applyFill="1" applyBorder="1"/>
    <xf numFmtId="165" fontId="11" fillId="0" borderId="28" xfId="1" applyNumberFormat="1" applyFont="1" applyFill="1" applyBorder="1" applyAlignment="1">
      <alignment horizontal="center" vertical="center"/>
    </xf>
    <xf numFmtId="166" fontId="10" fillId="0" borderId="62" xfId="2" applyNumberFormat="1" applyFont="1" applyFill="1" applyBorder="1"/>
    <xf numFmtId="165" fontId="11" fillId="0" borderId="29" xfId="1" applyNumberFormat="1" applyFont="1" applyBorder="1"/>
    <xf numFmtId="0" fontId="10" fillId="5" borderId="79" xfId="0" applyFont="1" applyFill="1" applyBorder="1" applyAlignment="1">
      <alignment horizontal="center" wrapText="1"/>
    </xf>
    <xf numFmtId="174" fontId="10" fillId="5" borderId="79" xfId="0" applyNumberFormat="1" applyFont="1" applyFill="1" applyBorder="1" applyAlignment="1">
      <alignment horizontal="center"/>
    </xf>
    <xf numFmtId="174" fontId="10" fillId="5" borderId="29" xfId="0" applyNumberFormat="1" applyFont="1" applyFill="1" applyBorder="1" applyAlignment="1">
      <alignment horizontal="center"/>
    </xf>
    <xf numFmtId="17" fontId="11" fillId="0" borderId="3" xfId="0" applyNumberFormat="1" applyFont="1" applyBorder="1" applyAlignment="1">
      <alignment horizontal="center"/>
    </xf>
    <xf numFmtId="43" fontId="11" fillId="0" borderId="22" xfId="1" applyFont="1" applyBorder="1" applyAlignment="1">
      <alignment horizontal="right"/>
    </xf>
    <xf numFmtId="165" fontId="11" fillId="0" borderId="12" xfId="1" applyNumberFormat="1" applyFont="1" applyFill="1" applyBorder="1"/>
    <xf numFmtId="0" fontId="10" fillId="0" borderId="0" xfId="0" quotePrefix="1" applyFont="1"/>
    <xf numFmtId="43" fontId="11" fillId="0" borderId="0" xfId="1" applyFont="1" applyAlignment="1">
      <alignment horizontal="right"/>
    </xf>
    <xf numFmtId="165" fontId="11" fillId="0" borderId="54" xfId="1" applyNumberFormat="1" applyFont="1" applyBorder="1" applyAlignment="1">
      <alignment horizontal="right"/>
    </xf>
    <xf numFmtId="165" fontId="11" fillId="0" borderId="17" xfId="1" applyNumberFormat="1" applyFont="1" applyBorder="1" applyAlignment="1">
      <alignment horizontal="right"/>
    </xf>
    <xf numFmtId="165" fontId="11" fillId="0" borderId="54" xfId="1" applyNumberFormat="1" applyFont="1" applyBorder="1"/>
    <xf numFmtId="165" fontId="11" fillId="0" borderId="0" xfId="1" applyNumberFormat="1" applyFont="1" applyAlignment="1">
      <alignment horizontal="right"/>
    </xf>
    <xf numFmtId="165" fontId="11" fillId="0" borderId="62" xfId="1" applyNumberFormat="1" applyFont="1" applyFill="1" applyBorder="1"/>
    <xf numFmtId="0" fontId="10" fillId="5" borderId="25" xfId="0" applyFont="1" applyFill="1" applyBorder="1" applyAlignment="1">
      <alignment horizontal="center" wrapText="1"/>
    </xf>
    <xf numFmtId="0" fontId="11" fillId="0" borderId="19" xfId="0" applyFont="1" applyBorder="1" applyAlignment="1">
      <alignment horizontal="center" vertical="center"/>
    </xf>
    <xf numFmtId="174" fontId="10" fillId="5" borderId="12" xfId="0" applyNumberFormat="1" applyFont="1" applyFill="1" applyBorder="1" applyAlignment="1">
      <alignment horizontal="center"/>
    </xf>
    <xf numFmtId="165" fontId="11" fillId="0" borderId="0" xfId="1" applyNumberFormat="1" applyFont="1" applyFill="1" applyBorder="1" applyAlignment="1">
      <alignment vertical="center"/>
    </xf>
    <xf numFmtId="174" fontId="10" fillId="5" borderId="27" xfId="0" applyNumberFormat="1" applyFont="1" applyFill="1" applyBorder="1" applyAlignment="1">
      <alignment horizontal="center"/>
    </xf>
    <xf numFmtId="40" fontId="11" fillId="0" borderId="27" xfId="0" applyNumberFormat="1" applyFont="1" applyBorder="1"/>
    <xf numFmtId="166" fontId="10" fillId="0" borderId="0" xfId="2" applyNumberFormat="1" applyFont="1" applyFill="1" applyBorder="1"/>
    <xf numFmtId="166" fontId="10" fillId="0" borderId="7" xfId="2" applyNumberFormat="1" applyFont="1" applyBorder="1"/>
    <xf numFmtId="165" fontId="10" fillId="0" borderId="12" xfId="1" applyNumberFormat="1" applyFont="1" applyBorder="1"/>
    <xf numFmtId="40" fontId="11" fillId="0" borderId="43" xfId="0" applyNumberFormat="1" applyFont="1" applyBorder="1"/>
    <xf numFmtId="165" fontId="11" fillId="0" borderId="12" xfId="1" applyNumberFormat="1" applyFont="1" applyBorder="1"/>
    <xf numFmtId="43" fontId="11" fillId="0" borderId="0" xfId="1" applyFont="1" applyFill="1"/>
    <xf numFmtId="43" fontId="7" fillId="0" borderId="0" xfId="0" applyNumberFormat="1" applyFont="1"/>
    <xf numFmtId="165" fontId="10" fillId="5" borderId="27" xfId="0" applyNumberFormat="1" applyFont="1" applyFill="1" applyBorder="1" applyAlignment="1">
      <alignment horizontal="center"/>
    </xf>
    <xf numFmtId="0" fontId="21" fillId="5" borderId="79" xfId="0" applyFont="1" applyFill="1" applyBorder="1" applyAlignment="1">
      <alignment horizontal="left" vertical="top"/>
    </xf>
    <xf numFmtId="0" fontId="11" fillId="0" borderId="28" xfId="0" applyFont="1" applyBorder="1" applyAlignment="1">
      <alignment vertical="center" wrapText="1"/>
    </xf>
    <xf numFmtId="0" fontId="11" fillId="0" borderId="28" xfId="0" applyFont="1" applyBorder="1" applyAlignment="1">
      <alignment horizontal="left" wrapText="1"/>
    </xf>
    <xf numFmtId="0" fontId="17" fillId="0" borderId="29" xfId="0" applyFont="1" applyBorder="1"/>
    <xf numFmtId="0" fontId="17" fillId="0" borderId="28" xfId="0" applyFont="1" applyBorder="1"/>
    <xf numFmtId="171" fontId="10" fillId="5" borderId="27" xfId="0" applyNumberFormat="1" applyFont="1" applyFill="1" applyBorder="1" applyAlignment="1">
      <alignment horizontal="center"/>
    </xf>
    <xf numFmtId="0" fontId="11" fillId="5" borderId="79" xfId="0" applyFont="1" applyFill="1" applyBorder="1" applyAlignment="1">
      <alignment horizontal="center"/>
    </xf>
    <xf numFmtId="166" fontId="14" fillId="0" borderId="67" xfId="2" quotePrefix="1" applyNumberFormat="1" applyFont="1" applyBorder="1" applyAlignment="1">
      <alignment horizontal="right"/>
    </xf>
    <xf numFmtId="0" fontId="14" fillId="0" borderId="0" xfId="0" quotePrefix="1" applyFont="1"/>
    <xf numFmtId="182" fontId="11" fillId="0" borderId="19" xfId="1" applyNumberFormat="1" applyFont="1" applyFill="1" applyBorder="1" applyAlignment="1">
      <alignment horizontal="right"/>
    </xf>
    <xf numFmtId="182" fontId="11" fillId="0" borderId="7" xfId="1" applyNumberFormat="1" applyFont="1" applyFill="1" applyBorder="1" applyAlignment="1">
      <alignment horizontal="right"/>
    </xf>
    <xf numFmtId="182" fontId="11" fillId="0" borderId="0" xfId="1" applyNumberFormat="1" applyFont="1" applyFill="1" applyBorder="1" applyAlignment="1">
      <alignment horizontal="right"/>
    </xf>
    <xf numFmtId="1" fontId="11" fillId="0" borderId="22" xfId="1" applyNumberFormat="1" applyFont="1" applyBorder="1" applyAlignment="1">
      <alignment horizontal="right"/>
    </xf>
    <xf numFmtId="10" fontId="11" fillId="0" borderId="7" xfId="5" applyNumberFormat="1" applyFont="1" applyBorder="1"/>
    <xf numFmtId="165" fontId="9" fillId="0" borderId="0" xfId="1" applyNumberFormat="1" applyFont="1" applyAlignment="1">
      <alignment vertical="top"/>
    </xf>
    <xf numFmtId="183" fontId="11" fillId="0" borderId="22" xfId="0" applyNumberFormat="1" applyFont="1" applyBorder="1" applyAlignment="1">
      <alignment horizontal="right"/>
    </xf>
    <xf numFmtId="170" fontId="11" fillId="0" borderId="0" xfId="5" applyNumberFormat="1" applyFont="1" applyFill="1" applyBorder="1"/>
    <xf numFmtId="168" fontId="11" fillId="0" borderId="76" xfId="2" applyNumberFormat="1" applyFont="1" applyFill="1" applyBorder="1"/>
    <xf numFmtId="168" fontId="18" fillId="0" borderId="28" xfId="2" applyNumberFormat="1" applyFont="1" applyFill="1" applyBorder="1" applyAlignment="1">
      <alignment horizontal="center" wrapText="1"/>
    </xf>
    <xf numFmtId="0" fontId="11" fillId="0" borderId="39" xfId="0" quotePrefix="1" applyFont="1" applyBorder="1" applyAlignment="1">
      <alignment horizontal="center"/>
    </xf>
    <xf numFmtId="0" fontId="11" fillId="0" borderId="19" xfId="0" applyFont="1" applyBorder="1" applyAlignment="1">
      <alignment horizontal="center" wrapText="1"/>
    </xf>
    <xf numFmtId="0" fontId="11" fillId="0" borderId="28" xfId="0" applyFont="1" applyBorder="1" applyAlignment="1">
      <alignment horizontal="left" vertical="top"/>
    </xf>
    <xf numFmtId="165" fontId="11" fillId="0" borderId="28" xfId="1" applyNumberFormat="1" applyFont="1" applyBorder="1"/>
    <xf numFmtId="0" fontId="11" fillId="0" borderId="22" xfId="0" quotePrefix="1" applyFont="1" applyBorder="1" applyAlignment="1">
      <alignment horizontal="center"/>
    </xf>
    <xf numFmtId="0" fontId="11" fillId="5" borderId="39" xfId="0" applyFont="1" applyFill="1" applyBorder="1" applyAlignment="1">
      <alignment horizontal="center" wrapText="1"/>
    </xf>
    <xf numFmtId="0" fontId="11" fillId="0" borderId="39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165" fontId="11" fillId="0" borderId="43" xfId="1" applyNumberFormat="1" applyFont="1" applyFill="1" applyBorder="1"/>
    <xf numFmtId="165" fontId="11" fillId="0" borderId="39" xfId="1" applyNumberFormat="1" applyFont="1" applyFill="1" applyBorder="1"/>
    <xf numFmtId="0" fontId="11" fillId="0" borderId="24" xfId="0" quotePrefix="1" applyFont="1" applyBorder="1" applyAlignment="1">
      <alignment horizontal="center"/>
    </xf>
    <xf numFmtId="182" fontId="9" fillId="0" borderId="0" xfId="1" applyNumberFormat="1" applyFont="1"/>
    <xf numFmtId="165" fontId="44" fillId="0" borderId="77" xfId="15" applyNumberFormat="1" applyFont="1" applyBorder="1" applyAlignment="1">
      <alignment vertical="center"/>
    </xf>
    <xf numFmtId="0" fontId="8" fillId="0" borderId="0" xfId="1" applyNumberFormat="1" applyFont="1" applyFill="1" applyBorder="1" applyAlignment="1">
      <alignment horizontal="left"/>
    </xf>
    <xf numFmtId="44" fontId="11" fillId="0" borderId="0" xfId="2" applyFont="1" applyFill="1"/>
    <xf numFmtId="0" fontId="10" fillId="0" borderId="2" xfId="0" quotePrefix="1" applyFont="1" applyBorder="1" applyAlignment="1">
      <alignment horizontal="right"/>
    </xf>
    <xf numFmtId="166" fontId="10" fillId="0" borderId="74" xfId="2" applyNumberFormat="1" applyFont="1" applyFill="1" applyBorder="1"/>
    <xf numFmtId="166" fontId="10" fillId="0" borderId="75" xfId="2" applyNumberFormat="1" applyFont="1" applyFill="1" applyBorder="1"/>
    <xf numFmtId="0" fontId="43" fillId="0" borderId="19" xfId="0" applyFont="1" applyBorder="1"/>
    <xf numFmtId="0" fontId="10" fillId="0" borderId="0" xfId="14" applyFont="1" applyAlignment="1">
      <alignment horizontal="center"/>
    </xf>
    <xf numFmtId="0" fontId="10" fillId="0" borderId="0" xfId="20" applyFont="1" applyAlignment="1">
      <alignment horizontal="center"/>
    </xf>
    <xf numFmtId="0" fontId="10" fillId="0" borderId="0" xfId="0" applyFont="1" applyAlignment="1">
      <alignment horizontal="center" vertical="justify"/>
    </xf>
    <xf numFmtId="3" fontId="10" fillId="0" borderId="0" xfId="0" applyNumberFormat="1" applyFont="1" applyAlignment="1">
      <alignment horizontal="center" vertical="justify"/>
    </xf>
    <xf numFmtId="0" fontId="10" fillId="0" borderId="0" xfId="0" applyFont="1" applyAlignment="1">
      <alignment horizontal="center" vertical="center"/>
    </xf>
    <xf numFmtId="0" fontId="36" fillId="3" borderId="21" xfId="0" applyFont="1" applyFill="1" applyBorder="1" applyAlignment="1">
      <alignment horizontal="center"/>
    </xf>
    <xf numFmtId="0" fontId="36" fillId="3" borderId="43" xfId="0" applyFont="1" applyFill="1" applyBorder="1" applyAlignment="1">
      <alignment horizontal="center"/>
    </xf>
    <xf numFmtId="0" fontId="36" fillId="3" borderId="24" xfId="0" applyFont="1" applyFill="1" applyBorder="1" applyAlignment="1">
      <alignment horizontal="center"/>
    </xf>
    <xf numFmtId="0" fontId="36" fillId="3" borderId="20" xfId="0" applyFont="1" applyFill="1" applyBorder="1" applyAlignment="1">
      <alignment horizontal="center"/>
    </xf>
    <xf numFmtId="0" fontId="36" fillId="3" borderId="0" xfId="0" applyFont="1" applyFill="1" applyAlignment="1">
      <alignment horizontal="center"/>
    </xf>
    <xf numFmtId="0" fontId="36" fillId="3" borderId="22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</cellXfs>
  <cellStyles count="22">
    <cellStyle name="Comma" xfId="1" builtinId="3"/>
    <cellStyle name="Comma 14" xfId="15" xr:uid="{00000000-0005-0000-0000-000001000000}"/>
    <cellStyle name="Comma 14 2" xfId="21" xr:uid="{00FB1CCE-D6C1-49F0-A30B-27ED7D229814}"/>
    <cellStyle name="Comma 2" xfId="12" xr:uid="{00000000-0005-0000-0000-000002000000}"/>
    <cellStyle name="Comma 3" xfId="19" xr:uid="{C47336E8-D94B-49C2-B7EE-22235241E155}"/>
    <cellStyle name="Currency" xfId="2" builtinId="4"/>
    <cellStyle name="Currency 2" xfId="11" xr:uid="{00000000-0005-0000-0000-000004000000}"/>
    <cellStyle name="Normal" xfId="0" builtinId="0"/>
    <cellStyle name="Normal 10" xfId="9" xr:uid="{00000000-0005-0000-0000-000006000000}"/>
    <cellStyle name="Normal 10 2 2 2" xfId="18" xr:uid="{00000000-0005-0000-0000-000007000000}"/>
    <cellStyle name="Normal 12" xfId="8" xr:uid="{00000000-0005-0000-0000-000008000000}"/>
    <cellStyle name="Normal 19" xfId="7" xr:uid="{00000000-0005-0000-0000-000009000000}"/>
    <cellStyle name="Normal 2" xfId="10" xr:uid="{00000000-0005-0000-0000-00000A000000}"/>
    <cellStyle name="Normal 2 3 3" xfId="6" xr:uid="{00000000-0005-0000-0000-00000B000000}"/>
    <cellStyle name="Normal 20" xfId="14" xr:uid="{00000000-0005-0000-0000-00000C000000}"/>
    <cellStyle name="Normal 20 2" xfId="20" xr:uid="{80C12A75-8FE9-45AF-9CAB-1288F15EF8E5}"/>
    <cellStyle name="Normal 21" xfId="16" xr:uid="{00000000-0005-0000-0000-00000D000000}"/>
    <cellStyle name="Normal 22" xfId="17" xr:uid="{00000000-0005-0000-0000-00000E000000}"/>
    <cellStyle name="Normal_Draft TRBAA 2009 Forecast" xfId="3" xr:uid="{00000000-0005-0000-0000-00000F000000}"/>
    <cellStyle name="Normal_R1, 2009 ETC Cost Differential Forecast" xfId="4" xr:uid="{00000000-0005-0000-0000-000010000000}"/>
    <cellStyle name="Percent" xfId="5" builtinId="5"/>
    <cellStyle name="Percent 2" xfId="13" xr:uid="{00000000-0005-0000-0000-000012000000}"/>
  </cellStyles>
  <dxfs count="0"/>
  <tableStyles count="1" defaultTableStyle="TableStyleMedium9" defaultPivotStyle="PivotStyleLight16">
    <tableStyle name="Invisible" pivot="0" table="0" count="0" xr9:uid="{388BAACD-86A7-4450-93BC-E0906B5B0CEE}"/>
  </tableStyles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0"/>
  <sheetViews>
    <sheetView tabSelected="1" zoomScale="80" zoomScaleNormal="80" workbookViewId="0">
      <selection activeCell="D32" sqref="D32"/>
    </sheetView>
  </sheetViews>
  <sheetFormatPr defaultColWidth="8.5703125" defaultRowHeight="12.75" x14ac:dyDescent="0.2"/>
  <cols>
    <col min="1" max="1" width="5.5703125" style="1" customWidth="1"/>
    <col min="2" max="4" width="20.5703125" style="1" customWidth="1"/>
    <col min="5" max="5" width="22.28515625" style="1" bestFit="1" customWidth="1"/>
    <col min="6" max="6" width="40.5703125" style="1" customWidth="1"/>
    <col min="7" max="7" width="5.5703125" style="1" customWidth="1"/>
    <col min="8" max="8" width="8.5703125" style="1" customWidth="1"/>
    <col min="9" max="12" width="16.5703125" style="1" customWidth="1"/>
    <col min="13" max="16384" width="8.5703125" style="1"/>
  </cols>
  <sheetData>
    <row r="2" spans="1:12" s="3" customFormat="1" ht="18" customHeight="1" x14ac:dyDescent="0.25">
      <c r="A2" s="5" t="s">
        <v>0</v>
      </c>
      <c r="B2" s="5"/>
      <c r="C2" s="5"/>
      <c r="D2" s="5"/>
      <c r="E2" s="5"/>
      <c r="F2" s="5"/>
      <c r="G2" s="41"/>
      <c r="H2" s="1"/>
      <c r="I2" s="1"/>
      <c r="J2" s="1"/>
    </row>
    <row r="3" spans="1:12" s="3" customFormat="1" ht="18" customHeight="1" x14ac:dyDescent="0.25">
      <c r="A3" s="5" t="s">
        <v>1</v>
      </c>
      <c r="B3" s="5"/>
      <c r="C3" s="5"/>
      <c r="D3" s="5"/>
      <c r="E3" s="5"/>
      <c r="F3" s="5"/>
      <c r="G3" s="41"/>
      <c r="H3" s="1"/>
      <c r="I3" s="1"/>
      <c r="J3" s="1"/>
    </row>
    <row r="4" spans="1:12" s="3" customFormat="1" ht="18" customHeight="1" x14ac:dyDescent="0.25">
      <c r="A4" s="5" t="s">
        <v>489</v>
      </c>
      <c r="B4" s="5"/>
      <c r="C4" s="5"/>
      <c r="D4" s="5"/>
      <c r="E4" s="5"/>
      <c r="F4" s="5"/>
      <c r="G4" s="41"/>
      <c r="H4" s="1"/>
      <c r="I4" s="1"/>
      <c r="J4" s="1"/>
    </row>
    <row r="5" spans="1:12" ht="15.75" x14ac:dyDescent="0.2">
      <c r="A5" s="5" t="s">
        <v>2</v>
      </c>
      <c r="B5" s="5"/>
      <c r="C5" s="5"/>
      <c r="D5" s="41"/>
      <c r="E5" s="41"/>
      <c r="F5" s="41"/>
      <c r="G5" s="41"/>
    </row>
    <row r="6" spans="1:12" ht="16.5" thickBot="1" x14ac:dyDescent="0.25">
      <c r="A6" s="5"/>
      <c r="B6" s="5"/>
      <c r="C6" s="5"/>
      <c r="D6" s="41"/>
      <c r="E6" s="41"/>
      <c r="F6" s="41"/>
      <c r="G6" s="41"/>
    </row>
    <row r="7" spans="1:12" ht="15.75" x14ac:dyDescent="0.25">
      <c r="A7" s="286"/>
      <c r="B7" s="542"/>
      <c r="C7" s="165" t="s">
        <v>3</v>
      </c>
      <c r="D7" s="165" t="s">
        <v>4</v>
      </c>
      <c r="E7" s="165" t="s">
        <v>5</v>
      </c>
      <c r="F7" s="543"/>
      <c r="G7" s="544"/>
    </row>
    <row r="8" spans="1:12" ht="15.75" x14ac:dyDescent="0.25">
      <c r="A8" s="545"/>
      <c r="B8" s="94"/>
      <c r="C8" s="75" t="s">
        <v>6</v>
      </c>
      <c r="D8" s="75" t="s">
        <v>7</v>
      </c>
      <c r="E8" s="75" t="s">
        <v>6</v>
      </c>
      <c r="F8" s="94"/>
      <c r="G8" s="546"/>
    </row>
    <row r="9" spans="1:12" ht="15.75" x14ac:dyDescent="0.25">
      <c r="A9" s="547" t="s">
        <v>8</v>
      </c>
      <c r="B9" s="75"/>
      <c r="C9" s="158" t="s">
        <v>9</v>
      </c>
      <c r="D9" s="75" t="s">
        <v>10</v>
      </c>
      <c r="E9" s="158" t="s">
        <v>9</v>
      </c>
      <c r="F9" s="75"/>
      <c r="G9" s="548" t="s">
        <v>8</v>
      </c>
    </row>
    <row r="10" spans="1:12" ht="19.5" thickBot="1" x14ac:dyDescent="0.3">
      <c r="A10" s="565" t="s">
        <v>11</v>
      </c>
      <c r="B10" s="153" t="s">
        <v>12</v>
      </c>
      <c r="C10" s="567" t="s">
        <v>13</v>
      </c>
      <c r="D10" s="153" t="s">
        <v>14</v>
      </c>
      <c r="E10" s="567" t="s">
        <v>15</v>
      </c>
      <c r="F10" s="153" t="s">
        <v>16</v>
      </c>
      <c r="G10" s="566" t="s">
        <v>11</v>
      </c>
      <c r="I10" s="90"/>
      <c r="J10" s="90"/>
      <c r="K10" s="90"/>
    </row>
    <row r="11" spans="1:12" ht="15.75" x14ac:dyDescent="0.25">
      <c r="A11" s="262"/>
      <c r="B11" s="764"/>
      <c r="C11" s="188"/>
      <c r="D11" s="10"/>
      <c r="E11" s="188"/>
      <c r="F11" s="10"/>
      <c r="G11" s="263"/>
      <c r="I11" s="90"/>
      <c r="J11" s="90"/>
      <c r="K11" s="90"/>
    </row>
    <row r="12" spans="1:12" ht="15.75" x14ac:dyDescent="0.25">
      <c r="A12" s="262">
        <v>1</v>
      </c>
      <c r="B12" s="477">
        <v>45566</v>
      </c>
      <c r="C12" s="44">
        <f>'WP 1.1 Recorded Sales'!C$39</f>
        <v>1584712962</v>
      </c>
      <c r="D12" s="44">
        <f>'WP 1.1 Recorded Sales'!C$38</f>
        <v>8461</v>
      </c>
      <c r="E12" s="45">
        <f t="shared" ref="E12:E23" si="0">C12-D12</f>
        <v>1584704501</v>
      </c>
      <c r="F12" s="240" t="s">
        <v>17</v>
      </c>
      <c r="G12" s="263">
        <v>1</v>
      </c>
      <c r="I12" s="140"/>
      <c r="J12" s="140"/>
      <c r="K12" s="140"/>
      <c r="L12" s="179"/>
    </row>
    <row r="13" spans="1:12" ht="15.75" x14ac:dyDescent="0.25">
      <c r="A13" s="262">
        <f t="shared" ref="A13:A26" si="1">A12+1</f>
        <v>2</v>
      </c>
      <c r="B13" s="477">
        <v>45597</v>
      </c>
      <c r="C13" s="44">
        <f>'WP 1.1 Recorded Sales'!D$39</f>
        <v>1222771732</v>
      </c>
      <c r="D13" s="44">
        <f>'WP 1.1 Recorded Sales'!D$38</f>
        <v>8668</v>
      </c>
      <c r="E13" s="45">
        <f t="shared" si="0"/>
        <v>1222763064</v>
      </c>
      <c r="F13" s="240" t="str">
        <f>$F$12</f>
        <v>Workpaper No. 1; Page 1.1; Lines 30; 29</v>
      </c>
      <c r="G13" s="263">
        <f t="shared" ref="G13:G26" si="2">G12+1</f>
        <v>2</v>
      </c>
      <c r="I13" s="140"/>
      <c r="J13" s="140"/>
      <c r="K13" s="140"/>
      <c r="L13" s="179"/>
    </row>
    <row r="14" spans="1:12" ht="15.75" x14ac:dyDescent="0.25">
      <c r="A14" s="262">
        <f t="shared" si="1"/>
        <v>3</v>
      </c>
      <c r="B14" s="477">
        <v>45627</v>
      </c>
      <c r="C14" s="44">
        <f>'WP 1.1 Recorded Sales'!E$39</f>
        <v>1408565360</v>
      </c>
      <c r="D14" s="44">
        <f>'WP 1.1 Recorded Sales'!E$38</f>
        <v>6689</v>
      </c>
      <c r="E14" s="45">
        <f t="shared" si="0"/>
        <v>1408558671</v>
      </c>
      <c r="F14" s="240" t="str">
        <f t="shared" ref="F14:F23" si="3">$F$12</f>
        <v>Workpaper No. 1; Page 1.1; Lines 30; 29</v>
      </c>
      <c r="G14" s="263">
        <f t="shared" si="2"/>
        <v>3</v>
      </c>
      <c r="I14" s="140"/>
      <c r="J14" s="140"/>
      <c r="K14" s="140"/>
      <c r="L14" s="179"/>
    </row>
    <row r="15" spans="1:12" ht="15.75" x14ac:dyDescent="0.25">
      <c r="A15" s="262">
        <f t="shared" si="1"/>
        <v>4</v>
      </c>
      <c r="B15" s="477">
        <v>45658</v>
      </c>
      <c r="C15" s="44">
        <f>'WP 1.1 Recorded Sales'!F$39</f>
        <v>1604744675</v>
      </c>
      <c r="D15" s="44">
        <f>'WP 1.1 Recorded Sales'!F$38</f>
        <v>7399</v>
      </c>
      <c r="E15" s="45">
        <f t="shared" si="0"/>
        <v>1604737276</v>
      </c>
      <c r="F15" s="240" t="str">
        <f t="shared" si="3"/>
        <v>Workpaper No. 1; Page 1.1; Lines 30; 29</v>
      </c>
      <c r="G15" s="263">
        <f t="shared" si="2"/>
        <v>4</v>
      </c>
      <c r="I15" s="140"/>
      <c r="J15" s="140"/>
      <c r="K15" s="140"/>
      <c r="L15" s="179"/>
    </row>
    <row r="16" spans="1:12" ht="15.75" x14ac:dyDescent="0.25">
      <c r="A16" s="262">
        <f t="shared" si="1"/>
        <v>5</v>
      </c>
      <c r="B16" s="477">
        <v>45689</v>
      </c>
      <c r="C16" s="44">
        <f>'WP 1.1 Recorded Sales'!G$39</f>
        <v>1227781043</v>
      </c>
      <c r="D16" s="44">
        <f>'WP 1.1 Recorded Sales'!G$38</f>
        <v>7298</v>
      </c>
      <c r="E16" s="45">
        <f t="shared" si="0"/>
        <v>1227773745</v>
      </c>
      <c r="F16" s="240" t="str">
        <f t="shared" si="3"/>
        <v>Workpaper No. 1; Page 1.1; Lines 30; 29</v>
      </c>
      <c r="G16" s="263">
        <f t="shared" si="2"/>
        <v>5</v>
      </c>
      <c r="I16" s="140"/>
      <c r="J16" s="140"/>
      <c r="K16" s="140"/>
      <c r="L16" s="179"/>
    </row>
    <row r="17" spans="1:12" ht="15.75" x14ac:dyDescent="0.25">
      <c r="A17" s="262">
        <f t="shared" si="1"/>
        <v>6</v>
      </c>
      <c r="B17" s="477">
        <v>45717</v>
      </c>
      <c r="C17" s="44">
        <f>'WP 1.1 Recorded Sales'!H$39</f>
        <v>1314777137</v>
      </c>
      <c r="D17" s="44">
        <f>'WP 1.1 Recorded Sales'!H$38</f>
        <v>6475</v>
      </c>
      <c r="E17" s="45">
        <f t="shared" si="0"/>
        <v>1314770662</v>
      </c>
      <c r="F17" s="240" t="str">
        <f t="shared" si="3"/>
        <v>Workpaper No. 1; Page 1.1; Lines 30; 29</v>
      </c>
      <c r="G17" s="263">
        <f t="shared" si="2"/>
        <v>6</v>
      </c>
      <c r="I17" s="140"/>
      <c r="J17" s="140"/>
      <c r="K17" s="140"/>
      <c r="L17" s="179"/>
    </row>
    <row r="18" spans="1:12" ht="15.75" x14ac:dyDescent="0.25">
      <c r="A18" s="262">
        <f t="shared" si="1"/>
        <v>7</v>
      </c>
      <c r="B18" s="477">
        <v>45748</v>
      </c>
      <c r="C18" s="44">
        <f>'WP 1.1 Recorded Sales'!I$39</f>
        <v>1204328612</v>
      </c>
      <c r="D18" s="44">
        <f>'WP 1.1 Recorded Sales'!I$38</f>
        <v>7887</v>
      </c>
      <c r="E18" s="45">
        <f t="shared" si="0"/>
        <v>1204320725</v>
      </c>
      <c r="F18" s="240" t="str">
        <f t="shared" si="3"/>
        <v>Workpaper No. 1; Page 1.1; Lines 30; 29</v>
      </c>
      <c r="G18" s="263">
        <f t="shared" si="2"/>
        <v>7</v>
      </c>
      <c r="I18" s="140"/>
      <c r="J18" s="140"/>
      <c r="K18" s="140"/>
      <c r="L18" s="179"/>
    </row>
    <row r="19" spans="1:12" ht="15.75" x14ac:dyDescent="0.25">
      <c r="A19" s="262">
        <f t="shared" si="1"/>
        <v>8</v>
      </c>
      <c r="B19" s="477">
        <v>45778</v>
      </c>
      <c r="C19" s="44">
        <f>'WP 1.1 Recorded Sales'!J$39</f>
        <v>1198109914</v>
      </c>
      <c r="D19" s="44">
        <f>'WP 1.1 Recorded Sales'!J$38</f>
        <v>7483</v>
      </c>
      <c r="E19" s="45">
        <f t="shared" si="0"/>
        <v>1198102431</v>
      </c>
      <c r="F19" s="240" t="str">
        <f t="shared" si="3"/>
        <v>Workpaper No. 1; Page 1.1; Lines 30; 29</v>
      </c>
      <c r="G19" s="263">
        <f t="shared" si="2"/>
        <v>8</v>
      </c>
      <c r="I19" s="140"/>
      <c r="J19" s="140"/>
      <c r="K19" s="140"/>
      <c r="L19" s="179"/>
    </row>
    <row r="20" spans="1:12" ht="15.75" x14ac:dyDescent="0.25">
      <c r="A20" s="262">
        <f t="shared" si="1"/>
        <v>9</v>
      </c>
      <c r="B20" s="477">
        <v>45809</v>
      </c>
      <c r="C20" s="44">
        <f>'WP 1.1 Recorded Sales'!K$39</f>
        <v>1310907855</v>
      </c>
      <c r="D20" s="44">
        <f>'WP 1.1 Recorded Sales'!K$38</f>
        <v>7945</v>
      </c>
      <c r="E20" s="45">
        <f t="shared" si="0"/>
        <v>1310899910</v>
      </c>
      <c r="F20" s="240" t="str">
        <f t="shared" si="3"/>
        <v>Workpaper No. 1; Page 1.1; Lines 30; 29</v>
      </c>
      <c r="G20" s="263">
        <f t="shared" si="2"/>
        <v>9</v>
      </c>
      <c r="I20" s="140"/>
      <c r="J20" s="140"/>
      <c r="K20" s="140"/>
      <c r="L20" s="179"/>
    </row>
    <row r="21" spans="1:12" ht="15.75" x14ac:dyDescent="0.25">
      <c r="A21" s="262">
        <f t="shared" si="1"/>
        <v>10</v>
      </c>
      <c r="B21" s="477">
        <v>45839</v>
      </c>
      <c r="C21" s="44">
        <f>'WP 1.1 Recorded Sales'!L$39</f>
        <v>1454671999</v>
      </c>
      <c r="D21" s="44">
        <f>'WP 1.1 Recorded Sales'!L$38</f>
        <v>7560</v>
      </c>
      <c r="E21" s="45">
        <f t="shared" si="0"/>
        <v>1454664439</v>
      </c>
      <c r="F21" s="240" t="str">
        <f t="shared" si="3"/>
        <v>Workpaper No. 1; Page 1.1; Lines 30; 29</v>
      </c>
      <c r="G21" s="263">
        <f t="shared" si="2"/>
        <v>10</v>
      </c>
      <c r="I21" s="140"/>
      <c r="J21" s="140"/>
      <c r="K21" s="140"/>
      <c r="L21" s="179"/>
    </row>
    <row r="22" spans="1:12" ht="15.75" x14ac:dyDescent="0.25">
      <c r="A22" s="262">
        <f t="shared" si="1"/>
        <v>11</v>
      </c>
      <c r="B22" s="477">
        <v>45870</v>
      </c>
      <c r="C22" s="44">
        <f>'WP 1.1 Recorded Sales'!M$39</f>
        <v>1469860763</v>
      </c>
      <c r="D22" s="44">
        <f>'WP 1.1 Recorded Sales'!M$38</f>
        <v>7779</v>
      </c>
      <c r="E22" s="45">
        <f t="shared" si="0"/>
        <v>1469852984</v>
      </c>
      <c r="F22" s="240" t="str">
        <f t="shared" si="3"/>
        <v>Workpaper No. 1; Page 1.1; Lines 30; 29</v>
      </c>
      <c r="G22" s="263">
        <f t="shared" si="2"/>
        <v>11</v>
      </c>
      <c r="I22" s="140"/>
      <c r="J22" s="140"/>
      <c r="K22" s="140"/>
      <c r="L22" s="179"/>
    </row>
    <row r="23" spans="1:12" ht="15.75" x14ac:dyDescent="0.25">
      <c r="A23" s="262">
        <f t="shared" si="1"/>
        <v>12</v>
      </c>
      <c r="B23" s="477">
        <v>45901</v>
      </c>
      <c r="C23" s="44">
        <f>'WP 1.1 Recorded Sales'!N$39</f>
        <v>1647514504</v>
      </c>
      <c r="D23" s="44">
        <f>'WP 1.1 Recorded Sales'!N$38</f>
        <v>0</v>
      </c>
      <c r="E23" s="45">
        <f t="shared" si="0"/>
        <v>1647514504</v>
      </c>
      <c r="F23" s="240" t="str">
        <f t="shared" si="3"/>
        <v>Workpaper No. 1; Page 1.1; Lines 30; 29</v>
      </c>
      <c r="G23" s="263">
        <f t="shared" si="2"/>
        <v>12</v>
      </c>
      <c r="I23" s="140"/>
      <c r="J23" s="140"/>
      <c r="K23" s="140"/>
      <c r="L23" s="179"/>
    </row>
    <row r="24" spans="1:12" ht="15.75" x14ac:dyDescent="0.25">
      <c r="A24" s="262">
        <f t="shared" si="1"/>
        <v>13</v>
      </c>
      <c r="B24" s="913"/>
      <c r="C24" s="38"/>
      <c r="D24" s="38"/>
      <c r="E24" s="46"/>
      <c r="F24" s="49"/>
      <c r="G24" s="263">
        <f t="shared" si="2"/>
        <v>13</v>
      </c>
      <c r="I24" s="140"/>
      <c r="J24" s="140"/>
      <c r="K24" s="140"/>
      <c r="L24" s="140"/>
    </row>
    <row r="25" spans="1:12" ht="15.75" x14ac:dyDescent="0.25">
      <c r="A25" s="262">
        <f t="shared" si="1"/>
        <v>14</v>
      </c>
      <c r="B25" s="22"/>
      <c r="C25" s="45"/>
      <c r="D25" s="45"/>
      <c r="E25" s="45"/>
      <c r="F25" s="49"/>
      <c r="G25" s="263">
        <f t="shared" si="2"/>
        <v>14</v>
      </c>
      <c r="I25" s="140"/>
      <c r="J25" s="140"/>
      <c r="K25" s="140"/>
      <c r="L25" s="140"/>
    </row>
    <row r="26" spans="1:12" ht="16.5" thickBot="1" x14ac:dyDescent="0.3">
      <c r="A26" s="262">
        <f t="shared" si="1"/>
        <v>15</v>
      </c>
      <c r="B26" s="43" t="s">
        <v>18</v>
      </c>
      <c r="C26" s="47">
        <f>SUM(C12:C23)</f>
        <v>16648746556</v>
      </c>
      <c r="D26" s="47">
        <f>SUM(D12:D23)</f>
        <v>83644</v>
      </c>
      <c r="E26" s="47">
        <f>SUM(E12:E23)</f>
        <v>16648662912</v>
      </c>
      <c r="F26" s="49" t="s">
        <v>19</v>
      </c>
      <c r="G26" s="263">
        <f t="shared" si="2"/>
        <v>15</v>
      </c>
      <c r="I26" s="140"/>
      <c r="J26" s="140"/>
      <c r="K26" s="140"/>
      <c r="L26" s="140"/>
    </row>
    <row r="27" spans="1:12" ht="17.25" thickTop="1" thickBot="1" x14ac:dyDescent="0.3">
      <c r="A27" s="300"/>
      <c r="B27" s="80"/>
      <c r="C27" s="549"/>
      <c r="D27" s="550"/>
      <c r="E27" s="153"/>
      <c r="F27" s="57"/>
      <c r="G27" s="301"/>
      <c r="I27" s="140"/>
      <c r="J27" s="140"/>
      <c r="K27" s="140"/>
      <c r="L27" s="140"/>
    </row>
    <row r="28" spans="1:12" ht="15.75" x14ac:dyDescent="0.25">
      <c r="A28" s="22"/>
      <c r="B28" s="22"/>
      <c r="C28" s="22"/>
      <c r="D28" s="22"/>
      <c r="E28" s="22"/>
      <c r="F28" s="22"/>
      <c r="G28" s="22"/>
    </row>
    <row r="29" spans="1:12" ht="18.75" x14ac:dyDescent="0.25">
      <c r="A29" s="413">
        <v>1</v>
      </c>
      <c r="B29" s="22" t="s">
        <v>20</v>
      </c>
      <c r="C29" s="22"/>
      <c r="D29" s="22"/>
      <c r="E29" s="48"/>
      <c r="F29" s="48"/>
      <c r="G29" s="22"/>
    </row>
    <row r="30" spans="1:12" ht="15.75" x14ac:dyDescent="0.25">
      <c r="A30" s="22"/>
      <c r="B30" s="22"/>
      <c r="C30" s="22"/>
      <c r="D30" s="22"/>
      <c r="E30" s="48"/>
      <c r="F30" s="48"/>
      <c r="G30" s="22"/>
    </row>
    <row r="31" spans="1:12" ht="15.75" x14ac:dyDescent="0.25">
      <c r="A31" s="22"/>
      <c r="B31" s="22"/>
      <c r="C31" s="22"/>
      <c r="D31" s="22"/>
      <c r="E31" s="48"/>
      <c r="F31" s="48"/>
      <c r="G31" s="22"/>
    </row>
    <row r="32" spans="1:12" ht="15.75" x14ac:dyDescent="0.25">
      <c r="A32" s="22"/>
      <c r="B32" s="22"/>
      <c r="C32" s="22"/>
      <c r="D32" s="22"/>
      <c r="E32" s="48"/>
      <c r="F32" s="48"/>
      <c r="G32" s="22"/>
    </row>
    <row r="33" spans="1:7" ht="15.75" x14ac:dyDescent="0.25">
      <c r="A33" s="22"/>
      <c r="B33" s="22"/>
      <c r="C33" s="22"/>
      <c r="D33" s="22"/>
      <c r="E33" s="22"/>
      <c r="F33" s="22"/>
      <c r="G33" s="22"/>
    </row>
    <row r="34" spans="1:7" ht="15.75" x14ac:dyDescent="0.25">
      <c r="A34" s="22"/>
      <c r="B34" s="22"/>
      <c r="C34" s="22"/>
      <c r="D34" s="22"/>
      <c r="E34" s="22"/>
      <c r="F34" s="22"/>
      <c r="G34" s="22"/>
    </row>
    <row r="35" spans="1:7" ht="15.75" x14ac:dyDescent="0.25">
      <c r="A35" s="22"/>
      <c r="B35" s="22"/>
      <c r="C35" s="22"/>
      <c r="D35" s="22"/>
      <c r="E35" s="22"/>
      <c r="F35" s="22"/>
      <c r="G35" s="22"/>
    </row>
    <row r="36" spans="1:7" ht="15.75" x14ac:dyDescent="0.25">
      <c r="A36" s="22"/>
      <c r="B36" s="22"/>
      <c r="C36" s="22"/>
      <c r="D36" s="22"/>
      <c r="E36" s="22"/>
      <c r="F36" s="22"/>
      <c r="G36" s="22"/>
    </row>
    <row r="37" spans="1:7" ht="15.75" x14ac:dyDescent="0.25">
      <c r="A37" s="22"/>
      <c r="B37" s="22"/>
      <c r="C37" s="22"/>
      <c r="D37" s="22"/>
      <c r="E37" s="22"/>
      <c r="F37" s="22"/>
      <c r="G37" s="22"/>
    </row>
    <row r="38" spans="1:7" ht="15.75" x14ac:dyDescent="0.25">
      <c r="A38" s="22"/>
      <c r="B38" s="22"/>
      <c r="C38" s="22"/>
      <c r="D38" s="22"/>
      <c r="E38" s="22"/>
      <c r="F38" s="22"/>
      <c r="G38" s="22"/>
    </row>
    <row r="39" spans="1:7" ht="15.75" x14ac:dyDescent="0.25">
      <c r="A39" s="22"/>
      <c r="B39" s="22"/>
      <c r="C39" s="22"/>
      <c r="D39" s="22"/>
      <c r="E39" s="22"/>
      <c r="F39" s="22"/>
      <c r="G39" s="22"/>
    </row>
    <row r="40" spans="1:7" ht="15.75" x14ac:dyDescent="0.25">
      <c r="A40" s="22"/>
      <c r="B40" s="22"/>
      <c r="C40" s="22"/>
      <c r="D40" s="22"/>
      <c r="E40" s="22"/>
      <c r="F40" s="22"/>
      <c r="G40" s="22"/>
    </row>
    <row r="41" spans="1:7" ht="15.75" x14ac:dyDescent="0.25">
      <c r="A41" s="22"/>
      <c r="B41" s="22"/>
      <c r="C41" s="22"/>
      <c r="D41" s="22"/>
      <c r="E41" s="22"/>
      <c r="F41" s="22"/>
      <c r="G41" s="22"/>
    </row>
    <row r="42" spans="1:7" ht="15.75" x14ac:dyDescent="0.25">
      <c r="A42" s="22"/>
      <c r="B42" s="22"/>
      <c r="C42" s="22"/>
      <c r="D42" s="22"/>
      <c r="E42" s="22"/>
      <c r="F42" s="22"/>
      <c r="G42" s="22"/>
    </row>
    <row r="43" spans="1:7" ht="15.75" x14ac:dyDescent="0.25">
      <c r="A43" s="22"/>
      <c r="B43" s="22"/>
      <c r="C43" s="22"/>
      <c r="D43" s="22"/>
      <c r="E43" s="22"/>
      <c r="F43" s="22"/>
      <c r="G43" s="22"/>
    </row>
    <row r="44" spans="1:7" ht="15.75" x14ac:dyDescent="0.25">
      <c r="A44" s="22"/>
      <c r="B44" s="22"/>
      <c r="C44" s="22"/>
      <c r="D44" s="22"/>
      <c r="E44" s="22"/>
      <c r="F44" s="22"/>
      <c r="G44" s="22"/>
    </row>
    <row r="45" spans="1:7" ht="15.75" x14ac:dyDescent="0.25">
      <c r="A45" s="22"/>
      <c r="B45" s="22"/>
      <c r="C45" s="22"/>
      <c r="D45" s="22"/>
      <c r="E45" s="22"/>
      <c r="F45" s="22"/>
      <c r="G45" s="22"/>
    </row>
    <row r="46" spans="1:7" ht="15.75" x14ac:dyDescent="0.25">
      <c r="A46" s="22"/>
      <c r="B46" s="22"/>
      <c r="C46" s="22"/>
      <c r="D46" s="22"/>
      <c r="E46" s="22"/>
      <c r="F46" s="22"/>
      <c r="G46" s="22"/>
    </row>
    <row r="47" spans="1:7" ht="15.75" x14ac:dyDescent="0.25">
      <c r="A47" s="22"/>
      <c r="B47" s="22"/>
      <c r="C47" s="22"/>
      <c r="D47" s="22"/>
      <c r="E47" s="22"/>
      <c r="F47" s="22"/>
      <c r="G47" s="22"/>
    </row>
    <row r="48" spans="1:7" ht="15.75" x14ac:dyDescent="0.25">
      <c r="A48" s="22"/>
      <c r="B48" s="22"/>
      <c r="C48" s="22"/>
      <c r="D48" s="22"/>
      <c r="E48" s="22"/>
      <c r="F48" s="22"/>
      <c r="G48" s="22"/>
    </row>
    <row r="49" spans="1:7" ht="15.75" x14ac:dyDescent="0.25">
      <c r="A49" s="22"/>
      <c r="B49" s="22"/>
      <c r="C49" s="22"/>
      <c r="D49" s="22"/>
      <c r="E49" s="22"/>
      <c r="F49" s="22"/>
      <c r="G49" s="22"/>
    </row>
    <row r="50" spans="1:7" ht="15.75" x14ac:dyDescent="0.25">
      <c r="A50" s="22"/>
      <c r="B50" s="22"/>
      <c r="C50" s="22"/>
      <c r="D50" s="22"/>
      <c r="E50" s="22"/>
      <c r="F50" s="22"/>
      <c r="G50" s="22"/>
    </row>
    <row r="51" spans="1:7" ht="15.75" x14ac:dyDescent="0.25">
      <c r="A51" s="22"/>
      <c r="B51" s="22"/>
      <c r="C51" s="22"/>
      <c r="D51" s="22"/>
      <c r="E51" s="22"/>
      <c r="F51" s="22"/>
      <c r="G51" s="22"/>
    </row>
    <row r="52" spans="1:7" ht="15.75" x14ac:dyDescent="0.25">
      <c r="A52" s="22"/>
      <c r="B52" s="22"/>
      <c r="C52" s="22"/>
      <c r="D52" s="22"/>
      <c r="E52" s="22"/>
      <c r="F52" s="22"/>
      <c r="G52" s="22"/>
    </row>
    <row r="53" spans="1:7" ht="15.75" x14ac:dyDescent="0.25">
      <c r="A53" s="22"/>
      <c r="B53" s="22"/>
      <c r="C53" s="22"/>
      <c r="D53" s="22"/>
      <c r="E53" s="22"/>
      <c r="F53" s="22"/>
      <c r="G53" s="22"/>
    </row>
    <row r="54" spans="1:7" ht="15.75" x14ac:dyDescent="0.25">
      <c r="A54" s="22"/>
      <c r="B54" s="22"/>
      <c r="C54" s="22"/>
      <c r="D54" s="22"/>
      <c r="E54" s="22"/>
      <c r="F54" s="22"/>
      <c r="G54" s="22"/>
    </row>
    <row r="55" spans="1:7" ht="15.75" x14ac:dyDescent="0.25">
      <c r="A55" s="22"/>
      <c r="B55" s="22"/>
      <c r="C55" s="22"/>
      <c r="D55" s="22"/>
      <c r="E55" s="22"/>
      <c r="F55" s="22"/>
      <c r="G55" s="22"/>
    </row>
    <row r="56" spans="1:7" ht="15.75" x14ac:dyDescent="0.25">
      <c r="A56" s="22"/>
      <c r="B56" s="22"/>
      <c r="C56" s="22"/>
      <c r="D56" s="22"/>
      <c r="E56" s="22"/>
      <c r="F56" s="22"/>
      <c r="G56" s="22"/>
    </row>
    <row r="57" spans="1:7" ht="15.75" x14ac:dyDescent="0.25">
      <c r="A57" s="22"/>
      <c r="B57" s="22"/>
      <c r="C57" s="22"/>
      <c r="D57" s="22"/>
      <c r="E57" s="22"/>
      <c r="F57" s="22"/>
      <c r="G57" s="22"/>
    </row>
    <row r="58" spans="1:7" ht="15.75" x14ac:dyDescent="0.25">
      <c r="A58" s="22"/>
      <c r="B58" s="22"/>
      <c r="C58" s="22"/>
      <c r="D58" s="22"/>
      <c r="E58" s="22"/>
      <c r="F58" s="22"/>
      <c r="G58" s="22"/>
    </row>
    <row r="59" spans="1:7" ht="15.75" x14ac:dyDescent="0.25">
      <c r="A59" s="22"/>
      <c r="B59" s="22"/>
      <c r="C59" s="22"/>
      <c r="D59" s="22"/>
      <c r="E59" s="22"/>
      <c r="F59" s="22"/>
      <c r="G59" s="22"/>
    </row>
    <row r="60" spans="1:7" ht="15.75" x14ac:dyDescent="0.25">
      <c r="A60" s="22"/>
      <c r="B60" s="22"/>
      <c r="C60" s="22"/>
      <c r="D60" s="22"/>
      <c r="E60" s="22"/>
      <c r="F60" s="22"/>
      <c r="G60" s="22"/>
    </row>
  </sheetData>
  <phoneticPr fontId="0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1 of 5&amp;R&amp;"Times New Roman,Regular"&amp;12&amp;A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R143"/>
  <sheetViews>
    <sheetView zoomScale="80" zoomScaleNormal="80" workbookViewId="0">
      <selection activeCell="I53" sqref="I53"/>
    </sheetView>
  </sheetViews>
  <sheetFormatPr defaultColWidth="9.28515625" defaultRowHeight="15.75" x14ac:dyDescent="0.25"/>
  <cols>
    <col min="1" max="1" width="6" style="22" bestFit="1" customWidth="1"/>
    <col min="2" max="2" width="42" style="22" bestFit="1" customWidth="1"/>
    <col min="3" max="8" width="18" style="22" bestFit="1" customWidth="1"/>
    <col min="9" max="9" width="19.42578125" style="22" bestFit="1" customWidth="1"/>
    <col min="10" max="10" width="6" style="22" bestFit="1" customWidth="1"/>
    <col min="11" max="14" width="17.28515625" style="22" bestFit="1" customWidth="1"/>
    <col min="15" max="15" width="18.42578125" style="22" bestFit="1" customWidth="1"/>
    <col min="16" max="16" width="8.5703125" style="22" bestFit="1" customWidth="1"/>
    <col min="17" max="16384" width="9.28515625" style="22"/>
  </cols>
  <sheetData>
    <row r="2" spans="1:16" ht="18" customHeight="1" x14ac:dyDescent="0.25">
      <c r="A2" s="977" t="s">
        <v>162</v>
      </c>
      <c r="B2" s="977"/>
      <c r="C2" s="977"/>
      <c r="D2" s="977"/>
      <c r="E2" s="977"/>
      <c r="F2" s="977"/>
      <c r="G2" s="977"/>
      <c r="H2" s="977"/>
      <c r="I2" s="977"/>
      <c r="J2" s="977"/>
      <c r="K2" s="515"/>
      <c r="L2" s="515"/>
      <c r="M2" s="515"/>
      <c r="N2" s="515"/>
      <c r="O2" s="515"/>
      <c r="P2" s="515"/>
    </row>
    <row r="3" spans="1:16" ht="18" customHeight="1" x14ac:dyDescent="0.25">
      <c r="A3" s="977" t="s">
        <v>25</v>
      </c>
      <c r="B3" s="977"/>
      <c r="C3" s="977"/>
      <c r="D3" s="977"/>
      <c r="E3" s="977"/>
      <c r="F3" s="977"/>
      <c r="G3" s="977"/>
      <c r="H3" s="977"/>
      <c r="I3" s="977"/>
      <c r="J3" s="977"/>
      <c r="K3" s="516"/>
      <c r="L3" s="516"/>
      <c r="M3" s="516"/>
      <c r="N3" s="516"/>
      <c r="O3" s="516"/>
      <c r="P3" s="516"/>
    </row>
    <row r="4" spans="1:16" ht="18" customHeight="1" x14ac:dyDescent="0.25">
      <c r="A4" s="977" t="s">
        <v>521</v>
      </c>
      <c r="B4" s="977"/>
      <c r="C4" s="977"/>
      <c r="D4" s="977"/>
      <c r="E4" s="977"/>
      <c r="F4" s="977"/>
      <c r="G4" s="977"/>
      <c r="H4" s="977"/>
      <c r="I4" s="977"/>
      <c r="J4" s="977"/>
      <c r="K4" s="516"/>
      <c r="L4" s="516"/>
      <c r="M4" s="516"/>
      <c r="N4" s="516"/>
      <c r="O4" s="516"/>
      <c r="P4" s="516"/>
    </row>
    <row r="5" spans="1:16" ht="18" customHeight="1" x14ac:dyDescent="0.25">
      <c r="A5" s="978" t="str">
        <f>'Stmt BG - Page 1'!A6</f>
        <v>Rate Effective Period - Twelve Months Ending December 31, 2026</v>
      </c>
      <c r="B5" s="978"/>
      <c r="C5" s="978"/>
      <c r="D5" s="978"/>
      <c r="E5" s="978"/>
      <c r="F5" s="978"/>
      <c r="G5" s="978"/>
      <c r="H5" s="978"/>
      <c r="I5" s="978"/>
      <c r="J5" s="978"/>
      <c r="K5" s="516"/>
      <c r="L5" s="516"/>
      <c r="M5" s="516"/>
      <c r="N5" s="516"/>
      <c r="O5" s="516"/>
      <c r="P5" s="516"/>
    </row>
    <row r="6" spans="1:16" ht="16.5" thickBot="1" x14ac:dyDescent="0.3">
      <c r="A6" s="517"/>
      <c r="B6" s="517"/>
      <c r="C6" s="517"/>
      <c r="D6" s="517"/>
      <c r="E6" s="517"/>
      <c r="F6" s="517"/>
      <c r="G6" s="517"/>
      <c r="H6" s="517"/>
      <c r="I6" s="517"/>
      <c r="J6" s="517"/>
      <c r="K6" s="41"/>
      <c r="L6" s="41"/>
      <c r="M6" s="41"/>
      <c r="N6" s="41"/>
      <c r="O6" s="41"/>
      <c r="P6" s="41"/>
    </row>
    <row r="7" spans="1:16" x14ac:dyDescent="0.25">
      <c r="A7" s="553" t="s">
        <v>8</v>
      </c>
      <c r="B7" s="542"/>
      <c r="C7" s="554" t="s">
        <v>3</v>
      </c>
      <c r="D7" s="554" t="s">
        <v>4</v>
      </c>
      <c r="E7" s="556" t="s">
        <v>113</v>
      </c>
      <c r="F7" s="554" t="s">
        <v>114</v>
      </c>
      <c r="G7" s="554" t="s">
        <v>115</v>
      </c>
      <c r="H7" s="556" t="s">
        <v>116</v>
      </c>
      <c r="I7" s="554" t="s">
        <v>117</v>
      </c>
      <c r="J7" s="555" t="s">
        <v>8</v>
      </c>
    </row>
    <row r="8" spans="1:16" ht="16.5" thickBot="1" x14ac:dyDescent="0.3">
      <c r="A8" s="565" t="s">
        <v>11</v>
      </c>
      <c r="B8" s="153" t="s">
        <v>88</v>
      </c>
      <c r="C8" s="687">
        <f>'Stmt BG - Page 2'!C8</f>
        <v>46023</v>
      </c>
      <c r="D8" s="687">
        <f>'Stmt BG - Page 2'!D8</f>
        <v>46054</v>
      </c>
      <c r="E8" s="687">
        <f>'Stmt BG - Page 2'!E8</f>
        <v>46082</v>
      </c>
      <c r="F8" s="687">
        <f>'Stmt BG - Page 2'!F8</f>
        <v>46113</v>
      </c>
      <c r="G8" s="687">
        <f>'Stmt BG - Page 2'!G8</f>
        <v>46143</v>
      </c>
      <c r="H8" s="687">
        <f>'Stmt BG - Page 2'!H8</f>
        <v>46174</v>
      </c>
      <c r="I8" s="471"/>
      <c r="J8" s="566" t="s">
        <v>11</v>
      </c>
    </row>
    <row r="9" spans="1:16" x14ac:dyDescent="0.25">
      <c r="A9" s="262"/>
      <c r="B9" s="10"/>
      <c r="C9" s="10"/>
      <c r="D9" s="10"/>
      <c r="E9" s="10"/>
      <c r="F9" s="10"/>
      <c r="G9" s="10"/>
      <c r="H9" s="10"/>
      <c r="I9" s="17"/>
      <c r="J9" s="263"/>
    </row>
    <row r="10" spans="1:16" ht="18.75" x14ac:dyDescent="0.25">
      <c r="A10" s="262">
        <v>1</v>
      </c>
      <c r="B10" s="17" t="s">
        <v>118</v>
      </c>
      <c r="C10" s="19">
        <f>'Stmt BH - Page 2'!C33</f>
        <v>-1386373.5485660115</v>
      </c>
      <c r="D10" s="19">
        <f>'Stmt BH - Page 2'!D33</f>
        <v>-1163616.8493951561</v>
      </c>
      <c r="E10" s="19">
        <f>'Stmt BH - Page 2'!E33</f>
        <v>-1018496.953467328</v>
      </c>
      <c r="F10" s="19">
        <f>'Stmt BH - Page 2'!F33</f>
        <v>-832258.50895103766</v>
      </c>
      <c r="G10" s="19">
        <f>'Stmt BH - Page 2'!G33</f>
        <v>-764692.43704689771</v>
      </c>
      <c r="H10" s="19">
        <f>'Stmt BH - Page 2'!H33</f>
        <v>-823002.72776802746</v>
      </c>
      <c r="I10" s="17"/>
      <c r="J10" s="263">
        <v>1</v>
      </c>
    </row>
    <row r="11" spans="1:16" x14ac:dyDescent="0.25">
      <c r="A11" s="262">
        <f>A10+1</f>
        <v>2</v>
      </c>
      <c r="B11" s="11"/>
      <c r="C11" s="392"/>
      <c r="D11" s="392"/>
      <c r="E11" s="392"/>
      <c r="F11" s="392"/>
      <c r="G11" s="392"/>
      <c r="H11" s="392"/>
      <c r="I11" s="17"/>
      <c r="J11" s="263">
        <f>J10+1</f>
        <v>2</v>
      </c>
    </row>
    <row r="12" spans="1:16" ht="18.75" x14ac:dyDescent="0.25">
      <c r="A12" s="262">
        <f t="shared" ref="A12:A22" si="0">A11+1</f>
        <v>3</v>
      </c>
      <c r="B12" s="17" t="s">
        <v>119</v>
      </c>
      <c r="C12" s="31">
        <f>'Stmt BH - Page 2'!C35</f>
        <v>-493456.66742882319</v>
      </c>
      <c r="D12" s="31">
        <f>'Stmt BH - Page 2'!D35</f>
        <v>-475001.18406277616</v>
      </c>
      <c r="E12" s="31">
        <f>'Stmt BH - Page 2'!E35</f>
        <v>-465263.08166563371</v>
      </c>
      <c r="F12" s="31">
        <f>'Stmt BH - Page 2'!F35</f>
        <v>-460865.23913765477</v>
      </c>
      <c r="G12" s="31">
        <f>'Stmt BH - Page 2'!G35</f>
        <v>-460272.00711846875</v>
      </c>
      <c r="H12" s="31">
        <f>'Stmt BH - Page 2'!H35</f>
        <v>-475643.74239071063</v>
      </c>
      <c r="I12" s="17"/>
      <c r="J12" s="263">
        <f t="shared" ref="J12:J22" si="1">J11+1</f>
        <v>3</v>
      </c>
    </row>
    <row r="13" spans="1:16" x14ac:dyDescent="0.25">
      <c r="A13" s="262">
        <f t="shared" si="0"/>
        <v>4</v>
      </c>
      <c r="B13" s="385"/>
      <c r="C13" s="393"/>
      <c r="D13" s="393"/>
      <c r="E13" s="393"/>
      <c r="F13" s="393"/>
      <c r="G13" s="393"/>
      <c r="H13" s="393"/>
      <c r="I13" s="17"/>
      <c r="J13" s="263">
        <f t="shared" si="1"/>
        <v>4</v>
      </c>
    </row>
    <row r="14" spans="1:16" ht="18.75" x14ac:dyDescent="0.25">
      <c r="A14" s="262">
        <f t="shared" si="0"/>
        <v>5</v>
      </c>
      <c r="B14" s="17" t="s">
        <v>120</v>
      </c>
      <c r="C14" s="31">
        <f>'Stmt BH - Page 2'!C37</f>
        <v>-1761054.4420572838</v>
      </c>
      <c r="D14" s="31">
        <f>'Stmt BH - Page 2'!D37</f>
        <v>-1668423.8088781682</v>
      </c>
      <c r="E14" s="31">
        <f>'Stmt BH - Page 2'!E37</f>
        <v>-1672967.1221651197</v>
      </c>
      <c r="F14" s="31">
        <f>'Stmt BH - Page 2'!F37</f>
        <v>-1682742.4041704717</v>
      </c>
      <c r="G14" s="31">
        <f>'Stmt BH - Page 2'!G37</f>
        <v>-1698929.5004117582</v>
      </c>
      <c r="H14" s="31">
        <f>'Stmt BH - Page 2'!H37</f>
        <v>-1772862.9890760826</v>
      </c>
      <c r="I14" s="17"/>
      <c r="J14" s="263">
        <f t="shared" si="1"/>
        <v>5</v>
      </c>
    </row>
    <row r="15" spans="1:16" x14ac:dyDescent="0.25">
      <c r="A15" s="262">
        <f t="shared" si="0"/>
        <v>6</v>
      </c>
      <c r="B15" s="17"/>
      <c r="C15" s="31"/>
      <c r="D15" s="31"/>
      <c r="E15" s="31"/>
      <c r="F15" s="31"/>
      <c r="G15" s="31"/>
      <c r="H15" s="31"/>
      <c r="I15" s="17"/>
      <c r="J15" s="263">
        <f t="shared" si="1"/>
        <v>6</v>
      </c>
    </row>
    <row r="16" spans="1:16" ht="18.75" x14ac:dyDescent="0.25">
      <c r="A16" s="262">
        <f t="shared" si="0"/>
        <v>7</v>
      </c>
      <c r="B16" s="56" t="s">
        <v>121</v>
      </c>
      <c r="C16" s="31">
        <f>'Stmt BH - Page 2'!C39</f>
        <v>-21488.700416011165</v>
      </c>
      <c r="D16" s="31">
        <f>'Stmt BH - Page 2'!D39</f>
        <v>-21065.584598624628</v>
      </c>
      <c r="E16" s="31">
        <f>'Stmt BH - Page 2'!E39</f>
        <v>-19897.57725036424</v>
      </c>
      <c r="F16" s="31">
        <f>'Stmt BH - Page 2'!F39</f>
        <v>-21982.982208106925</v>
      </c>
      <c r="G16" s="31">
        <f>'Stmt BH - Page 2'!G39</f>
        <v>-33061.265812988349</v>
      </c>
      <c r="H16" s="31">
        <f>'Stmt BH - Page 2'!H39</f>
        <v>-37428.900109520109</v>
      </c>
      <c r="I16" s="17"/>
      <c r="J16" s="263">
        <f t="shared" si="1"/>
        <v>7</v>
      </c>
    </row>
    <row r="17" spans="1:18" x14ac:dyDescent="0.25">
      <c r="A17" s="262">
        <f t="shared" si="0"/>
        <v>8</v>
      </c>
      <c r="B17" s="17"/>
      <c r="C17" s="31"/>
      <c r="D17" s="31"/>
      <c r="E17" s="31"/>
      <c r="F17" s="31"/>
      <c r="G17" s="31"/>
      <c r="H17" s="31"/>
      <c r="I17" s="17"/>
      <c r="J17" s="263">
        <f t="shared" si="1"/>
        <v>8</v>
      </c>
    </row>
    <row r="18" spans="1:18" ht="18.75" x14ac:dyDescent="0.25">
      <c r="A18" s="262">
        <f t="shared" si="0"/>
        <v>9</v>
      </c>
      <c r="B18" s="56" t="s">
        <v>122</v>
      </c>
      <c r="C18" s="31">
        <f>'Stmt BH - Page 2'!C41</f>
        <v>-39435.676495843494</v>
      </c>
      <c r="D18" s="31">
        <f>'Stmt BH - Page 2'!D41</f>
        <v>-39995.734704384537</v>
      </c>
      <c r="E18" s="31">
        <f>'Stmt BH - Page 2'!E41</f>
        <v>-37264.64314125802</v>
      </c>
      <c r="F18" s="31">
        <f>'Stmt BH - Page 2'!F41</f>
        <v>-38687.431242355146</v>
      </c>
      <c r="G18" s="31">
        <f>'Stmt BH - Page 2'!G41</f>
        <v>-46501.187803753375</v>
      </c>
      <c r="H18" s="31">
        <f>'Stmt BH - Page 2'!H41</f>
        <v>-48488.061565062024</v>
      </c>
      <c r="I18" s="17"/>
      <c r="J18" s="263">
        <f t="shared" si="1"/>
        <v>9</v>
      </c>
    </row>
    <row r="19" spans="1:18" x14ac:dyDescent="0.25">
      <c r="A19" s="262">
        <f t="shared" si="0"/>
        <v>10</v>
      </c>
      <c r="B19" s="17"/>
      <c r="C19" s="31"/>
      <c r="D19" s="31"/>
      <c r="E19" s="31"/>
      <c r="F19" s="31"/>
      <c r="G19" s="31"/>
      <c r="H19" s="31"/>
      <c r="I19" s="17"/>
      <c r="J19" s="263">
        <f t="shared" si="1"/>
        <v>10</v>
      </c>
    </row>
    <row r="20" spans="1:18" ht="18.75" x14ac:dyDescent="0.25">
      <c r="A20" s="262">
        <f t="shared" si="0"/>
        <v>11</v>
      </c>
      <c r="B20" s="17" t="s">
        <v>123</v>
      </c>
      <c r="C20" s="38">
        <f>'Stmt BH - Page 2'!C43</f>
        <v>-17272.601363038571</v>
      </c>
      <c r="D20" s="38">
        <f>'Stmt BH - Page 2'!D43</f>
        <v>-17060.916341714314</v>
      </c>
      <c r="E20" s="38">
        <f>'Stmt BH - Page 2'!E43</f>
        <v>-16712.391725829904</v>
      </c>
      <c r="F20" s="38">
        <f>'Stmt BH - Page 2'!F43</f>
        <v>-16406.263277408536</v>
      </c>
      <c r="G20" s="38">
        <f>'Stmt BH - Page 2'!G43</f>
        <v>-16384.215580357777</v>
      </c>
      <c r="H20" s="38">
        <f>'Stmt BH - Page 2'!H43</f>
        <v>-16467.031753956056</v>
      </c>
      <c r="I20" s="17"/>
      <c r="J20" s="263">
        <f t="shared" si="1"/>
        <v>11</v>
      </c>
    </row>
    <row r="21" spans="1:18" x14ac:dyDescent="0.25">
      <c r="A21" s="262">
        <f t="shared" si="0"/>
        <v>12</v>
      </c>
      <c r="B21" s="17"/>
      <c r="C21" s="31"/>
      <c r="D21" s="31"/>
      <c r="E21" s="31"/>
      <c r="F21" s="31"/>
      <c r="G21" s="31"/>
      <c r="H21" s="31"/>
      <c r="I21" s="7"/>
      <c r="J21" s="263">
        <f t="shared" si="1"/>
        <v>12</v>
      </c>
    </row>
    <row r="22" spans="1:18" x14ac:dyDescent="0.25">
      <c r="A22" s="262">
        <f t="shared" si="0"/>
        <v>13</v>
      </c>
      <c r="B22" s="11" t="s">
        <v>124</v>
      </c>
      <c r="C22" s="518">
        <f t="shared" ref="C22:H22" si="2">SUM(C10:C20)</f>
        <v>-3719081.636327012</v>
      </c>
      <c r="D22" s="518">
        <f t="shared" si="2"/>
        <v>-3385164.0779808238</v>
      </c>
      <c r="E22" s="518">
        <f t="shared" si="2"/>
        <v>-3230601.7694155336</v>
      </c>
      <c r="F22" s="518">
        <f t="shared" si="2"/>
        <v>-3052942.828987035</v>
      </c>
      <c r="G22" s="518">
        <f t="shared" si="2"/>
        <v>-3019840.6137742242</v>
      </c>
      <c r="H22" s="518">
        <f t="shared" si="2"/>
        <v>-3173893.4526633588</v>
      </c>
      <c r="I22" s="12"/>
      <c r="J22" s="263">
        <f t="shared" si="1"/>
        <v>13</v>
      </c>
    </row>
    <row r="23" spans="1:18" ht="16.5" thickBot="1" x14ac:dyDescent="0.3">
      <c r="A23" s="300"/>
      <c r="B23" s="557"/>
      <c r="C23" s="558"/>
      <c r="D23" s="686"/>
      <c r="E23" s="559"/>
      <c r="F23" s="686"/>
      <c r="G23" s="559"/>
      <c r="H23" s="686"/>
      <c r="I23" s="560"/>
      <c r="J23" s="406"/>
      <c r="R23" s="143"/>
    </row>
    <row r="24" spans="1:18" ht="16.5" thickBot="1" x14ac:dyDescent="0.3">
      <c r="A24" s="37"/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</row>
    <row r="25" spans="1:18" x14ac:dyDescent="0.25">
      <c r="A25" s="757" t="s">
        <v>8</v>
      </c>
      <c r="B25" s="455"/>
      <c r="C25" s="554" t="str">
        <f t="shared" ref="C25:I25" si="3">C7</f>
        <v>(A)</v>
      </c>
      <c r="D25" s="554" t="str">
        <f t="shared" si="3"/>
        <v>(B)</v>
      </c>
      <c r="E25" s="554" t="str">
        <f t="shared" si="3"/>
        <v>(C)</v>
      </c>
      <c r="F25" s="554" t="str">
        <f t="shared" si="3"/>
        <v>(D)</v>
      </c>
      <c r="G25" s="554" t="str">
        <f t="shared" si="3"/>
        <v>(E)</v>
      </c>
      <c r="H25" s="554" t="str">
        <f t="shared" si="3"/>
        <v>(F)</v>
      </c>
      <c r="I25" s="554" t="str">
        <f t="shared" si="3"/>
        <v>(G)</v>
      </c>
      <c r="J25" s="758" t="s">
        <v>8</v>
      </c>
      <c r="K25" s="395"/>
      <c r="L25" s="395"/>
      <c r="M25" s="395"/>
      <c r="N25" s="395"/>
      <c r="O25" s="395"/>
    </row>
    <row r="26" spans="1:18" ht="16.5" thickBot="1" x14ac:dyDescent="0.3">
      <c r="A26" s="759" t="s">
        <v>11</v>
      </c>
      <c r="B26" s="153" t="s">
        <v>88</v>
      </c>
      <c r="C26" s="687">
        <f>'Stmt BG - Page 2'!C26</f>
        <v>46204</v>
      </c>
      <c r="D26" s="687">
        <f>'Stmt BG - Page 2'!D26</f>
        <v>46235</v>
      </c>
      <c r="E26" s="687">
        <f>'Stmt BG - Page 2'!E26</f>
        <v>46266</v>
      </c>
      <c r="F26" s="687">
        <f>'Stmt BG - Page 2'!F26</f>
        <v>46296</v>
      </c>
      <c r="G26" s="687">
        <f>'Stmt BG - Page 2'!G26</f>
        <v>46327</v>
      </c>
      <c r="H26" s="687">
        <f>'Stmt BG - Page 2'!H26</f>
        <v>46357</v>
      </c>
      <c r="I26" s="579"/>
      <c r="J26" s="568" t="s">
        <v>11</v>
      </c>
      <c r="K26" s="395"/>
      <c r="L26" s="395"/>
      <c r="M26" s="395"/>
      <c r="N26" s="395"/>
      <c r="O26" s="395"/>
    </row>
    <row r="27" spans="1:18" x14ac:dyDescent="0.25">
      <c r="A27" s="262"/>
      <c r="B27" s="10"/>
      <c r="C27" s="10"/>
      <c r="D27" s="10"/>
      <c r="E27" s="10"/>
      <c r="F27" s="10"/>
      <c r="G27" s="10"/>
      <c r="H27" s="10"/>
      <c r="I27" s="10"/>
      <c r="J27" s="263"/>
      <c r="K27" s="395"/>
      <c r="L27" s="395"/>
      <c r="M27" s="395"/>
      <c r="N27" s="395"/>
      <c r="O27" s="395"/>
    </row>
    <row r="28" spans="1:18" ht="18.75" x14ac:dyDescent="0.25">
      <c r="A28" s="262">
        <f>A22+1</f>
        <v>14</v>
      </c>
      <c r="B28" s="17" t="s">
        <v>118</v>
      </c>
      <c r="C28" s="19">
        <f>'Stmt BH - Page 3'!C33</f>
        <v>-1076178.8482965271</v>
      </c>
      <c r="D28" s="19">
        <f>'Stmt BH - Page 3'!D33</f>
        <v>-1439101.8006072054</v>
      </c>
      <c r="E28" s="19">
        <f>'Stmt BH - Page 3'!E33</f>
        <v>-1624791.393950796</v>
      </c>
      <c r="F28" s="19">
        <f>'Stmt BH - Page 3'!F33</f>
        <v>-1191595.6307348139</v>
      </c>
      <c r="G28" s="19">
        <f>'Stmt BH - Page 3'!G33</f>
        <v>-1024925.9127431624</v>
      </c>
      <c r="H28" s="19">
        <f>'Stmt BH - Page 3'!H33</f>
        <v>-1201615.0432145719</v>
      </c>
      <c r="I28" s="19">
        <f>SUM(C10:H10,C28:H28)</f>
        <v>-13546649.654741535</v>
      </c>
      <c r="J28" s="263">
        <f>J22+1</f>
        <v>14</v>
      </c>
      <c r="K28" s="395"/>
      <c r="L28" s="395"/>
      <c r="M28" s="395"/>
      <c r="N28" s="395"/>
      <c r="O28" s="395"/>
    </row>
    <row r="29" spans="1:18" x14ac:dyDescent="0.25">
      <c r="A29" s="262">
        <f>A28+1</f>
        <v>15</v>
      </c>
      <c r="B29" s="11"/>
      <c r="C29" s="392"/>
      <c r="D29" s="392"/>
      <c r="E29" s="392"/>
      <c r="F29" s="392"/>
      <c r="G29" s="392"/>
      <c r="H29" s="392"/>
      <c r="I29" s="392"/>
      <c r="J29" s="263">
        <f>J28+1</f>
        <v>15</v>
      </c>
      <c r="K29" s="395"/>
      <c r="L29" s="395"/>
      <c r="M29" s="395"/>
      <c r="N29" s="395"/>
      <c r="O29" s="395"/>
    </row>
    <row r="30" spans="1:18" ht="18.75" x14ac:dyDescent="0.25">
      <c r="A30" s="262">
        <f t="shared" ref="A30:A40" si="4">A29+1</f>
        <v>16</v>
      </c>
      <c r="B30" s="17" t="s">
        <v>119</v>
      </c>
      <c r="C30" s="31">
        <f>'Stmt BH - Page 3'!C35</f>
        <v>-532442.74480468652</v>
      </c>
      <c r="D30" s="31">
        <f>'Stmt BH - Page 3'!D35</f>
        <v>-561647.50452641479</v>
      </c>
      <c r="E30" s="31">
        <f>'Stmt BH - Page 3'!E35</f>
        <v>-586329.01600992144</v>
      </c>
      <c r="F30" s="31">
        <f>'Stmt BH - Page 3'!F35</f>
        <v>-517804.01313793467</v>
      </c>
      <c r="G30" s="31">
        <f>'Stmt BH - Page 3'!G35</f>
        <v>-478523.12458920357</v>
      </c>
      <c r="H30" s="31">
        <f>'Stmt BH - Page 3'!H35</f>
        <v>-475897.79489109112</v>
      </c>
      <c r="I30" s="19">
        <f>SUM(C12:H12,C30:H30)</f>
        <v>-5983146.1197633194</v>
      </c>
      <c r="J30" s="263">
        <f t="shared" ref="J30:J40" si="5">J29+1</f>
        <v>16</v>
      </c>
      <c r="K30" s="395"/>
      <c r="L30" s="395"/>
      <c r="M30" s="395"/>
      <c r="N30" s="395"/>
      <c r="O30" s="395"/>
    </row>
    <row r="31" spans="1:18" x14ac:dyDescent="0.25">
      <c r="A31" s="262">
        <f t="shared" si="4"/>
        <v>17</v>
      </c>
      <c r="B31" s="385"/>
      <c r="C31" s="393"/>
      <c r="D31" s="393"/>
      <c r="E31" s="393"/>
      <c r="F31" s="393"/>
      <c r="G31" s="393"/>
      <c r="H31" s="393"/>
      <c r="I31" s="31"/>
      <c r="J31" s="263">
        <f t="shared" si="5"/>
        <v>17</v>
      </c>
      <c r="K31" s="395"/>
      <c r="L31" s="395"/>
      <c r="M31" s="395"/>
      <c r="N31" s="395"/>
      <c r="O31" s="395"/>
    </row>
    <row r="32" spans="1:18" ht="18.75" x14ac:dyDescent="0.25">
      <c r="A32" s="262">
        <f t="shared" si="4"/>
        <v>18</v>
      </c>
      <c r="B32" s="17" t="s">
        <v>120</v>
      </c>
      <c r="C32" s="31">
        <f>'Stmt BH - Page 3'!C37</f>
        <v>-1975899.6592778901</v>
      </c>
      <c r="D32" s="31">
        <f>'Stmt BH - Page 3'!D37</f>
        <v>-2043222.8699804619</v>
      </c>
      <c r="E32" s="31">
        <f>'Stmt BH - Page 3'!E37</f>
        <v>-2124191.3392531066</v>
      </c>
      <c r="F32" s="31">
        <f>'Stmt BH - Page 3'!F37</f>
        <v>-1951514.6074709378</v>
      </c>
      <c r="G32" s="31">
        <f>'Stmt BH - Page 3'!G37</f>
        <v>-1783852.9707955327</v>
      </c>
      <c r="H32" s="31">
        <f>'Stmt BH - Page 3'!H37</f>
        <v>-1871089.06099031</v>
      </c>
      <c r="I32" s="19">
        <f>SUM(C14:H14,C32:H32)</f>
        <v>-22006750.774527125</v>
      </c>
      <c r="J32" s="263">
        <f t="shared" si="5"/>
        <v>18</v>
      </c>
      <c r="K32" s="395"/>
      <c r="L32" s="395"/>
      <c r="M32" s="395"/>
      <c r="N32" s="395"/>
      <c r="O32" s="395"/>
    </row>
    <row r="33" spans="1:15" x14ac:dyDescent="0.25">
      <c r="A33" s="262">
        <f t="shared" si="4"/>
        <v>19</v>
      </c>
      <c r="B33" s="17"/>
      <c r="C33" s="31"/>
      <c r="D33" s="31"/>
      <c r="E33" s="31"/>
      <c r="F33" s="31"/>
      <c r="G33" s="31"/>
      <c r="H33" s="31"/>
      <c r="I33" s="31"/>
      <c r="J33" s="263">
        <f t="shared" si="5"/>
        <v>19</v>
      </c>
      <c r="K33" s="395"/>
      <c r="L33" s="395"/>
      <c r="M33" s="395"/>
      <c r="N33" s="395"/>
      <c r="O33" s="395"/>
    </row>
    <row r="34" spans="1:15" ht="18.75" x14ac:dyDescent="0.25">
      <c r="A34" s="262">
        <f t="shared" si="4"/>
        <v>20</v>
      </c>
      <c r="B34" s="56" t="s">
        <v>121</v>
      </c>
      <c r="C34" s="31">
        <f>'Stmt BH - Page 3'!C39</f>
        <v>-43301.820443530938</v>
      </c>
      <c r="D34" s="31">
        <f>'Stmt BH - Page 3'!D39</f>
        <v>-47409.779854580462</v>
      </c>
      <c r="E34" s="31">
        <f>'Stmt BH - Page 3'!E39</f>
        <v>-46414.760324263087</v>
      </c>
      <c r="F34" s="31">
        <f>'Stmt BH - Page 3'!F39</f>
        <v>-42835.254002063084</v>
      </c>
      <c r="G34" s="31">
        <f>'Stmt BH - Page 3'!G39</f>
        <v>-35331.734916302194</v>
      </c>
      <c r="H34" s="31">
        <f>'Stmt BH - Page 3'!H39</f>
        <v>-32548.691532363438</v>
      </c>
      <c r="I34" s="19">
        <f>SUM(C16:H16,C34:H34)</f>
        <v>-402767.05146871862</v>
      </c>
      <c r="J34" s="263">
        <f t="shared" si="5"/>
        <v>20</v>
      </c>
      <c r="K34" s="395"/>
      <c r="L34" s="395"/>
      <c r="M34" s="395"/>
      <c r="N34" s="395"/>
      <c r="O34" s="395"/>
    </row>
    <row r="35" spans="1:15" x14ac:dyDescent="0.25">
      <c r="A35" s="262">
        <f t="shared" si="4"/>
        <v>21</v>
      </c>
      <c r="B35" s="17"/>
      <c r="C35" s="31"/>
      <c r="D35" s="31"/>
      <c r="E35" s="31"/>
      <c r="F35" s="31"/>
      <c r="G35" s="31"/>
      <c r="H35" s="31"/>
      <c r="I35" s="31"/>
      <c r="J35" s="263">
        <f t="shared" si="5"/>
        <v>21</v>
      </c>
      <c r="K35" s="395"/>
      <c r="L35" s="395"/>
      <c r="M35" s="395"/>
      <c r="N35" s="395"/>
      <c r="O35" s="395"/>
    </row>
    <row r="36" spans="1:15" ht="18.75" x14ac:dyDescent="0.25">
      <c r="A36" s="262">
        <f t="shared" si="4"/>
        <v>22</v>
      </c>
      <c r="B36" s="56" t="s">
        <v>122</v>
      </c>
      <c r="C36" s="31">
        <f>'Stmt BH - Page 3'!C41</f>
        <v>-53470.039367726502</v>
      </c>
      <c r="D36" s="31">
        <f>'Stmt BH - Page 3'!D41</f>
        <v>-53772.172287194648</v>
      </c>
      <c r="E36" s="31">
        <f>'Stmt BH - Page 3'!E41</f>
        <v>-53551.686219252973</v>
      </c>
      <c r="F36" s="31">
        <f>'Stmt BH - Page 3'!F41</f>
        <v>-51741.119446483455</v>
      </c>
      <c r="G36" s="31">
        <f>'Stmt BH - Page 3'!G41</f>
        <v>-48400.795652928748</v>
      </c>
      <c r="H36" s="31">
        <f>'Stmt BH - Page 3'!H41</f>
        <v>-44547.652912960613</v>
      </c>
      <c r="I36" s="19">
        <f>SUM(C18:H18,C36:H36)</f>
        <v>-555856.20083920355</v>
      </c>
      <c r="J36" s="263">
        <f t="shared" si="5"/>
        <v>22</v>
      </c>
      <c r="K36" s="395"/>
      <c r="L36" s="395"/>
      <c r="M36" s="395"/>
      <c r="N36" s="395"/>
      <c r="O36" s="395"/>
    </row>
    <row r="37" spans="1:15" x14ac:dyDescent="0.25">
      <c r="A37" s="262">
        <f t="shared" si="4"/>
        <v>23</v>
      </c>
      <c r="B37" s="17"/>
      <c r="C37" s="31"/>
      <c r="D37" s="31"/>
      <c r="E37" s="31"/>
      <c r="F37" s="31"/>
      <c r="G37" s="31"/>
      <c r="H37" s="31"/>
      <c r="I37" s="31"/>
      <c r="J37" s="263">
        <f t="shared" si="5"/>
        <v>23</v>
      </c>
      <c r="K37" s="395"/>
      <c r="L37" s="395"/>
      <c r="M37" s="395"/>
      <c r="N37" s="395"/>
      <c r="O37" s="395"/>
    </row>
    <row r="38" spans="1:15" ht="18.75" x14ac:dyDescent="0.25">
      <c r="A38" s="262">
        <f t="shared" si="4"/>
        <v>24</v>
      </c>
      <c r="B38" s="17" t="s">
        <v>123</v>
      </c>
      <c r="C38" s="38">
        <f>'Stmt BH - Page 3'!C43</f>
        <v>-16362.869668298212</v>
      </c>
      <c r="D38" s="38">
        <f>'Stmt BH - Page 3'!D43</f>
        <v>-16755.010916698193</v>
      </c>
      <c r="E38" s="38">
        <f>'Stmt BH - Page 3'!E43</f>
        <v>-16546.299192605678</v>
      </c>
      <c r="F38" s="38">
        <f>'Stmt BH - Page 3'!F43</f>
        <v>-16617.489083092256</v>
      </c>
      <c r="G38" s="38">
        <f>'Stmt BH - Page 3'!G43</f>
        <v>-17443.844718048011</v>
      </c>
      <c r="H38" s="38">
        <f>'Stmt BH - Page 3'!H43</f>
        <v>-17490.328122600655</v>
      </c>
      <c r="I38" s="14">
        <f>SUM(C20:H20,C38:H38)</f>
        <v>-201519.26174364815</v>
      </c>
      <c r="J38" s="263">
        <f t="shared" si="5"/>
        <v>24</v>
      </c>
      <c r="K38" s="395"/>
      <c r="L38" s="395"/>
      <c r="M38" s="395"/>
      <c r="N38" s="395"/>
      <c r="O38" s="395"/>
    </row>
    <row r="39" spans="1:15" x14ac:dyDescent="0.25">
      <c r="A39" s="262">
        <f t="shared" si="4"/>
        <v>25</v>
      </c>
      <c r="B39" s="17"/>
      <c r="C39" s="31"/>
      <c r="D39" s="31"/>
      <c r="E39" s="31"/>
      <c r="F39" s="31"/>
      <c r="G39" s="31"/>
      <c r="H39" s="31"/>
      <c r="I39" s="31"/>
      <c r="J39" s="263">
        <f t="shared" si="5"/>
        <v>25</v>
      </c>
      <c r="K39" s="395"/>
      <c r="L39" s="395"/>
      <c r="M39" s="395"/>
      <c r="N39" s="395"/>
      <c r="O39" s="395"/>
    </row>
    <row r="40" spans="1:15" x14ac:dyDescent="0.25">
      <c r="A40" s="262">
        <f t="shared" si="4"/>
        <v>26</v>
      </c>
      <c r="B40" s="11" t="s">
        <v>124</v>
      </c>
      <c r="C40" s="518">
        <f t="shared" ref="C40:I40" si="6">SUM(C28:C38)</f>
        <v>-3697655.9818586595</v>
      </c>
      <c r="D40" s="518">
        <f t="shared" si="6"/>
        <v>-4161909.1381725552</v>
      </c>
      <c r="E40" s="518">
        <f t="shared" si="6"/>
        <v>-4451824.4949499452</v>
      </c>
      <c r="F40" s="518">
        <f t="shared" si="6"/>
        <v>-3772108.1138753248</v>
      </c>
      <c r="G40" s="518">
        <f t="shared" si="6"/>
        <v>-3388478.3834151779</v>
      </c>
      <c r="H40" s="518">
        <f t="shared" si="6"/>
        <v>-3643188.5716638975</v>
      </c>
      <c r="I40" s="518">
        <f t="shared" si="6"/>
        <v>-42696689.063083552</v>
      </c>
      <c r="J40" s="263">
        <f t="shared" si="5"/>
        <v>26</v>
      </c>
      <c r="K40" s="395"/>
      <c r="L40" s="395"/>
      <c r="M40" s="395"/>
      <c r="N40" s="395"/>
      <c r="O40" s="395"/>
    </row>
    <row r="41" spans="1:15" ht="16.5" thickBot="1" x14ac:dyDescent="0.3">
      <c r="A41" s="300"/>
      <c r="B41" s="557"/>
      <c r="C41" s="559"/>
      <c r="D41" s="559"/>
      <c r="E41" s="559"/>
      <c r="F41" s="559"/>
      <c r="G41" s="559"/>
      <c r="H41" s="559"/>
      <c r="I41" s="260"/>
      <c r="J41" s="406"/>
      <c r="K41" s="395"/>
      <c r="L41" s="395"/>
      <c r="M41" s="395"/>
      <c r="N41" s="395"/>
      <c r="O41" s="395"/>
    </row>
    <row r="42" spans="1:15" x14ac:dyDescent="0.25">
      <c r="A42" s="50"/>
      <c r="B42" s="395"/>
      <c r="C42" s="395"/>
      <c r="D42" s="395"/>
      <c r="E42" s="395"/>
      <c r="F42" s="395"/>
      <c r="G42" s="395"/>
      <c r="H42" s="395"/>
      <c r="I42" s="395"/>
      <c r="J42" s="395"/>
      <c r="K42" s="395"/>
      <c r="L42" s="395"/>
      <c r="M42" s="395"/>
      <c r="N42" s="395"/>
      <c r="O42" s="396"/>
    </row>
    <row r="43" spans="1:15" ht="18.75" x14ac:dyDescent="0.25">
      <c r="A43" s="83" t="s">
        <v>125</v>
      </c>
      <c r="B43" s="22" t="s">
        <v>163</v>
      </c>
      <c r="C43" s="242"/>
      <c r="D43" s="242"/>
      <c r="F43" s="519">
        <v>4</v>
      </c>
      <c r="G43" s="22" t="s">
        <v>164</v>
      </c>
    </row>
    <row r="44" spans="1:15" ht="18.75" x14ac:dyDescent="0.25">
      <c r="A44" s="83">
        <v>2</v>
      </c>
      <c r="B44" s="22" t="s">
        <v>165</v>
      </c>
      <c r="C44" s="825"/>
      <c r="D44" s="825"/>
      <c r="F44" s="519">
        <v>5</v>
      </c>
      <c r="G44" s="22" t="s">
        <v>166</v>
      </c>
    </row>
    <row r="45" spans="1:15" ht="18.75" x14ac:dyDescent="0.25">
      <c r="A45" s="83">
        <v>3</v>
      </c>
      <c r="B45" s="22" t="s">
        <v>167</v>
      </c>
      <c r="C45" s="242"/>
      <c r="D45" s="242"/>
      <c r="F45" s="519">
        <v>6</v>
      </c>
      <c r="G45" s="22" t="s">
        <v>168</v>
      </c>
    </row>
    <row r="46" spans="1:15" x14ac:dyDescent="0.25">
      <c r="C46" s="242"/>
      <c r="D46" s="242"/>
    </row>
    <row r="47" spans="1:15" x14ac:dyDescent="0.25">
      <c r="C47" s="242"/>
      <c r="D47" s="242"/>
    </row>
    <row r="48" spans="1:15" x14ac:dyDescent="0.25">
      <c r="C48" s="242"/>
      <c r="D48" s="242"/>
    </row>
    <row r="49" spans="1:1" x14ac:dyDescent="0.25">
      <c r="A49" s="37"/>
    </row>
    <row r="50" spans="1:1" x14ac:dyDescent="0.25">
      <c r="A50" s="37"/>
    </row>
    <row r="51" spans="1:1" x14ac:dyDescent="0.25">
      <c r="A51" s="37"/>
    </row>
    <row r="52" spans="1:1" x14ac:dyDescent="0.25">
      <c r="A52" s="37"/>
    </row>
    <row r="53" spans="1:1" x14ac:dyDescent="0.25">
      <c r="A53" s="37"/>
    </row>
    <row r="54" spans="1:1" x14ac:dyDescent="0.25">
      <c r="A54" s="37"/>
    </row>
    <row r="55" spans="1:1" x14ac:dyDescent="0.25">
      <c r="A55" s="37"/>
    </row>
    <row r="56" spans="1:1" x14ac:dyDescent="0.25">
      <c r="A56" s="37"/>
    </row>
    <row r="57" spans="1:1" x14ac:dyDescent="0.25">
      <c r="A57" s="37"/>
    </row>
    <row r="58" spans="1:1" x14ac:dyDescent="0.25">
      <c r="A58" s="37"/>
    </row>
    <row r="59" spans="1:1" x14ac:dyDescent="0.25">
      <c r="A59" s="37"/>
    </row>
    <row r="60" spans="1:1" x14ac:dyDescent="0.25">
      <c r="A60" s="37"/>
    </row>
    <row r="61" spans="1:1" x14ac:dyDescent="0.25">
      <c r="A61" s="37"/>
    </row>
    <row r="62" spans="1:1" x14ac:dyDescent="0.25">
      <c r="A62" s="37"/>
    </row>
    <row r="63" spans="1:1" x14ac:dyDescent="0.25">
      <c r="A63" s="37"/>
    </row>
    <row r="64" spans="1:1" x14ac:dyDescent="0.25">
      <c r="A64" s="37"/>
    </row>
    <row r="65" spans="1:1" x14ac:dyDescent="0.25">
      <c r="A65" s="37"/>
    </row>
    <row r="66" spans="1:1" x14ac:dyDescent="0.25">
      <c r="A66" s="37"/>
    </row>
    <row r="67" spans="1:1" x14ac:dyDescent="0.25">
      <c r="A67" s="37"/>
    </row>
    <row r="68" spans="1:1" x14ac:dyDescent="0.25">
      <c r="A68" s="37"/>
    </row>
    <row r="69" spans="1:1" x14ac:dyDescent="0.25">
      <c r="A69" s="37"/>
    </row>
    <row r="70" spans="1:1" x14ac:dyDescent="0.25">
      <c r="A70" s="37"/>
    </row>
    <row r="71" spans="1:1" x14ac:dyDescent="0.25">
      <c r="A71" s="37"/>
    </row>
    <row r="72" spans="1:1" x14ac:dyDescent="0.25">
      <c r="A72" s="37"/>
    </row>
    <row r="73" spans="1:1" x14ac:dyDescent="0.25">
      <c r="A73" s="37"/>
    </row>
    <row r="74" spans="1:1" x14ac:dyDescent="0.25">
      <c r="A74" s="37"/>
    </row>
    <row r="75" spans="1:1" x14ac:dyDescent="0.25">
      <c r="A75" s="37"/>
    </row>
    <row r="76" spans="1:1" x14ac:dyDescent="0.25">
      <c r="A76" s="37"/>
    </row>
    <row r="77" spans="1:1" x14ac:dyDescent="0.25">
      <c r="A77" s="37"/>
    </row>
    <row r="78" spans="1:1" x14ac:dyDescent="0.25">
      <c r="A78" s="37"/>
    </row>
    <row r="79" spans="1:1" x14ac:dyDescent="0.25">
      <c r="A79" s="37"/>
    </row>
    <row r="80" spans="1:1" x14ac:dyDescent="0.25">
      <c r="A80" s="37"/>
    </row>
    <row r="81" spans="1:1" x14ac:dyDescent="0.25">
      <c r="A81" s="37"/>
    </row>
    <row r="82" spans="1:1" x14ac:dyDescent="0.25">
      <c r="A82" s="37"/>
    </row>
    <row r="83" spans="1:1" x14ac:dyDescent="0.25">
      <c r="A83" s="37"/>
    </row>
    <row r="84" spans="1:1" x14ac:dyDescent="0.25">
      <c r="A84" s="37"/>
    </row>
    <row r="85" spans="1:1" x14ac:dyDescent="0.25">
      <c r="A85" s="37"/>
    </row>
    <row r="86" spans="1:1" x14ac:dyDescent="0.25">
      <c r="A86" s="37"/>
    </row>
    <row r="87" spans="1:1" x14ac:dyDescent="0.25">
      <c r="A87" s="37"/>
    </row>
    <row r="88" spans="1:1" x14ac:dyDescent="0.25">
      <c r="A88" s="37"/>
    </row>
    <row r="89" spans="1:1" x14ac:dyDescent="0.25">
      <c r="A89" s="37"/>
    </row>
    <row r="90" spans="1:1" x14ac:dyDescent="0.25">
      <c r="A90" s="37"/>
    </row>
    <row r="91" spans="1:1" x14ac:dyDescent="0.25">
      <c r="A91" s="37"/>
    </row>
    <row r="92" spans="1:1" x14ac:dyDescent="0.25">
      <c r="A92" s="37"/>
    </row>
    <row r="93" spans="1:1" x14ac:dyDescent="0.25">
      <c r="A93" s="37"/>
    </row>
    <row r="94" spans="1:1" x14ac:dyDescent="0.25">
      <c r="A94" s="37"/>
    </row>
    <row r="95" spans="1:1" x14ac:dyDescent="0.25">
      <c r="A95" s="37"/>
    </row>
    <row r="96" spans="1:1" x14ac:dyDescent="0.25">
      <c r="A96" s="37"/>
    </row>
    <row r="97" spans="1:1" x14ac:dyDescent="0.25">
      <c r="A97" s="37"/>
    </row>
    <row r="98" spans="1:1" x14ac:dyDescent="0.25">
      <c r="A98" s="37"/>
    </row>
    <row r="99" spans="1:1" x14ac:dyDescent="0.25">
      <c r="A99" s="37"/>
    </row>
    <row r="100" spans="1:1" x14ac:dyDescent="0.25">
      <c r="A100" s="37"/>
    </row>
    <row r="101" spans="1:1" x14ac:dyDescent="0.25">
      <c r="A101" s="37"/>
    </row>
    <row r="102" spans="1:1" x14ac:dyDescent="0.25">
      <c r="A102" s="37"/>
    </row>
    <row r="103" spans="1:1" x14ac:dyDescent="0.25">
      <c r="A103" s="37"/>
    </row>
    <row r="104" spans="1:1" x14ac:dyDescent="0.25">
      <c r="A104" s="37"/>
    </row>
    <row r="105" spans="1:1" x14ac:dyDescent="0.25">
      <c r="A105" s="37"/>
    </row>
    <row r="106" spans="1:1" x14ac:dyDescent="0.25">
      <c r="A106" s="37"/>
    </row>
    <row r="107" spans="1:1" x14ac:dyDescent="0.25">
      <c r="A107" s="37"/>
    </row>
    <row r="108" spans="1:1" x14ac:dyDescent="0.25">
      <c r="A108" s="37"/>
    </row>
    <row r="109" spans="1:1" x14ac:dyDescent="0.25">
      <c r="A109" s="37"/>
    </row>
    <row r="110" spans="1:1" x14ac:dyDescent="0.25">
      <c r="A110" s="37"/>
    </row>
    <row r="111" spans="1:1" x14ac:dyDescent="0.25">
      <c r="A111" s="37"/>
    </row>
    <row r="112" spans="1:1" x14ac:dyDescent="0.25">
      <c r="A112" s="37"/>
    </row>
    <row r="113" spans="1:1" x14ac:dyDescent="0.25">
      <c r="A113" s="37"/>
    </row>
    <row r="114" spans="1:1" x14ac:dyDescent="0.25">
      <c r="A114" s="37"/>
    </row>
    <row r="115" spans="1:1" x14ac:dyDescent="0.25">
      <c r="A115" s="37"/>
    </row>
    <row r="116" spans="1:1" x14ac:dyDescent="0.25">
      <c r="A116" s="37"/>
    </row>
    <row r="117" spans="1:1" x14ac:dyDescent="0.25">
      <c r="A117" s="37"/>
    </row>
    <row r="118" spans="1:1" x14ac:dyDescent="0.25">
      <c r="A118" s="37"/>
    </row>
    <row r="119" spans="1:1" x14ac:dyDescent="0.25">
      <c r="A119" s="37"/>
    </row>
    <row r="120" spans="1:1" x14ac:dyDescent="0.25">
      <c r="A120" s="37"/>
    </row>
    <row r="121" spans="1:1" x14ac:dyDescent="0.25">
      <c r="A121" s="37"/>
    </row>
    <row r="122" spans="1:1" x14ac:dyDescent="0.25">
      <c r="A122" s="37"/>
    </row>
    <row r="123" spans="1:1" x14ac:dyDescent="0.25">
      <c r="A123" s="37"/>
    </row>
    <row r="124" spans="1:1" x14ac:dyDescent="0.25">
      <c r="A124" s="37"/>
    </row>
    <row r="125" spans="1:1" x14ac:dyDescent="0.25">
      <c r="A125" s="37"/>
    </row>
    <row r="126" spans="1:1" x14ac:dyDescent="0.25">
      <c r="A126" s="37"/>
    </row>
    <row r="127" spans="1:1" x14ac:dyDescent="0.25">
      <c r="A127" s="37"/>
    </row>
    <row r="128" spans="1:1" x14ac:dyDescent="0.25">
      <c r="A128" s="37"/>
    </row>
    <row r="129" spans="1:1" x14ac:dyDescent="0.25">
      <c r="A129" s="37"/>
    </row>
    <row r="130" spans="1:1" x14ac:dyDescent="0.25">
      <c r="A130" s="37"/>
    </row>
    <row r="131" spans="1:1" x14ac:dyDescent="0.25">
      <c r="A131" s="37"/>
    </row>
    <row r="132" spans="1:1" x14ac:dyDescent="0.25">
      <c r="A132" s="37"/>
    </row>
    <row r="133" spans="1:1" x14ac:dyDescent="0.25">
      <c r="A133" s="37"/>
    </row>
    <row r="134" spans="1:1" x14ac:dyDescent="0.25">
      <c r="A134" s="37"/>
    </row>
    <row r="135" spans="1:1" x14ac:dyDescent="0.25">
      <c r="A135" s="37"/>
    </row>
    <row r="136" spans="1:1" x14ac:dyDescent="0.25">
      <c r="A136" s="37"/>
    </row>
    <row r="137" spans="1:1" x14ac:dyDescent="0.25">
      <c r="A137" s="37"/>
    </row>
    <row r="138" spans="1:1" x14ac:dyDescent="0.25">
      <c r="A138" s="37"/>
    </row>
    <row r="139" spans="1:1" x14ac:dyDescent="0.25">
      <c r="A139" s="37"/>
    </row>
    <row r="140" spans="1:1" x14ac:dyDescent="0.25">
      <c r="A140" s="37"/>
    </row>
    <row r="141" spans="1:1" x14ac:dyDescent="0.25">
      <c r="A141" s="37"/>
    </row>
    <row r="142" spans="1:1" x14ac:dyDescent="0.25">
      <c r="A142" s="37"/>
    </row>
    <row r="143" spans="1:1" x14ac:dyDescent="0.25">
      <c r="A143" s="37"/>
    </row>
  </sheetData>
  <mergeCells count="4">
    <mergeCell ref="A2:J2"/>
    <mergeCell ref="A3:J3"/>
    <mergeCell ref="A4:J4"/>
    <mergeCell ref="A5:J5"/>
  </mergeCells>
  <printOptions horizontalCentered="1"/>
  <pageMargins left="0.25" right="0.25" top="0.5" bottom="0.5" header="0.25" footer="0.25"/>
  <pageSetup scale="71" orientation="landscape" r:id="rId1"/>
  <headerFooter alignWithMargins="0">
    <oddFooter>&amp;L&amp;"Times New Roman,Regular"&amp;12&amp;F&amp;C&amp;"Times New Roman,Regular"&amp;12Page 1 of 3&amp;R&amp;"Times New Roman,Regular"&amp;12Stmt BH - Page 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122"/>
  <sheetViews>
    <sheetView zoomScale="80" zoomScaleNormal="80" workbookViewId="0">
      <selection activeCell="M37" sqref="M37"/>
    </sheetView>
  </sheetViews>
  <sheetFormatPr defaultColWidth="9.28515625" defaultRowHeight="12.75" x14ac:dyDescent="0.2"/>
  <cols>
    <col min="1" max="1" width="5.5703125" style="242" customWidth="1"/>
    <col min="2" max="2" width="45.5703125" style="242" customWidth="1"/>
    <col min="3" max="8" width="15.5703125" style="242" customWidth="1"/>
    <col min="9" max="9" width="40.5703125" style="242" customWidth="1"/>
    <col min="10" max="10" width="5.5703125" style="242" customWidth="1"/>
    <col min="11" max="16384" width="9.28515625" style="242"/>
  </cols>
  <sheetData>
    <row r="2" spans="1:10" ht="15.75" x14ac:dyDescent="0.2">
      <c r="A2" s="5" t="s">
        <v>162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75" x14ac:dyDescent="0.2">
      <c r="A3" s="418" t="s">
        <v>52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.75" x14ac:dyDescent="0.2">
      <c r="A4" s="977" t="str">
        <f>'Stmt BH - Page 1'!A4:J4</f>
        <v>Transmission Revenue Balancing Account Adjustment (TRBAA) Revenue Data To Reflect Present Rates per ER25-218</v>
      </c>
      <c r="B4" s="977"/>
      <c r="C4" s="977"/>
      <c r="D4" s="977"/>
      <c r="E4" s="977"/>
      <c r="F4" s="977"/>
      <c r="G4" s="977"/>
      <c r="H4" s="977"/>
      <c r="I4" s="977"/>
      <c r="J4" s="977"/>
    </row>
    <row r="5" spans="1:10" ht="15.75" x14ac:dyDescent="0.2">
      <c r="A5" s="418" t="str">
        <f>'Stmt BH - Page 1'!A5</f>
        <v>Rate Effective Period - Twelve Months Ending December 31, 2026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16.5" thickBot="1" x14ac:dyDescent="0.3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5.75" x14ac:dyDescent="0.25">
      <c r="A7" s="75"/>
      <c r="B7" s="75"/>
      <c r="C7" s="569" t="s">
        <v>3</v>
      </c>
      <c r="D7" s="569" t="s">
        <v>4</v>
      </c>
      <c r="E7" s="569" t="s">
        <v>113</v>
      </c>
      <c r="F7" s="569" t="s">
        <v>114</v>
      </c>
      <c r="G7" s="569" t="s">
        <v>115</v>
      </c>
      <c r="H7" s="569" t="s">
        <v>116</v>
      </c>
      <c r="I7" s="569" t="s">
        <v>116</v>
      </c>
      <c r="J7" s="75"/>
    </row>
    <row r="8" spans="1:10" ht="15.75" x14ac:dyDescent="0.25">
      <c r="A8" s="75" t="s">
        <v>8</v>
      </c>
      <c r="B8" s="75"/>
      <c r="C8" s="570">
        <f>'Stmt BH - Page 1'!C8</f>
        <v>46023</v>
      </c>
      <c r="D8" s="570">
        <f>'Stmt BH - Page 1'!D8</f>
        <v>46054</v>
      </c>
      <c r="E8" s="570">
        <f>'Stmt BH - Page 1'!E8</f>
        <v>46082</v>
      </c>
      <c r="F8" s="570">
        <f>'Stmt BH - Page 1'!F8</f>
        <v>46113</v>
      </c>
      <c r="G8" s="570">
        <f>'Stmt BH - Page 1'!G8</f>
        <v>46143</v>
      </c>
      <c r="H8" s="570">
        <f>'Stmt BH - Page 1'!H8</f>
        <v>46174</v>
      </c>
      <c r="I8" s="564"/>
      <c r="J8" s="75" t="s">
        <v>8</v>
      </c>
    </row>
    <row r="9" spans="1:10" ht="16.5" thickBot="1" x14ac:dyDescent="0.3">
      <c r="A9" s="153" t="s">
        <v>11</v>
      </c>
      <c r="B9" s="153" t="s">
        <v>88</v>
      </c>
      <c r="C9" s="153" t="s">
        <v>132</v>
      </c>
      <c r="D9" s="153" t="s">
        <v>132</v>
      </c>
      <c r="E9" s="153" t="s">
        <v>132</v>
      </c>
      <c r="F9" s="153" t="s">
        <v>132</v>
      </c>
      <c r="G9" s="153" t="s">
        <v>132</v>
      </c>
      <c r="H9" s="153" t="s">
        <v>132</v>
      </c>
      <c r="I9" s="153" t="s">
        <v>16</v>
      </c>
      <c r="J9" s="153" t="s">
        <v>11</v>
      </c>
    </row>
    <row r="10" spans="1:10" ht="15.75" x14ac:dyDescent="0.25">
      <c r="A10" s="10"/>
      <c r="B10" s="10"/>
      <c r="C10" s="74"/>
      <c r="D10" s="10"/>
      <c r="E10" s="10"/>
      <c r="F10" s="10"/>
      <c r="G10" s="10"/>
      <c r="H10" s="10"/>
      <c r="I10" s="10"/>
      <c r="J10" s="10"/>
    </row>
    <row r="11" spans="1:10" ht="15.75" x14ac:dyDescent="0.25">
      <c r="A11" s="10">
        <v>1</v>
      </c>
      <c r="B11" s="11" t="s">
        <v>93</v>
      </c>
      <c r="C11" s="31">
        <f>'WP 1.2 Forecast Sales'!C6*1000</f>
        <v>565866754.51673937</v>
      </c>
      <c r="D11" s="31">
        <f>'WP 1.2 Forecast Sales'!D6*1000</f>
        <v>474945652.81434941</v>
      </c>
      <c r="E11" s="31">
        <f>'WP 1.2 Forecast Sales'!E6*1000</f>
        <v>415713042.23156244</v>
      </c>
      <c r="F11" s="31">
        <f>'WP 1.2 Forecast Sales'!F6*1000</f>
        <v>339697350.5922603</v>
      </c>
      <c r="G11" s="31">
        <f>'WP 1.2 Forecast Sales'!G6*1000</f>
        <v>312119362.05995828</v>
      </c>
      <c r="H11" s="31">
        <f>'WP 1.2 Forecast Sales'!H6*1000</f>
        <v>335919480.72164387</v>
      </c>
      <c r="I11" s="240" t="s">
        <v>133</v>
      </c>
      <c r="J11" s="10">
        <v>1</v>
      </c>
    </row>
    <row r="12" spans="1:10" ht="15.75" x14ac:dyDescent="0.25">
      <c r="A12" s="10">
        <f>A11+1</f>
        <v>2</v>
      </c>
      <c r="B12" s="11"/>
      <c r="C12" s="398"/>
      <c r="D12" s="398"/>
      <c r="E12" s="398"/>
      <c r="F12" s="398"/>
      <c r="G12" s="398"/>
      <c r="H12" s="398"/>
      <c r="I12" s="399"/>
      <c r="J12" s="10">
        <f>J11+1</f>
        <v>2</v>
      </c>
    </row>
    <row r="13" spans="1:10" ht="15.75" x14ac:dyDescent="0.25">
      <c r="A13" s="10">
        <f t="shared" ref="A13:A45" si="0">A12+1</f>
        <v>3</v>
      </c>
      <c r="B13" s="11" t="s">
        <v>134</v>
      </c>
      <c r="C13" s="31">
        <f>'WP 1.2 Forecast Sales'!C7*1000</f>
        <v>201410884.6648258</v>
      </c>
      <c r="D13" s="31">
        <f>'WP 1.2 Forecast Sales'!D7*1000</f>
        <v>193878034.3113372</v>
      </c>
      <c r="E13" s="31">
        <f>'WP 1.2 Forecast Sales'!E7*1000</f>
        <v>189903298.63903418</v>
      </c>
      <c r="F13" s="31">
        <f>'WP 1.2 Forecast Sales'!F7*1000</f>
        <v>188108260.87251216</v>
      </c>
      <c r="G13" s="31">
        <f>'WP 1.2 Forecast Sales'!G7*1000</f>
        <v>187866125.35447705</v>
      </c>
      <c r="H13" s="31">
        <f>'WP 1.2 Forecast Sales'!H7*1000</f>
        <v>194140303.01661658</v>
      </c>
      <c r="I13" s="240" t="s">
        <v>135</v>
      </c>
      <c r="J13" s="10">
        <f t="shared" ref="J13:J45" si="1">J12+1</f>
        <v>3</v>
      </c>
    </row>
    <row r="14" spans="1:10" ht="15.75" x14ac:dyDescent="0.25">
      <c r="A14" s="10">
        <f t="shared" si="0"/>
        <v>4</v>
      </c>
      <c r="B14" s="385"/>
      <c r="C14" s="393"/>
      <c r="D14" s="393"/>
      <c r="E14" s="393"/>
      <c r="F14" s="393"/>
      <c r="G14" s="393"/>
      <c r="H14" s="393"/>
      <c r="I14" s="400"/>
      <c r="J14" s="10">
        <f t="shared" si="1"/>
        <v>4</v>
      </c>
    </row>
    <row r="15" spans="1:10" ht="15.75" x14ac:dyDescent="0.25">
      <c r="A15" s="10">
        <f t="shared" si="0"/>
        <v>5</v>
      </c>
      <c r="B15" s="17" t="s">
        <v>99</v>
      </c>
      <c r="C15" s="31">
        <f>'WP 1.2 Forecast Sales'!C8*1000</f>
        <v>718797731.45195258</v>
      </c>
      <c r="D15" s="31">
        <f>'WP 1.2 Forecast Sales'!D8*1000</f>
        <v>680989309.74619114</v>
      </c>
      <c r="E15" s="31">
        <f>'WP 1.2 Forecast Sales'!E8*1000</f>
        <v>682843723.33270192</v>
      </c>
      <c r="F15" s="31">
        <f>'WP 1.2 Forecast Sales'!F8*1000</f>
        <v>686833634.35529459</v>
      </c>
      <c r="G15" s="31">
        <f>'WP 1.2 Forecast Sales'!G8*1000</f>
        <v>693440612.41296256</v>
      </c>
      <c r="H15" s="31">
        <f>'WP 1.2 Forecast Sales'!H8*1000</f>
        <v>723617546.56166637</v>
      </c>
      <c r="I15" s="240" t="s">
        <v>136</v>
      </c>
      <c r="J15" s="10">
        <f t="shared" si="1"/>
        <v>5</v>
      </c>
    </row>
    <row r="16" spans="1:10" ht="15.75" x14ac:dyDescent="0.2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401"/>
      <c r="J16" s="10">
        <f t="shared" si="1"/>
        <v>6</v>
      </c>
    </row>
    <row r="17" spans="1:10" ht="15.75" x14ac:dyDescent="0.25">
      <c r="A17" s="10">
        <f t="shared" si="0"/>
        <v>7</v>
      </c>
      <c r="B17" s="11" t="s">
        <v>102</v>
      </c>
      <c r="C17" s="31">
        <f>'WP 1.2 Forecast Sales'!C10*1000</f>
        <v>8770898.1289841495</v>
      </c>
      <c r="D17" s="31">
        <f>'WP 1.2 Forecast Sales'!D10*1000</f>
        <v>8598197.7953569908</v>
      </c>
      <c r="E17" s="31">
        <f>'WP 1.2 Forecast Sales'!E10*1000</f>
        <v>8121460.1021894859</v>
      </c>
      <c r="F17" s="31">
        <f>'WP 1.2 Forecast Sales'!F10*1000</f>
        <v>8972645.7992273159</v>
      </c>
      <c r="G17" s="31">
        <f>'WP 1.2 Forecast Sales'!G10*1000</f>
        <v>13494394.209383002</v>
      </c>
      <c r="H17" s="31">
        <f>'WP 1.2 Forecast Sales'!H10*1000</f>
        <v>15277102.085518412</v>
      </c>
      <c r="I17" s="240" t="s">
        <v>137</v>
      </c>
      <c r="J17" s="10">
        <f t="shared" si="1"/>
        <v>7</v>
      </c>
    </row>
    <row r="18" spans="1:10" ht="15.75" x14ac:dyDescent="0.2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401"/>
      <c r="J18" s="10">
        <f t="shared" si="1"/>
        <v>8</v>
      </c>
    </row>
    <row r="19" spans="1:10" ht="15.75" x14ac:dyDescent="0.25">
      <c r="A19" s="10">
        <f t="shared" si="0"/>
        <v>9</v>
      </c>
      <c r="B19" s="11" t="s">
        <v>105</v>
      </c>
      <c r="C19" s="31">
        <f>'WP 1.2 Forecast Sales'!C11*1000</f>
        <v>16096194.488099385</v>
      </c>
      <c r="D19" s="31">
        <f>'WP 1.2 Forecast Sales'!D11*1000</f>
        <v>16324789.675258994</v>
      </c>
      <c r="E19" s="31">
        <f>'WP 1.2 Forecast Sales'!E11*1000</f>
        <v>15210058.425003275</v>
      </c>
      <c r="F19" s="31">
        <f>'WP 1.2 Forecast Sales'!F11*1000</f>
        <v>15790788.262185775</v>
      </c>
      <c r="G19" s="31">
        <f>'WP 1.2 Forecast Sales'!G11*1000</f>
        <v>18980076.654593214</v>
      </c>
      <c r="H19" s="31">
        <f>'WP 1.2 Forecast Sales'!H11*1000</f>
        <v>19791045.53676001</v>
      </c>
      <c r="I19" s="240" t="s">
        <v>138</v>
      </c>
      <c r="J19" s="10">
        <f t="shared" si="1"/>
        <v>9</v>
      </c>
    </row>
    <row r="20" spans="1:10" ht="15.75" x14ac:dyDescent="0.2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401"/>
      <c r="J20" s="10">
        <f t="shared" si="1"/>
        <v>10</v>
      </c>
    </row>
    <row r="21" spans="1:10" ht="15.75" x14ac:dyDescent="0.25">
      <c r="A21" s="10">
        <f t="shared" si="0"/>
        <v>11</v>
      </c>
      <c r="B21" s="11" t="s">
        <v>139</v>
      </c>
      <c r="C21" s="38">
        <f>'WP 1.2 Forecast Sales'!C12*1000</f>
        <v>7050041.3726688055</v>
      </c>
      <c r="D21" s="38">
        <f>'WP 1.2 Forecast Sales'!D12*1000</f>
        <v>6963639.3231486995</v>
      </c>
      <c r="E21" s="38">
        <f>'WP 1.2 Forecast Sales'!E12*1000</f>
        <v>6821384.377889757</v>
      </c>
      <c r="F21" s="38">
        <f>'WP 1.2 Forecast Sales'!F12*1000</f>
        <v>6696433.9907789938</v>
      </c>
      <c r="G21" s="38">
        <f>'WP 1.2 Forecast Sales'!G12*1000</f>
        <v>6687434.930758276</v>
      </c>
      <c r="H21" s="38">
        <f>'WP 1.2 Forecast Sales'!H12*1000</f>
        <v>6721237.4505943088</v>
      </c>
      <c r="I21" s="240" t="s">
        <v>140</v>
      </c>
      <c r="J21" s="10">
        <f t="shared" si="1"/>
        <v>11</v>
      </c>
    </row>
    <row r="22" spans="1:10" ht="15.75" x14ac:dyDescent="0.2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162"/>
      <c r="J22" s="10">
        <f t="shared" si="1"/>
        <v>12</v>
      </c>
    </row>
    <row r="23" spans="1:10" ht="16.5" thickBot="1" x14ac:dyDescent="0.3">
      <c r="A23" s="10">
        <f t="shared" si="0"/>
        <v>13</v>
      </c>
      <c r="B23" s="11" t="s">
        <v>124</v>
      </c>
      <c r="C23" s="474">
        <f>SUM(C11:C21)</f>
        <v>1517992504.62327</v>
      </c>
      <c r="D23" s="474">
        <f t="shared" ref="D23:H23" si="2">SUM(D11:D21)</f>
        <v>1381699623.6656423</v>
      </c>
      <c r="E23" s="474">
        <f t="shared" si="2"/>
        <v>1318612967.1083813</v>
      </c>
      <c r="F23" s="474">
        <f t="shared" si="2"/>
        <v>1246099113.8722589</v>
      </c>
      <c r="G23" s="474">
        <f t="shared" si="2"/>
        <v>1232588005.6221323</v>
      </c>
      <c r="H23" s="474">
        <f t="shared" si="2"/>
        <v>1295466715.3727996</v>
      </c>
      <c r="I23" s="399" t="s">
        <v>141</v>
      </c>
      <c r="J23" s="10">
        <f t="shared" si="1"/>
        <v>13</v>
      </c>
    </row>
    <row r="24" spans="1:10" ht="17.25" thickTop="1" thickBot="1" x14ac:dyDescent="0.3">
      <c r="A24" s="57">
        <f t="shared" si="0"/>
        <v>14</v>
      </c>
      <c r="B24" s="419"/>
      <c r="C24" s="823"/>
      <c r="D24" s="58"/>
      <c r="E24" s="58"/>
      <c r="F24" s="58"/>
      <c r="G24" s="58"/>
      <c r="H24" s="58"/>
      <c r="I24" s="58"/>
      <c r="J24" s="57">
        <f t="shared" si="1"/>
        <v>14</v>
      </c>
    </row>
    <row r="25" spans="1:10" ht="15.75" x14ac:dyDescent="0.25">
      <c r="A25" s="10">
        <f t="shared" si="0"/>
        <v>15</v>
      </c>
      <c r="B25" s="420"/>
      <c r="C25" s="408"/>
      <c r="D25" s="408"/>
      <c r="E25" s="408"/>
      <c r="F25" s="408"/>
      <c r="G25" s="408"/>
      <c r="H25" s="408"/>
      <c r="I25" s="17"/>
      <c r="J25" s="10">
        <f t="shared" si="1"/>
        <v>15</v>
      </c>
    </row>
    <row r="26" spans="1:10" ht="16.5" thickBot="1" x14ac:dyDescent="0.3">
      <c r="A26" s="57">
        <f>A25+1</f>
        <v>16</v>
      </c>
      <c r="B26" s="419"/>
      <c r="C26" s="57" t="s">
        <v>142</v>
      </c>
      <c r="D26" s="57" t="s">
        <v>142</v>
      </c>
      <c r="E26" s="57" t="s">
        <v>142</v>
      </c>
      <c r="F26" s="57" t="s">
        <v>142</v>
      </c>
      <c r="G26" s="57" t="s">
        <v>142</v>
      </c>
      <c r="H26" s="57" t="s">
        <v>142</v>
      </c>
      <c r="I26" s="57"/>
      <c r="J26" s="57">
        <f>J25+1</f>
        <v>16</v>
      </c>
    </row>
    <row r="27" spans="1:10" ht="15.75" x14ac:dyDescent="0.25">
      <c r="A27" s="10">
        <f t="shared" si="0"/>
        <v>17</v>
      </c>
      <c r="B27" s="448"/>
      <c r="C27" s="75"/>
      <c r="D27" s="10"/>
      <c r="E27" s="10"/>
      <c r="F27" s="10"/>
      <c r="G27" s="10"/>
      <c r="H27" s="10"/>
      <c r="I27" s="409" t="s">
        <v>144</v>
      </c>
      <c r="J27" s="10">
        <f t="shared" si="1"/>
        <v>17</v>
      </c>
    </row>
    <row r="28" spans="1:10" ht="15.75" x14ac:dyDescent="0.25">
      <c r="A28" s="10">
        <f t="shared" si="0"/>
        <v>18</v>
      </c>
      <c r="B28" s="11" t="s">
        <v>169</v>
      </c>
      <c r="C28" s="384">
        <v>-2.4499999999999999E-3</v>
      </c>
      <c r="D28" s="384">
        <f>$C28</f>
        <v>-2.4499999999999999E-3</v>
      </c>
      <c r="E28" s="384">
        <f>$C28</f>
        <v>-2.4499999999999999E-3</v>
      </c>
      <c r="F28" s="384">
        <f>$C28</f>
        <v>-2.4499999999999999E-3</v>
      </c>
      <c r="G28" s="384">
        <f>$C28</f>
        <v>-2.4499999999999999E-3</v>
      </c>
      <c r="H28" s="384">
        <f>$C28</f>
        <v>-2.4499999999999999E-3</v>
      </c>
      <c r="I28" s="399" t="s">
        <v>520</v>
      </c>
      <c r="J28" s="10">
        <f t="shared" si="1"/>
        <v>18</v>
      </c>
    </row>
    <row r="29" spans="1:10" ht="16.5" thickBot="1" x14ac:dyDescent="0.3">
      <c r="A29" s="57">
        <f>A28+1</f>
        <v>19</v>
      </c>
      <c r="B29" s="419"/>
      <c r="C29" s="58"/>
      <c r="D29" s="58"/>
      <c r="E29" s="58"/>
      <c r="F29" s="58"/>
      <c r="G29" s="58"/>
      <c r="H29" s="58"/>
      <c r="I29" s="410"/>
      <c r="J29" s="57">
        <f>J28+1</f>
        <v>19</v>
      </c>
    </row>
    <row r="30" spans="1:10" ht="15.75" x14ac:dyDescent="0.25">
      <c r="A30" s="10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10">
        <f t="shared" si="1"/>
        <v>20</v>
      </c>
    </row>
    <row r="31" spans="1:10" ht="34.5" customHeight="1" thickBot="1" x14ac:dyDescent="0.3">
      <c r="A31" s="57">
        <f t="shared" si="0"/>
        <v>21</v>
      </c>
      <c r="B31" s="419"/>
      <c r="C31" s="403" t="s">
        <v>170</v>
      </c>
      <c r="D31" s="403" t="s">
        <v>170</v>
      </c>
      <c r="E31" s="403" t="s">
        <v>170</v>
      </c>
      <c r="F31" s="403" t="s">
        <v>170</v>
      </c>
      <c r="G31" s="403" t="s">
        <v>170</v>
      </c>
      <c r="H31" s="403" t="s">
        <v>170</v>
      </c>
      <c r="I31" s="57"/>
      <c r="J31" s="57">
        <f t="shared" si="1"/>
        <v>21</v>
      </c>
    </row>
    <row r="32" spans="1:10" ht="15.75" x14ac:dyDescent="0.25">
      <c r="A32" s="10">
        <f t="shared" si="0"/>
        <v>22</v>
      </c>
      <c r="B32" s="11"/>
      <c r="C32" s="10"/>
      <c r="D32" s="10"/>
      <c r="E32" s="10"/>
      <c r="F32" s="10"/>
      <c r="G32" s="10"/>
      <c r="H32" s="10"/>
      <c r="I32" s="74"/>
      <c r="J32" s="10">
        <f t="shared" si="1"/>
        <v>22</v>
      </c>
    </row>
    <row r="33" spans="1:10" ht="15.75" x14ac:dyDescent="0.25">
      <c r="A33" s="10">
        <f t="shared" si="0"/>
        <v>23</v>
      </c>
      <c r="B33" s="11" t="s">
        <v>93</v>
      </c>
      <c r="C33" s="141">
        <f>C11*C$28</f>
        <v>-1386373.5485660115</v>
      </c>
      <c r="D33" s="141">
        <f t="shared" ref="D33:H33" si="3">D11*D$28</f>
        <v>-1163616.8493951561</v>
      </c>
      <c r="E33" s="141">
        <f t="shared" si="3"/>
        <v>-1018496.953467328</v>
      </c>
      <c r="F33" s="141">
        <f t="shared" si="3"/>
        <v>-832258.50895103766</v>
      </c>
      <c r="G33" s="141">
        <f t="shared" si="3"/>
        <v>-764692.43704689771</v>
      </c>
      <c r="H33" s="141">
        <f t="shared" si="3"/>
        <v>-823002.72776802746</v>
      </c>
      <c r="I33" s="26" t="s">
        <v>146</v>
      </c>
      <c r="J33" s="10">
        <f t="shared" si="1"/>
        <v>23</v>
      </c>
    </row>
    <row r="34" spans="1:10" ht="15.75" x14ac:dyDescent="0.25">
      <c r="A34" s="10">
        <f t="shared" si="0"/>
        <v>24</v>
      </c>
      <c r="B34" s="11"/>
      <c r="C34" s="398"/>
      <c r="D34" s="398"/>
      <c r="E34" s="398"/>
      <c r="F34" s="398"/>
      <c r="G34" s="398"/>
      <c r="H34" s="398"/>
      <c r="I34" s="404"/>
      <c r="J34" s="10">
        <f t="shared" si="1"/>
        <v>24</v>
      </c>
    </row>
    <row r="35" spans="1:10" ht="15.75" x14ac:dyDescent="0.25">
      <c r="A35" s="10">
        <f t="shared" si="0"/>
        <v>25</v>
      </c>
      <c r="B35" s="11" t="s">
        <v>134</v>
      </c>
      <c r="C35" s="44">
        <f>C13*C$28</f>
        <v>-493456.66742882319</v>
      </c>
      <c r="D35" s="44">
        <f t="shared" ref="D35:H35" si="4">D13*D$28</f>
        <v>-475001.18406277616</v>
      </c>
      <c r="E35" s="44">
        <f t="shared" si="4"/>
        <v>-465263.08166563371</v>
      </c>
      <c r="F35" s="44">
        <f t="shared" si="4"/>
        <v>-460865.23913765477</v>
      </c>
      <c r="G35" s="44">
        <f t="shared" si="4"/>
        <v>-460272.00711846875</v>
      </c>
      <c r="H35" s="44">
        <f t="shared" si="4"/>
        <v>-475643.74239071063</v>
      </c>
      <c r="I35" s="26" t="s">
        <v>147</v>
      </c>
      <c r="J35" s="10">
        <f t="shared" si="1"/>
        <v>25</v>
      </c>
    </row>
    <row r="36" spans="1:10" ht="15.75" x14ac:dyDescent="0.25">
      <c r="A36" s="10">
        <f t="shared" si="0"/>
        <v>26</v>
      </c>
      <c r="B36" s="385"/>
      <c r="C36" s="393"/>
      <c r="D36" s="393"/>
      <c r="E36" s="393"/>
      <c r="F36" s="393"/>
      <c r="G36" s="393"/>
      <c r="H36" s="393"/>
      <c r="I36" s="26"/>
      <c r="J36" s="10">
        <f t="shared" si="1"/>
        <v>26</v>
      </c>
    </row>
    <row r="37" spans="1:10" ht="15.75" x14ac:dyDescent="0.25">
      <c r="A37" s="10">
        <f t="shared" si="0"/>
        <v>27</v>
      </c>
      <c r="B37" s="17" t="s">
        <v>99</v>
      </c>
      <c r="C37" s="44">
        <f>C15*C$28</f>
        <v>-1761054.4420572838</v>
      </c>
      <c r="D37" s="44">
        <f t="shared" ref="D37:H37" si="5">D15*D$28</f>
        <v>-1668423.8088781682</v>
      </c>
      <c r="E37" s="44">
        <f t="shared" si="5"/>
        <v>-1672967.1221651197</v>
      </c>
      <c r="F37" s="44">
        <f t="shared" si="5"/>
        <v>-1682742.4041704717</v>
      </c>
      <c r="G37" s="44">
        <f t="shared" si="5"/>
        <v>-1698929.5004117582</v>
      </c>
      <c r="H37" s="44">
        <f t="shared" si="5"/>
        <v>-1772862.9890760826</v>
      </c>
      <c r="I37" s="26" t="s">
        <v>148</v>
      </c>
      <c r="J37" s="10">
        <f t="shared" si="1"/>
        <v>27</v>
      </c>
    </row>
    <row r="38" spans="1:10" ht="15.75" x14ac:dyDescent="0.25">
      <c r="A38" s="10">
        <f t="shared" si="0"/>
        <v>28</v>
      </c>
      <c r="B38" s="11"/>
      <c r="C38" s="44"/>
      <c r="D38" s="44"/>
      <c r="E38" s="44"/>
      <c r="F38" s="44"/>
      <c r="G38" s="44"/>
      <c r="H38" s="44"/>
      <c r="I38" s="26"/>
      <c r="J38" s="10">
        <f t="shared" si="1"/>
        <v>28</v>
      </c>
    </row>
    <row r="39" spans="1:10" ht="15.75" x14ac:dyDescent="0.25">
      <c r="A39" s="10">
        <f t="shared" si="0"/>
        <v>29</v>
      </c>
      <c r="B39" s="11" t="s">
        <v>102</v>
      </c>
      <c r="C39" s="44">
        <f>C17*C$28</f>
        <v>-21488.700416011165</v>
      </c>
      <c r="D39" s="44">
        <f t="shared" ref="D39:H39" si="6">D17*D$28</f>
        <v>-21065.584598624628</v>
      </c>
      <c r="E39" s="44">
        <f t="shared" si="6"/>
        <v>-19897.57725036424</v>
      </c>
      <c r="F39" s="44">
        <f t="shared" si="6"/>
        <v>-21982.982208106925</v>
      </c>
      <c r="G39" s="44">
        <f t="shared" si="6"/>
        <v>-33061.265812988349</v>
      </c>
      <c r="H39" s="44">
        <f t="shared" si="6"/>
        <v>-37428.900109520109</v>
      </c>
      <c r="I39" s="26" t="s">
        <v>149</v>
      </c>
      <c r="J39" s="10">
        <f t="shared" si="1"/>
        <v>29</v>
      </c>
    </row>
    <row r="40" spans="1:10" ht="15.75" x14ac:dyDescent="0.25">
      <c r="A40" s="10">
        <f t="shared" si="0"/>
        <v>30</v>
      </c>
      <c r="B40" s="11"/>
      <c r="C40" s="44"/>
      <c r="D40" s="44"/>
      <c r="E40" s="44"/>
      <c r="F40" s="44"/>
      <c r="G40" s="44"/>
      <c r="H40" s="44"/>
      <c r="I40" s="26"/>
      <c r="J40" s="10">
        <f t="shared" si="1"/>
        <v>30</v>
      </c>
    </row>
    <row r="41" spans="1:10" ht="15.75" x14ac:dyDescent="0.25">
      <c r="A41" s="10">
        <f t="shared" si="0"/>
        <v>31</v>
      </c>
      <c r="B41" s="11" t="s">
        <v>105</v>
      </c>
      <c r="C41" s="44">
        <f>C19*C$28</f>
        <v>-39435.676495843494</v>
      </c>
      <c r="D41" s="44">
        <f t="shared" ref="D41:H41" si="7">D19*D$28</f>
        <v>-39995.734704384537</v>
      </c>
      <c r="E41" s="44">
        <f t="shared" si="7"/>
        <v>-37264.64314125802</v>
      </c>
      <c r="F41" s="44">
        <f t="shared" si="7"/>
        <v>-38687.431242355146</v>
      </c>
      <c r="G41" s="44">
        <f t="shared" si="7"/>
        <v>-46501.187803753375</v>
      </c>
      <c r="H41" s="44">
        <f t="shared" si="7"/>
        <v>-48488.061565062024</v>
      </c>
      <c r="I41" s="26" t="s">
        <v>150</v>
      </c>
      <c r="J41" s="10">
        <f t="shared" si="1"/>
        <v>31</v>
      </c>
    </row>
    <row r="42" spans="1:10" ht="15.75" x14ac:dyDescent="0.25">
      <c r="A42" s="10">
        <f t="shared" si="0"/>
        <v>32</v>
      </c>
      <c r="B42" s="11"/>
      <c r="C42" s="44"/>
      <c r="D42" s="44"/>
      <c r="E42" s="44"/>
      <c r="F42" s="44"/>
      <c r="G42" s="44"/>
      <c r="H42" s="44"/>
      <c r="I42" s="26"/>
      <c r="J42" s="10">
        <f t="shared" si="1"/>
        <v>32</v>
      </c>
    </row>
    <row r="43" spans="1:10" ht="15.75" x14ac:dyDescent="0.25">
      <c r="A43" s="10">
        <f t="shared" si="0"/>
        <v>33</v>
      </c>
      <c r="B43" s="11" t="s">
        <v>139</v>
      </c>
      <c r="C43" s="51">
        <f>C21*C$28</f>
        <v>-17272.601363038571</v>
      </c>
      <c r="D43" s="51">
        <f t="shared" ref="D43:H43" si="8">D21*D$28</f>
        <v>-17060.916341714314</v>
      </c>
      <c r="E43" s="51">
        <f t="shared" si="8"/>
        <v>-16712.391725829904</v>
      </c>
      <c r="F43" s="51">
        <f t="shared" si="8"/>
        <v>-16406.263277408536</v>
      </c>
      <c r="G43" s="51">
        <f t="shared" si="8"/>
        <v>-16384.215580357777</v>
      </c>
      <c r="H43" s="51">
        <f t="shared" si="8"/>
        <v>-16467.031753956056</v>
      </c>
      <c r="I43" s="26" t="s">
        <v>151</v>
      </c>
      <c r="J43" s="10">
        <f t="shared" si="1"/>
        <v>33</v>
      </c>
    </row>
    <row r="44" spans="1:10" ht="15.75" x14ac:dyDescent="0.25">
      <c r="A44" s="10">
        <f t="shared" si="0"/>
        <v>34</v>
      </c>
      <c r="B44" s="11"/>
      <c r="C44" s="138"/>
      <c r="D44" s="138"/>
      <c r="E44" s="138"/>
      <c r="F44" s="138"/>
      <c r="G44" s="138"/>
      <c r="H44" s="138"/>
      <c r="I44" s="26"/>
      <c r="J44" s="10">
        <f t="shared" si="1"/>
        <v>34</v>
      </c>
    </row>
    <row r="45" spans="1:10" ht="16.5" thickBot="1" x14ac:dyDescent="0.3">
      <c r="A45" s="10">
        <f t="shared" si="0"/>
        <v>35</v>
      </c>
      <c r="B45" s="11" t="s">
        <v>124</v>
      </c>
      <c r="C45" s="394">
        <f>SUM(C33:C43)</f>
        <v>-3719081.636327012</v>
      </c>
      <c r="D45" s="394">
        <f t="shared" ref="D45:H45" si="9">SUM(D33:D43)</f>
        <v>-3385164.0779808238</v>
      </c>
      <c r="E45" s="394">
        <f t="shared" si="9"/>
        <v>-3230601.7694155336</v>
      </c>
      <c r="F45" s="394">
        <f t="shared" si="9"/>
        <v>-3052942.828987035</v>
      </c>
      <c r="G45" s="394">
        <f t="shared" si="9"/>
        <v>-3019840.6137742242</v>
      </c>
      <c r="H45" s="394">
        <f t="shared" si="9"/>
        <v>-3173893.4526633588</v>
      </c>
      <c r="I45" s="405" t="s">
        <v>152</v>
      </c>
      <c r="J45" s="10">
        <f t="shared" si="1"/>
        <v>35</v>
      </c>
    </row>
    <row r="46" spans="1:10" ht="17.25" thickTop="1" thickBot="1" x14ac:dyDescent="0.3">
      <c r="A46" s="57"/>
      <c r="B46" s="57"/>
      <c r="C46" s="823"/>
      <c r="D46" s="58"/>
      <c r="E46" s="58"/>
      <c r="F46" s="58"/>
      <c r="G46" s="58"/>
      <c r="H46" s="58"/>
      <c r="I46" s="58"/>
      <c r="J46" s="57"/>
    </row>
    <row r="47" spans="1:10" ht="15.75" x14ac:dyDescent="0.25">
      <c r="A47" s="37"/>
      <c r="B47" s="390"/>
      <c r="C47" s="22"/>
      <c r="D47" s="22"/>
      <c r="E47" s="22"/>
      <c r="F47" s="22"/>
      <c r="G47" s="22"/>
      <c r="H47" s="22"/>
      <c r="I47" s="22"/>
      <c r="J47" s="22"/>
    </row>
    <row r="48" spans="1:10" ht="18.75" x14ac:dyDescent="0.25">
      <c r="A48" s="69"/>
      <c r="B48" s="22"/>
      <c r="C48" s="397"/>
      <c r="D48" s="22"/>
      <c r="E48" s="22"/>
      <c r="F48" s="22"/>
      <c r="G48" s="22"/>
      <c r="H48" s="22"/>
      <c r="I48" s="22"/>
      <c r="J48" s="22"/>
    </row>
    <row r="49" spans="1:10" ht="15.75" x14ac:dyDescent="0.25">
      <c r="A49" s="824"/>
      <c r="B49" s="22"/>
      <c r="D49" s="22"/>
      <c r="E49" s="22"/>
      <c r="F49" s="22"/>
      <c r="G49" s="22"/>
      <c r="H49" s="22"/>
      <c r="I49" s="22"/>
      <c r="J49" s="22"/>
    </row>
    <row r="50" spans="1:10" ht="15.75" x14ac:dyDescent="0.25">
      <c r="A50" s="824"/>
      <c r="B50" s="22"/>
      <c r="C50" s="825"/>
      <c r="D50" s="22"/>
      <c r="E50" s="22"/>
      <c r="F50" s="22"/>
      <c r="G50" s="22"/>
      <c r="H50" s="22"/>
      <c r="I50" s="22"/>
      <c r="J50" s="22"/>
    </row>
    <row r="51" spans="1:10" ht="15.75" x14ac:dyDescent="0.25">
      <c r="A51" s="824"/>
      <c r="D51" s="22"/>
      <c r="E51" s="22"/>
      <c r="F51" s="22"/>
      <c r="G51" s="22"/>
      <c r="H51" s="22"/>
      <c r="I51" s="22"/>
      <c r="J51" s="22"/>
    </row>
    <row r="52" spans="1:10" ht="15.75" x14ac:dyDescent="0.25">
      <c r="A52" s="37"/>
      <c r="B52" s="22"/>
      <c r="C52" s="22"/>
      <c r="D52" s="22"/>
      <c r="E52" s="22"/>
      <c r="F52" s="22"/>
      <c r="G52" s="22"/>
      <c r="H52" s="22"/>
      <c r="I52" s="22"/>
      <c r="J52" s="22"/>
    </row>
    <row r="53" spans="1:10" ht="15.75" x14ac:dyDescent="0.25">
      <c r="A53" s="37"/>
      <c r="B53" s="22"/>
      <c r="C53" s="22"/>
      <c r="D53" s="22"/>
      <c r="E53" s="22"/>
      <c r="F53" s="22"/>
      <c r="G53" s="22"/>
      <c r="H53" s="22"/>
      <c r="I53" s="22"/>
      <c r="J53" s="22"/>
    </row>
    <row r="54" spans="1:10" ht="15.75" x14ac:dyDescent="0.25">
      <c r="A54" s="37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5.75" x14ac:dyDescent="0.25">
      <c r="A55" s="37"/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5.75" x14ac:dyDescent="0.25">
      <c r="A56" s="37"/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5.75" x14ac:dyDescent="0.25">
      <c r="A57" s="37"/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5.75" x14ac:dyDescent="0.25">
      <c r="A58" s="37"/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5.75" x14ac:dyDescent="0.25">
      <c r="A59" s="37"/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5.75" x14ac:dyDescent="0.25">
      <c r="A60" s="37"/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5.75" x14ac:dyDescent="0.25">
      <c r="A61" s="37"/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5.75" x14ac:dyDescent="0.25">
      <c r="A62" s="37"/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5.75" x14ac:dyDescent="0.25">
      <c r="A63" s="37"/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5.75" x14ac:dyDescent="0.25">
      <c r="A64" s="37"/>
      <c r="B64" s="22"/>
      <c r="C64" s="22"/>
      <c r="D64" s="22"/>
      <c r="E64" s="22"/>
      <c r="F64" s="22"/>
      <c r="G64" s="22"/>
      <c r="H64" s="22"/>
      <c r="I64" s="22"/>
      <c r="J64" s="22"/>
    </row>
    <row r="65" spans="1:10" ht="15.75" x14ac:dyDescent="0.25">
      <c r="A65" s="37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5.75" x14ac:dyDescent="0.25">
      <c r="A66" s="37"/>
      <c r="B66" s="22"/>
      <c r="C66" s="22"/>
      <c r="D66" s="22"/>
      <c r="E66" s="22"/>
      <c r="F66" s="22"/>
      <c r="G66" s="22"/>
      <c r="H66" s="22"/>
      <c r="I66" s="22"/>
      <c r="J66" s="22"/>
    </row>
    <row r="67" spans="1:10" ht="15.75" x14ac:dyDescent="0.25">
      <c r="A67" s="37"/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5.75" x14ac:dyDescent="0.25">
      <c r="A68" s="37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15.75" x14ac:dyDescent="0.25">
      <c r="A69" s="37"/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5.75" x14ac:dyDescent="0.25">
      <c r="A70" s="37"/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5.75" x14ac:dyDescent="0.25">
      <c r="A71" s="37"/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5.75" x14ac:dyDescent="0.25">
      <c r="A72" s="37"/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5.75" x14ac:dyDescent="0.25">
      <c r="A73" s="37"/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5.75" x14ac:dyDescent="0.25">
      <c r="A74" s="37"/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5.75" x14ac:dyDescent="0.25">
      <c r="A75" s="37"/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5.75" x14ac:dyDescent="0.25">
      <c r="A76" s="37"/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5.75" x14ac:dyDescent="0.25">
      <c r="A77" s="37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5.75" x14ac:dyDescent="0.25">
      <c r="A78" s="37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">
      <c r="A79" s="824"/>
    </row>
    <row r="80" spans="1:10" x14ac:dyDescent="0.2">
      <c r="A80" s="824"/>
    </row>
    <row r="81" spans="1:1" x14ac:dyDescent="0.2">
      <c r="A81" s="824"/>
    </row>
    <row r="82" spans="1:1" x14ac:dyDescent="0.2">
      <c r="A82" s="824"/>
    </row>
    <row r="83" spans="1:1" x14ac:dyDescent="0.2">
      <c r="A83" s="824"/>
    </row>
    <row r="84" spans="1:1" x14ac:dyDescent="0.2">
      <c r="A84" s="824"/>
    </row>
    <row r="85" spans="1:1" x14ac:dyDescent="0.2">
      <c r="A85" s="824"/>
    </row>
    <row r="86" spans="1:1" x14ac:dyDescent="0.2">
      <c r="A86" s="824"/>
    </row>
    <row r="87" spans="1:1" x14ac:dyDescent="0.2">
      <c r="A87" s="824"/>
    </row>
    <row r="88" spans="1:1" x14ac:dyDescent="0.2">
      <c r="A88" s="824"/>
    </row>
    <row r="89" spans="1:1" x14ac:dyDescent="0.2">
      <c r="A89" s="824"/>
    </row>
    <row r="90" spans="1:1" x14ac:dyDescent="0.2">
      <c r="A90" s="824"/>
    </row>
    <row r="91" spans="1:1" x14ac:dyDescent="0.2">
      <c r="A91" s="824"/>
    </row>
    <row r="92" spans="1:1" x14ac:dyDescent="0.2">
      <c r="A92" s="824"/>
    </row>
    <row r="93" spans="1:1" x14ac:dyDescent="0.2">
      <c r="A93" s="824"/>
    </row>
    <row r="94" spans="1:1" x14ac:dyDescent="0.2">
      <c r="A94" s="824"/>
    </row>
    <row r="95" spans="1:1" x14ac:dyDescent="0.2">
      <c r="A95" s="824"/>
    </row>
    <row r="96" spans="1:1" x14ac:dyDescent="0.2">
      <c r="A96" s="824"/>
    </row>
    <row r="97" spans="1:1" x14ac:dyDescent="0.2">
      <c r="A97" s="824"/>
    </row>
    <row r="98" spans="1:1" x14ac:dyDescent="0.2">
      <c r="A98" s="824"/>
    </row>
    <row r="99" spans="1:1" x14ac:dyDescent="0.2">
      <c r="A99" s="824"/>
    </row>
    <row r="100" spans="1:1" x14ac:dyDescent="0.2">
      <c r="A100" s="824"/>
    </row>
    <row r="101" spans="1:1" x14ac:dyDescent="0.2">
      <c r="A101" s="824"/>
    </row>
    <row r="102" spans="1:1" x14ac:dyDescent="0.2">
      <c r="A102" s="824"/>
    </row>
    <row r="103" spans="1:1" x14ac:dyDescent="0.2">
      <c r="A103" s="824"/>
    </row>
    <row r="104" spans="1:1" x14ac:dyDescent="0.2">
      <c r="A104" s="824"/>
    </row>
    <row r="105" spans="1:1" x14ac:dyDescent="0.2">
      <c r="A105" s="824"/>
    </row>
    <row r="106" spans="1:1" x14ac:dyDescent="0.2">
      <c r="A106" s="824"/>
    </row>
    <row r="107" spans="1:1" x14ac:dyDescent="0.2">
      <c r="A107" s="824"/>
    </row>
    <row r="108" spans="1:1" x14ac:dyDescent="0.2">
      <c r="A108" s="824"/>
    </row>
    <row r="109" spans="1:1" x14ac:dyDescent="0.2">
      <c r="A109" s="824"/>
    </row>
    <row r="110" spans="1:1" x14ac:dyDescent="0.2">
      <c r="A110" s="824"/>
    </row>
    <row r="111" spans="1:1" x14ac:dyDescent="0.2">
      <c r="A111" s="824"/>
    </row>
    <row r="112" spans="1:1" x14ac:dyDescent="0.2">
      <c r="A112" s="824"/>
    </row>
    <row r="113" spans="1:1" x14ac:dyDescent="0.2">
      <c r="A113" s="824"/>
    </row>
    <row r="114" spans="1:1" x14ac:dyDescent="0.2">
      <c r="A114" s="824"/>
    </row>
    <row r="115" spans="1:1" x14ac:dyDescent="0.2">
      <c r="A115" s="824"/>
    </row>
    <row r="116" spans="1:1" x14ac:dyDescent="0.2">
      <c r="A116" s="824"/>
    </row>
    <row r="117" spans="1:1" x14ac:dyDescent="0.2">
      <c r="A117" s="824"/>
    </row>
    <row r="118" spans="1:1" x14ac:dyDescent="0.2">
      <c r="A118" s="824"/>
    </row>
    <row r="119" spans="1:1" x14ac:dyDescent="0.2">
      <c r="A119" s="824"/>
    </row>
    <row r="120" spans="1:1" x14ac:dyDescent="0.2">
      <c r="A120" s="824"/>
    </row>
    <row r="121" spans="1:1" x14ac:dyDescent="0.2">
      <c r="A121" s="824"/>
    </row>
    <row r="122" spans="1:1" x14ac:dyDescent="0.2">
      <c r="A122" s="824"/>
    </row>
  </sheetData>
  <mergeCells count="1">
    <mergeCell ref="A4:J4"/>
  </mergeCells>
  <printOptions horizontalCentered="1"/>
  <pageMargins left="0.25" right="0.25" top="0.5" bottom="0.5" header="0.25" footer="0.25"/>
  <pageSetup scale="71" orientation="landscape" r:id="rId1"/>
  <headerFooter alignWithMargins="0">
    <oddFooter>&amp;L&amp;"Times New Roman,Regular"&amp;12&amp;F&amp;C&amp;"Times New Roman,Regular"&amp;12Page 2 of 3&amp;R&amp;"Times New Roman,Regular"&amp;12&amp;A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K122"/>
  <sheetViews>
    <sheetView zoomScale="80" zoomScaleNormal="80" workbookViewId="0">
      <selection activeCell="E11" sqref="E11"/>
    </sheetView>
  </sheetViews>
  <sheetFormatPr defaultColWidth="9.28515625" defaultRowHeight="12.75" x14ac:dyDescent="0.2"/>
  <cols>
    <col min="1" max="1" width="5.5703125" style="242" customWidth="1"/>
    <col min="2" max="2" width="45.5703125" style="242" customWidth="1"/>
    <col min="3" max="8" width="15.5703125" style="242" customWidth="1"/>
    <col min="9" max="9" width="17.5703125" style="242" customWidth="1"/>
    <col min="10" max="10" width="40.5703125" style="242" customWidth="1"/>
    <col min="11" max="11" width="5.5703125" style="242" customWidth="1"/>
    <col min="12" max="16384" width="9.28515625" style="242"/>
  </cols>
  <sheetData>
    <row r="2" spans="1:11" ht="15.75" x14ac:dyDescent="0.2">
      <c r="A2" s="5" t="s">
        <v>162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75" x14ac:dyDescent="0.2">
      <c r="A3" s="5" t="s">
        <v>52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.75" x14ac:dyDescent="0.2">
      <c r="A4" s="977" t="str">
        <f>'Stmt BH - Page 1'!A4:J4</f>
        <v>Transmission Revenue Balancing Account Adjustment (TRBAA) Revenue Data To Reflect Present Rates per ER25-218</v>
      </c>
      <c r="B4" s="977"/>
      <c r="C4" s="977"/>
      <c r="D4" s="977"/>
      <c r="E4" s="977"/>
      <c r="F4" s="977"/>
      <c r="G4" s="977"/>
      <c r="H4" s="977"/>
      <c r="I4" s="977"/>
      <c r="J4" s="977"/>
      <c r="K4" s="977"/>
    </row>
    <row r="5" spans="1:11" ht="15.75" x14ac:dyDescent="0.2">
      <c r="A5" s="418" t="str">
        <f>'Stmt BH - Page 1'!A5</f>
        <v>Rate Effective Period - Twelve Months Ending December 31, 2026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6.5" thickBot="1" x14ac:dyDescent="0.3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5.75" x14ac:dyDescent="0.25">
      <c r="A7" s="75"/>
      <c r="B7" s="75"/>
      <c r="C7" s="571" t="s">
        <v>117</v>
      </c>
      <c r="D7" s="571" t="s">
        <v>153</v>
      </c>
      <c r="E7" s="571" t="s">
        <v>154</v>
      </c>
      <c r="F7" s="571" t="s">
        <v>155</v>
      </c>
      <c r="G7" s="571" t="s">
        <v>156</v>
      </c>
      <c r="H7" s="571" t="s">
        <v>157</v>
      </c>
      <c r="I7" s="571" t="s">
        <v>158</v>
      </c>
      <c r="J7" s="571" t="s">
        <v>158</v>
      </c>
      <c r="K7" s="75"/>
    </row>
    <row r="8" spans="1:11" ht="15.75" x14ac:dyDescent="0.25">
      <c r="A8" s="75" t="s">
        <v>8</v>
      </c>
      <c r="B8" s="75"/>
      <c r="C8" s="563">
        <f>'Stmt BH - Page 1'!C26</f>
        <v>46204</v>
      </c>
      <c r="D8" s="563">
        <f>'Stmt BH - Page 1'!D26</f>
        <v>46235</v>
      </c>
      <c r="E8" s="563">
        <f>'Stmt BH - Page 1'!E26</f>
        <v>46266</v>
      </c>
      <c r="F8" s="563">
        <f>'Stmt BH - Page 1'!F26</f>
        <v>46296</v>
      </c>
      <c r="G8" s="563">
        <f>'Stmt BH - Page 1'!G26</f>
        <v>46327</v>
      </c>
      <c r="H8" s="563">
        <f>'Stmt BH - Page 1'!H26</f>
        <v>46357</v>
      </c>
      <c r="I8" s="563" t="s">
        <v>18</v>
      </c>
      <c r="J8" s="564"/>
      <c r="K8" s="75" t="s">
        <v>8</v>
      </c>
    </row>
    <row r="9" spans="1:11" ht="16.5" thickBot="1" x14ac:dyDescent="0.3">
      <c r="A9" s="153" t="s">
        <v>11</v>
      </c>
      <c r="B9" s="153" t="s">
        <v>88</v>
      </c>
      <c r="C9" s="153" t="s">
        <v>132</v>
      </c>
      <c r="D9" s="153" t="s">
        <v>132</v>
      </c>
      <c r="E9" s="153" t="s">
        <v>132</v>
      </c>
      <c r="F9" s="153" t="s">
        <v>132</v>
      </c>
      <c r="G9" s="153" t="s">
        <v>132</v>
      </c>
      <c r="H9" s="153" t="s">
        <v>132</v>
      </c>
      <c r="I9" s="153" t="s">
        <v>132</v>
      </c>
      <c r="J9" s="153" t="s">
        <v>16</v>
      </c>
      <c r="K9" s="153" t="s">
        <v>11</v>
      </c>
    </row>
    <row r="10" spans="1:11" ht="15.75" x14ac:dyDescent="0.25">
      <c r="A10" s="10"/>
      <c r="B10" s="10"/>
      <c r="C10" s="74"/>
      <c r="D10" s="10"/>
      <c r="E10" s="10"/>
      <c r="F10" s="10"/>
      <c r="G10" s="10"/>
      <c r="H10" s="10"/>
      <c r="I10" s="10"/>
      <c r="J10" s="10"/>
      <c r="K10" s="10"/>
    </row>
    <row r="11" spans="1:11" ht="15.75" x14ac:dyDescent="0.25">
      <c r="A11" s="10">
        <v>1</v>
      </c>
      <c r="B11" s="11" t="s">
        <v>93</v>
      </c>
      <c r="C11" s="31">
        <f>'WP 1.2 Forecast Sales'!I6*1000</f>
        <v>439256672.77409267</v>
      </c>
      <c r="D11" s="31">
        <f>'WP 1.2 Forecast Sales'!J6*1000</f>
        <v>587388490.04375732</v>
      </c>
      <c r="E11" s="31">
        <f>'WP 1.2 Forecast Sales'!K6*1000</f>
        <v>663180160.79624331</v>
      </c>
      <c r="F11" s="31">
        <f>'WP 1.2 Forecast Sales'!L6*1000</f>
        <v>486365563.56523019</v>
      </c>
      <c r="G11" s="31">
        <f>'WP 1.2 Forecast Sales'!M6*1000</f>
        <v>418337107.24210709</v>
      </c>
      <c r="H11" s="31">
        <f>'WP 1.2 Forecast Sales'!N6*1000</f>
        <v>490455119.67941707</v>
      </c>
      <c r="I11" s="31">
        <f>SUM(C11:H11)+SUM('Stmt BH - Page 2'!C11:H11)</f>
        <v>5529244757.0373611</v>
      </c>
      <c r="J11" s="240" t="s">
        <v>133</v>
      </c>
      <c r="K11" s="10">
        <v>1</v>
      </c>
    </row>
    <row r="12" spans="1:11" ht="15.75" x14ac:dyDescent="0.25">
      <c r="A12" s="10">
        <f>A11+1</f>
        <v>2</v>
      </c>
      <c r="B12" s="11"/>
      <c r="C12" s="398"/>
      <c r="D12" s="398"/>
      <c r="E12" s="398"/>
      <c r="F12" s="398"/>
      <c r="G12" s="398"/>
      <c r="H12" s="398"/>
      <c r="I12" s="398"/>
      <c r="J12" s="399"/>
      <c r="K12" s="10">
        <f>K11+1</f>
        <v>2</v>
      </c>
    </row>
    <row r="13" spans="1:11" ht="15.75" x14ac:dyDescent="0.25">
      <c r="A13" s="10">
        <f t="shared" ref="A13:A25" si="0">A12+1</f>
        <v>3</v>
      </c>
      <c r="B13" s="11" t="s">
        <v>134</v>
      </c>
      <c r="C13" s="31">
        <f>'WP 1.2 Forecast Sales'!I7*1000</f>
        <v>217323569.30803531</v>
      </c>
      <c r="D13" s="31">
        <f>'WP 1.2 Forecast Sales'!J7*1000</f>
        <v>229243879.39853665</v>
      </c>
      <c r="E13" s="31">
        <f>'WP 1.2 Forecast Sales'!K7*1000</f>
        <v>239317965.71833527</v>
      </c>
      <c r="F13" s="31">
        <f>'WP 1.2 Forecast Sales'!L7*1000</f>
        <v>211348576.79099375</v>
      </c>
      <c r="G13" s="31">
        <f>'WP 1.2 Forecast Sales'!M7*1000</f>
        <v>195315561.0568178</v>
      </c>
      <c r="H13" s="31">
        <f>'WP 1.2 Forecast Sales'!N7*1000</f>
        <v>194243997.91473109</v>
      </c>
      <c r="I13" s="31">
        <f>SUM(C13:H13)+SUM('Stmt BH - Page 2'!C13:H13)</f>
        <v>2442100457.0462523</v>
      </c>
      <c r="J13" s="240" t="s">
        <v>135</v>
      </c>
      <c r="K13" s="10">
        <f t="shared" ref="K13:K25" si="1">K12+1</f>
        <v>3</v>
      </c>
    </row>
    <row r="14" spans="1:11" ht="15.75" x14ac:dyDescent="0.25">
      <c r="A14" s="10">
        <f t="shared" si="0"/>
        <v>4</v>
      </c>
      <c r="B14" s="385"/>
      <c r="C14" s="393"/>
      <c r="D14" s="393"/>
      <c r="E14" s="393"/>
      <c r="F14" s="393"/>
      <c r="G14" s="393"/>
      <c r="H14" s="393"/>
      <c r="I14" s="31"/>
      <c r="J14" s="400"/>
      <c r="K14" s="10">
        <f t="shared" si="1"/>
        <v>4</v>
      </c>
    </row>
    <row r="15" spans="1:11" ht="15.75" x14ac:dyDescent="0.25">
      <c r="A15" s="10">
        <f t="shared" si="0"/>
        <v>5</v>
      </c>
      <c r="B15" s="17" t="s">
        <v>99</v>
      </c>
      <c r="C15" s="31">
        <f>'WP 1.2 Forecast Sales'!I8*1000</f>
        <v>806489656.84811842</v>
      </c>
      <c r="D15" s="31">
        <f>'WP 1.2 Forecast Sales'!J8*1000</f>
        <v>833968518.35937226</v>
      </c>
      <c r="E15" s="31">
        <f>'WP 1.2 Forecast Sales'!K8*1000</f>
        <v>867016873.16453326</v>
      </c>
      <c r="F15" s="31">
        <f>'WP 1.2 Forecast Sales'!L8*1000</f>
        <v>796536574.47793376</v>
      </c>
      <c r="G15" s="31">
        <f>'WP 1.2 Forecast Sales'!M8*1000</f>
        <v>728103253.38593173</v>
      </c>
      <c r="H15" s="31">
        <f>'WP 1.2 Forecast Sales'!N8*1000</f>
        <v>763709820.81237149</v>
      </c>
      <c r="I15" s="31">
        <f>SUM(C15:H15)+SUM('Stmt BH - Page 2'!C15:H15)</f>
        <v>8982347254.9090309</v>
      </c>
      <c r="J15" s="240" t="s">
        <v>136</v>
      </c>
      <c r="K15" s="10">
        <f t="shared" si="1"/>
        <v>5</v>
      </c>
    </row>
    <row r="16" spans="1:11" ht="15.75" x14ac:dyDescent="0.2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31"/>
      <c r="J16" s="401"/>
      <c r="K16" s="10">
        <f t="shared" si="1"/>
        <v>6</v>
      </c>
    </row>
    <row r="17" spans="1:11" ht="15.75" x14ac:dyDescent="0.25">
      <c r="A17" s="10">
        <f t="shared" si="0"/>
        <v>7</v>
      </c>
      <c r="B17" s="11" t="s">
        <v>102</v>
      </c>
      <c r="C17" s="31">
        <f>'WP 1.2 Forecast Sales'!I10*1000</f>
        <v>17674212.425930995</v>
      </c>
      <c r="D17" s="31">
        <f>'WP 1.2 Forecast Sales'!J10*1000</f>
        <v>19350930.552889984</v>
      </c>
      <c r="E17" s="31">
        <f>'WP 1.2 Forecast Sales'!K10*1000</f>
        <v>18944800.132352281</v>
      </c>
      <c r="F17" s="31">
        <f>'WP 1.2 Forecast Sales'!L10*1000</f>
        <v>17483777.143699218</v>
      </c>
      <c r="G17" s="31">
        <f>'WP 1.2 Forecast Sales'!M10*1000</f>
        <v>14421116.292368243</v>
      </c>
      <c r="H17" s="31">
        <f>'WP 1.2 Forecast Sales'!N10*1000</f>
        <v>13285180.217291201</v>
      </c>
      <c r="I17" s="31">
        <f>SUM(C17:H17)+SUM('Stmt BH - Page 2'!C17:H17)</f>
        <v>164394714.88519129</v>
      </c>
      <c r="J17" s="240" t="s">
        <v>137</v>
      </c>
      <c r="K17" s="10">
        <f t="shared" si="1"/>
        <v>7</v>
      </c>
    </row>
    <row r="18" spans="1:11" ht="15.75" x14ac:dyDescent="0.2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31"/>
      <c r="J18" s="401"/>
      <c r="K18" s="10">
        <f t="shared" si="1"/>
        <v>8</v>
      </c>
    </row>
    <row r="19" spans="1:11" ht="15.75" x14ac:dyDescent="0.25">
      <c r="A19" s="10">
        <f t="shared" si="0"/>
        <v>9</v>
      </c>
      <c r="B19" s="11" t="s">
        <v>105</v>
      </c>
      <c r="C19" s="31">
        <f>'WP 1.2 Forecast Sales'!I11*1000</f>
        <v>21824505.864378165</v>
      </c>
      <c r="D19" s="31">
        <f>'WP 1.2 Forecast Sales'!J11*1000</f>
        <v>21947825.423344754</v>
      </c>
      <c r="E19" s="31">
        <f>'WP 1.2 Forecast Sales'!K11*1000</f>
        <v>21857831.109899174</v>
      </c>
      <c r="F19" s="31">
        <f>'WP 1.2 Forecast Sales'!L11*1000</f>
        <v>21118824.263870798</v>
      </c>
      <c r="G19" s="31">
        <f>'WP 1.2 Forecast Sales'!M11*1000</f>
        <v>19755426.797113776</v>
      </c>
      <c r="H19" s="31">
        <f>'WP 1.2 Forecast Sales'!N11*1000</f>
        <v>18182715.474677801</v>
      </c>
      <c r="I19" s="31">
        <f>SUM(C19:H19)+SUM('Stmt BH - Page 2'!C19:H19)</f>
        <v>226880081.9751851</v>
      </c>
      <c r="J19" s="240" t="s">
        <v>138</v>
      </c>
      <c r="K19" s="10">
        <f t="shared" si="1"/>
        <v>9</v>
      </c>
    </row>
    <row r="20" spans="1:11" ht="15.75" x14ac:dyDescent="0.2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31"/>
      <c r="J20" s="401"/>
      <c r="K20" s="10">
        <f t="shared" si="1"/>
        <v>10</v>
      </c>
    </row>
    <row r="21" spans="1:11" ht="15.75" x14ac:dyDescent="0.25">
      <c r="A21" s="10">
        <f t="shared" si="0"/>
        <v>11</v>
      </c>
      <c r="B21" s="11" t="s">
        <v>139</v>
      </c>
      <c r="C21" s="38">
        <f>'WP 1.2 Forecast Sales'!I12*1000</f>
        <v>6678722.3135911068</v>
      </c>
      <c r="D21" s="38">
        <f>'WP 1.2 Forecast Sales'!J12*1000</f>
        <v>6838779.9659992624</v>
      </c>
      <c r="E21" s="38">
        <f>'WP 1.2 Forecast Sales'!K12*1000</f>
        <v>6753591.5071859909</v>
      </c>
      <c r="F21" s="38">
        <f>'WP 1.2 Forecast Sales'!L12*1000</f>
        <v>6782648.6053437786</v>
      </c>
      <c r="G21" s="38">
        <f>'WP 1.2 Forecast Sales'!M12*1000</f>
        <v>7119936.6196114337</v>
      </c>
      <c r="H21" s="38">
        <f>'WP 1.2 Forecast Sales'!N12*1000</f>
        <v>7138909.4377961857</v>
      </c>
      <c r="I21" s="38">
        <f>SUM(C21:H21)+SUM('Stmt BH - Page 2'!C21:H21)</f>
        <v>82252759.895366594</v>
      </c>
      <c r="J21" s="240" t="s">
        <v>140</v>
      </c>
      <c r="K21" s="10">
        <f t="shared" si="1"/>
        <v>11</v>
      </c>
    </row>
    <row r="22" spans="1:11" ht="15.75" x14ac:dyDescent="0.2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31"/>
      <c r="J22" s="31"/>
      <c r="K22" s="10">
        <f t="shared" si="1"/>
        <v>12</v>
      </c>
    </row>
    <row r="23" spans="1:11" ht="16.5" thickBot="1" x14ac:dyDescent="0.3">
      <c r="A23" s="10">
        <f t="shared" si="0"/>
        <v>13</v>
      </c>
      <c r="B23" s="11" t="s">
        <v>124</v>
      </c>
      <c r="C23" s="474">
        <f>SUM(C11:C21)</f>
        <v>1509247339.5341465</v>
      </c>
      <c r="D23" s="474">
        <f t="shared" ref="D23:I23" si="2">SUM(D11:D21)</f>
        <v>1698738423.7439005</v>
      </c>
      <c r="E23" s="474">
        <f t="shared" si="2"/>
        <v>1817071222.4285495</v>
      </c>
      <c r="F23" s="474">
        <f t="shared" si="2"/>
        <v>1539635964.8470714</v>
      </c>
      <c r="G23" s="474">
        <f t="shared" si="2"/>
        <v>1383052401.3939502</v>
      </c>
      <c r="H23" s="474">
        <f t="shared" si="2"/>
        <v>1487015743.5362847</v>
      </c>
      <c r="I23" s="474">
        <f t="shared" si="2"/>
        <v>17427220025.748386</v>
      </c>
      <c r="J23" s="404" t="s">
        <v>141</v>
      </c>
      <c r="K23" s="10">
        <f t="shared" si="1"/>
        <v>13</v>
      </c>
    </row>
    <row r="24" spans="1:11" ht="17.25" thickTop="1" thickBot="1" x14ac:dyDescent="0.3">
      <c r="A24" s="57">
        <f t="shared" si="0"/>
        <v>14</v>
      </c>
      <c r="B24" s="419"/>
      <c r="C24" s="823"/>
      <c r="D24" s="58"/>
      <c r="E24" s="58"/>
      <c r="F24" s="58"/>
      <c r="G24" s="58"/>
      <c r="H24" s="58"/>
      <c r="I24" s="58"/>
      <c r="J24" s="58"/>
      <c r="K24" s="57">
        <f t="shared" si="1"/>
        <v>14</v>
      </c>
    </row>
    <row r="25" spans="1:11" ht="15.75" x14ac:dyDescent="0.25">
      <c r="A25" s="10">
        <f t="shared" si="0"/>
        <v>15</v>
      </c>
      <c r="B25" s="420"/>
      <c r="C25" s="408"/>
      <c r="D25" s="408"/>
      <c r="E25" s="408"/>
      <c r="F25" s="408"/>
      <c r="G25" s="408"/>
      <c r="H25" s="408"/>
      <c r="I25" s="17"/>
      <c r="J25" s="17"/>
      <c r="K25" s="10">
        <f t="shared" si="1"/>
        <v>15</v>
      </c>
    </row>
    <row r="26" spans="1:11" ht="16.5" thickBot="1" x14ac:dyDescent="0.3">
      <c r="A26" s="57">
        <f>A25+1</f>
        <v>16</v>
      </c>
      <c r="B26" s="419"/>
      <c r="C26" s="57" t="s">
        <v>142</v>
      </c>
      <c r="D26" s="57" t="s">
        <v>142</v>
      </c>
      <c r="E26" s="57" t="s">
        <v>142</v>
      </c>
      <c r="F26" s="57" t="s">
        <v>142</v>
      </c>
      <c r="G26" s="57" t="s">
        <v>142</v>
      </c>
      <c r="H26" s="57" t="s">
        <v>142</v>
      </c>
      <c r="I26" s="57"/>
      <c r="J26" s="57"/>
      <c r="K26" s="57">
        <f>K25+1</f>
        <v>16</v>
      </c>
    </row>
    <row r="27" spans="1:11" ht="15.75" x14ac:dyDescent="0.25">
      <c r="A27" s="9">
        <f>A26+1</f>
        <v>17</v>
      </c>
      <c r="B27" s="8"/>
      <c r="C27" s="75"/>
      <c r="D27" s="9"/>
      <c r="E27" s="9"/>
      <c r="F27" s="9"/>
      <c r="G27" s="9"/>
      <c r="H27" s="9"/>
      <c r="I27" s="9"/>
      <c r="J27" s="409" t="str">
        <f>'Stmt BH - Page 2'!I27</f>
        <v>Statement BL (Retail); Page 1; Line 27</v>
      </c>
      <c r="K27" s="9">
        <f>K26+1</f>
        <v>17</v>
      </c>
    </row>
    <row r="28" spans="1:11" ht="15.75" x14ac:dyDescent="0.25">
      <c r="A28" s="10">
        <f>A27+1</f>
        <v>18</v>
      </c>
      <c r="B28" s="11" t="str">
        <f>'Stmt BH - Page 2'!B28</f>
        <v>Retail TRBAA Rate ($/kWh) @ Present Rate</v>
      </c>
      <c r="C28" s="384">
        <f>'Stmt BH - Page 2'!C28</f>
        <v>-2.4499999999999999E-3</v>
      </c>
      <c r="D28" s="384">
        <f>$C28</f>
        <v>-2.4499999999999999E-3</v>
      </c>
      <c r="E28" s="384">
        <f>$C28</f>
        <v>-2.4499999999999999E-3</v>
      </c>
      <c r="F28" s="384">
        <f>$C28</f>
        <v>-2.4499999999999999E-3</v>
      </c>
      <c r="G28" s="384">
        <f>$C28</f>
        <v>-2.4499999999999999E-3</v>
      </c>
      <c r="H28" s="384">
        <f>$C28</f>
        <v>-2.4499999999999999E-3</v>
      </c>
      <c r="I28" s="31"/>
      <c r="J28" s="399" t="str">
        <f>'Stmt BH - Page 2'!I28</f>
        <v>FERC Docket No. ER25-218-000</v>
      </c>
      <c r="K28" s="10">
        <f>K27+1</f>
        <v>18</v>
      </c>
    </row>
    <row r="29" spans="1:11" ht="16.5" thickBot="1" x14ac:dyDescent="0.3">
      <c r="A29" s="57">
        <f>A28+1</f>
        <v>19</v>
      </c>
      <c r="B29" s="419"/>
      <c r="C29" s="58"/>
      <c r="D29" s="58"/>
      <c r="E29" s="58"/>
      <c r="F29" s="58"/>
      <c r="G29" s="58"/>
      <c r="H29" s="58"/>
      <c r="I29" s="58"/>
      <c r="J29" s="410"/>
      <c r="K29" s="57">
        <f>K28+1</f>
        <v>19</v>
      </c>
    </row>
    <row r="30" spans="1:11" ht="15.75" x14ac:dyDescent="0.25">
      <c r="A30" s="10">
        <f t="shared" ref="A30:A45" si="3">A29+1</f>
        <v>20</v>
      </c>
      <c r="B30" s="11"/>
      <c r="C30" s="247"/>
      <c r="D30" s="247"/>
      <c r="E30" s="247"/>
      <c r="F30" s="247"/>
      <c r="G30" s="247"/>
      <c r="H30" s="247"/>
      <c r="I30" s="31"/>
      <c r="J30" s="17"/>
      <c r="K30" s="10">
        <f t="shared" ref="K30:K45" si="4">K29+1</f>
        <v>20</v>
      </c>
    </row>
    <row r="31" spans="1:11" ht="34.5" customHeight="1" thickBot="1" x14ac:dyDescent="0.3">
      <c r="A31" s="57">
        <f t="shared" si="3"/>
        <v>21</v>
      </c>
      <c r="B31" s="419"/>
      <c r="C31" s="411" t="s">
        <v>170</v>
      </c>
      <c r="D31" s="411" t="s">
        <v>170</v>
      </c>
      <c r="E31" s="411" t="s">
        <v>170</v>
      </c>
      <c r="F31" s="411" t="s">
        <v>170</v>
      </c>
      <c r="G31" s="411" t="s">
        <v>170</v>
      </c>
      <c r="H31" s="411" t="s">
        <v>170</v>
      </c>
      <c r="I31" s="411" t="s">
        <v>170</v>
      </c>
      <c r="J31" s="57"/>
      <c r="K31" s="57">
        <f t="shared" si="4"/>
        <v>21</v>
      </c>
    </row>
    <row r="32" spans="1:11" ht="15.75" x14ac:dyDescent="0.25">
      <c r="A32" s="10">
        <f t="shared" si="3"/>
        <v>22</v>
      </c>
      <c r="B32" s="11"/>
      <c r="C32" s="10"/>
      <c r="D32" s="10"/>
      <c r="E32" s="10"/>
      <c r="F32" s="10"/>
      <c r="G32" s="10"/>
      <c r="H32" s="10"/>
      <c r="I32" s="10"/>
      <c r="J32" s="74"/>
      <c r="K32" s="10">
        <f t="shared" si="4"/>
        <v>22</v>
      </c>
    </row>
    <row r="33" spans="1:11" ht="15.75" x14ac:dyDescent="0.25">
      <c r="A33" s="10">
        <f t="shared" si="3"/>
        <v>23</v>
      </c>
      <c r="B33" s="11" t="s">
        <v>93</v>
      </c>
      <c r="C33" s="141">
        <f>C11*C$28</f>
        <v>-1076178.8482965271</v>
      </c>
      <c r="D33" s="141">
        <f t="shared" ref="D33:H33" si="5">D11*D$28</f>
        <v>-1439101.8006072054</v>
      </c>
      <c r="E33" s="141">
        <f t="shared" si="5"/>
        <v>-1624791.393950796</v>
      </c>
      <c r="F33" s="141">
        <f t="shared" si="5"/>
        <v>-1191595.6307348139</v>
      </c>
      <c r="G33" s="141">
        <f t="shared" si="5"/>
        <v>-1024925.9127431624</v>
      </c>
      <c r="H33" s="141">
        <f t="shared" si="5"/>
        <v>-1201615.0432145719</v>
      </c>
      <c r="I33" s="141">
        <f>SUM('Stmt BH - Page 2'!C33:H33)+SUM('Stmt BH - Page 3'!C33:H33)</f>
        <v>-13546649.654741533</v>
      </c>
      <c r="J33" s="26" t="s">
        <v>146</v>
      </c>
      <c r="K33" s="10">
        <f t="shared" si="4"/>
        <v>23</v>
      </c>
    </row>
    <row r="34" spans="1:11" ht="15.75" x14ac:dyDescent="0.25">
      <c r="A34" s="10">
        <f t="shared" si="3"/>
        <v>24</v>
      </c>
      <c r="B34" s="11"/>
      <c r="C34" s="398"/>
      <c r="D34" s="398"/>
      <c r="E34" s="398"/>
      <c r="F34" s="398"/>
      <c r="G34" s="398"/>
      <c r="H34" s="398"/>
      <c r="I34" s="398"/>
      <c r="J34" s="404"/>
      <c r="K34" s="10">
        <f t="shared" si="4"/>
        <v>24</v>
      </c>
    </row>
    <row r="35" spans="1:11" ht="15.75" x14ac:dyDescent="0.25">
      <c r="A35" s="10">
        <f t="shared" si="3"/>
        <v>25</v>
      </c>
      <c r="B35" s="11" t="s">
        <v>134</v>
      </c>
      <c r="C35" s="44">
        <f>C13*C$28</f>
        <v>-532442.74480468652</v>
      </c>
      <c r="D35" s="44">
        <f t="shared" ref="D35:H35" si="6">D13*D$28</f>
        <v>-561647.50452641479</v>
      </c>
      <c r="E35" s="44">
        <f t="shared" si="6"/>
        <v>-586329.01600992144</v>
      </c>
      <c r="F35" s="44">
        <f t="shared" si="6"/>
        <v>-517804.01313793467</v>
      </c>
      <c r="G35" s="44">
        <f t="shared" si="6"/>
        <v>-478523.12458920357</v>
      </c>
      <c r="H35" s="44">
        <f t="shared" si="6"/>
        <v>-475897.79489109112</v>
      </c>
      <c r="I35" s="44">
        <f>SUM('Stmt BH - Page 2'!C35:H35)+SUM('Stmt BH - Page 3'!C35:H35)</f>
        <v>-5983146.1197633184</v>
      </c>
      <c r="J35" s="26" t="s">
        <v>147</v>
      </c>
      <c r="K35" s="10">
        <f t="shared" si="4"/>
        <v>25</v>
      </c>
    </row>
    <row r="36" spans="1:11" ht="15.75" x14ac:dyDescent="0.25">
      <c r="A36" s="10">
        <f t="shared" si="3"/>
        <v>26</v>
      </c>
      <c r="B36" s="385"/>
      <c r="C36" s="393"/>
      <c r="D36" s="393"/>
      <c r="E36" s="393"/>
      <c r="F36" s="393"/>
      <c r="G36" s="393"/>
      <c r="H36" s="393"/>
      <c r="I36" s="44"/>
      <c r="J36" s="26"/>
      <c r="K36" s="10">
        <f t="shared" si="4"/>
        <v>26</v>
      </c>
    </row>
    <row r="37" spans="1:11" ht="15.75" x14ac:dyDescent="0.25">
      <c r="A37" s="10">
        <f t="shared" si="3"/>
        <v>27</v>
      </c>
      <c r="B37" s="17" t="s">
        <v>99</v>
      </c>
      <c r="C37" s="44">
        <f>C15*C$28</f>
        <v>-1975899.6592778901</v>
      </c>
      <c r="D37" s="44">
        <f t="shared" ref="D37:H37" si="7">D15*D$28</f>
        <v>-2043222.8699804619</v>
      </c>
      <c r="E37" s="44">
        <f t="shared" si="7"/>
        <v>-2124191.3392531066</v>
      </c>
      <c r="F37" s="44">
        <f t="shared" si="7"/>
        <v>-1951514.6074709378</v>
      </c>
      <c r="G37" s="44">
        <f t="shared" si="7"/>
        <v>-1783852.9707955327</v>
      </c>
      <c r="H37" s="44">
        <f t="shared" si="7"/>
        <v>-1871089.06099031</v>
      </c>
      <c r="I37" s="44">
        <f>SUM('Stmt BH - Page 2'!C37:H37)+SUM('Stmt BH - Page 3'!C37:H37)</f>
        <v>-22006750.774527125</v>
      </c>
      <c r="J37" s="26" t="s">
        <v>148</v>
      </c>
      <c r="K37" s="10">
        <f t="shared" si="4"/>
        <v>27</v>
      </c>
    </row>
    <row r="38" spans="1:11" ht="15.75" x14ac:dyDescent="0.25">
      <c r="A38" s="10">
        <f t="shared" si="3"/>
        <v>28</v>
      </c>
      <c r="B38" s="11"/>
      <c r="C38" s="44"/>
      <c r="D38" s="44"/>
      <c r="E38" s="44"/>
      <c r="F38" s="44"/>
      <c r="G38" s="44"/>
      <c r="H38" s="44"/>
      <c r="I38" s="44"/>
      <c r="J38" s="26"/>
      <c r="K38" s="10">
        <f t="shared" si="4"/>
        <v>28</v>
      </c>
    </row>
    <row r="39" spans="1:11" ht="15.75" x14ac:dyDescent="0.25">
      <c r="A39" s="10">
        <f t="shared" si="3"/>
        <v>29</v>
      </c>
      <c r="B39" s="11" t="s">
        <v>102</v>
      </c>
      <c r="C39" s="44">
        <f>C17*C$28</f>
        <v>-43301.820443530938</v>
      </c>
      <c r="D39" s="44">
        <f t="shared" ref="D39:H39" si="8">D17*D$28</f>
        <v>-47409.779854580462</v>
      </c>
      <c r="E39" s="44">
        <f t="shared" si="8"/>
        <v>-46414.760324263087</v>
      </c>
      <c r="F39" s="44">
        <f t="shared" si="8"/>
        <v>-42835.254002063084</v>
      </c>
      <c r="G39" s="44">
        <f t="shared" si="8"/>
        <v>-35331.734916302194</v>
      </c>
      <c r="H39" s="44">
        <f t="shared" si="8"/>
        <v>-32548.691532363438</v>
      </c>
      <c r="I39" s="44">
        <f>SUM('Stmt BH - Page 2'!C39:H39)+SUM('Stmt BH - Page 3'!C39:H39)</f>
        <v>-402767.05146871868</v>
      </c>
      <c r="J39" s="26" t="s">
        <v>149</v>
      </c>
      <c r="K39" s="10">
        <f t="shared" si="4"/>
        <v>29</v>
      </c>
    </row>
    <row r="40" spans="1:11" ht="15.75" x14ac:dyDescent="0.25">
      <c r="A40" s="10">
        <f t="shared" si="3"/>
        <v>30</v>
      </c>
      <c r="B40" s="11"/>
      <c r="C40" s="44"/>
      <c r="D40" s="44"/>
      <c r="E40" s="44"/>
      <c r="F40" s="44"/>
      <c r="G40" s="44"/>
      <c r="H40" s="44"/>
      <c r="I40" s="44"/>
      <c r="J40" s="26"/>
      <c r="K40" s="10">
        <f t="shared" si="4"/>
        <v>30</v>
      </c>
    </row>
    <row r="41" spans="1:11" ht="15.75" x14ac:dyDescent="0.25">
      <c r="A41" s="10">
        <f t="shared" si="3"/>
        <v>31</v>
      </c>
      <c r="B41" s="11" t="s">
        <v>105</v>
      </c>
      <c r="C41" s="44">
        <f>C19*C$28</f>
        <v>-53470.039367726502</v>
      </c>
      <c r="D41" s="44">
        <f t="shared" ref="D41:H41" si="9">D19*D$28</f>
        <v>-53772.172287194648</v>
      </c>
      <c r="E41" s="44">
        <f t="shared" si="9"/>
        <v>-53551.686219252973</v>
      </c>
      <c r="F41" s="44">
        <f t="shared" si="9"/>
        <v>-51741.119446483455</v>
      </c>
      <c r="G41" s="44">
        <f t="shared" si="9"/>
        <v>-48400.795652928748</v>
      </c>
      <c r="H41" s="44">
        <f t="shared" si="9"/>
        <v>-44547.652912960613</v>
      </c>
      <c r="I41" s="44">
        <f>SUM('Stmt BH - Page 2'!C41:H41)+SUM('Stmt BH - Page 3'!C41:H41)</f>
        <v>-555856.20083920355</v>
      </c>
      <c r="J41" s="26" t="s">
        <v>150</v>
      </c>
      <c r="K41" s="10">
        <f t="shared" si="4"/>
        <v>31</v>
      </c>
    </row>
    <row r="42" spans="1:11" ht="15.75" x14ac:dyDescent="0.25">
      <c r="A42" s="10">
        <f t="shared" si="3"/>
        <v>32</v>
      </c>
      <c r="B42" s="11"/>
      <c r="C42" s="44"/>
      <c r="D42" s="44"/>
      <c r="E42" s="44"/>
      <c r="F42" s="44"/>
      <c r="G42" s="44"/>
      <c r="H42" s="44"/>
      <c r="I42" s="44"/>
      <c r="J42" s="26"/>
      <c r="K42" s="10">
        <f t="shared" si="4"/>
        <v>32</v>
      </c>
    </row>
    <row r="43" spans="1:11" ht="15.75" x14ac:dyDescent="0.25">
      <c r="A43" s="10">
        <f t="shared" si="3"/>
        <v>33</v>
      </c>
      <c r="B43" s="11" t="s">
        <v>139</v>
      </c>
      <c r="C43" s="51">
        <f>C21*C$28</f>
        <v>-16362.869668298212</v>
      </c>
      <c r="D43" s="51">
        <f t="shared" ref="D43:H43" si="10">D21*D$28</f>
        <v>-16755.010916698193</v>
      </c>
      <c r="E43" s="51">
        <f t="shared" si="10"/>
        <v>-16546.299192605678</v>
      </c>
      <c r="F43" s="51">
        <f t="shared" si="10"/>
        <v>-16617.489083092256</v>
      </c>
      <c r="G43" s="51">
        <f t="shared" si="10"/>
        <v>-17443.844718048011</v>
      </c>
      <c r="H43" s="51">
        <f t="shared" si="10"/>
        <v>-17490.328122600655</v>
      </c>
      <c r="I43" s="44">
        <f>SUM('Stmt BH - Page 2'!C43:H43)+SUM('Stmt BH - Page 3'!C43:H43)</f>
        <v>-201519.26174364815</v>
      </c>
      <c r="J43" s="26" t="s">
        <v>151</v>
      </c>
      <c r="K43" s="10">
        <f t="shared" si="4"/>
        <v>33</v>
      </c>
    </row>
    <row r="44" spans="1:11" ht="15.75" x14ac:dyDescent="0.25">
      <c r="A44" s="10">
        <f t="shared" si="3"/>
        <v>34</v>
      </c>
      <c r="B44" s="11"/>
      <c r="C44" s="138"/>
      <c r="D44" s="138"/>
      <c r="E44" s="138"/>
      <c r="F44" s="138"/>
      <c r="G44" s="138"/>
      <c r="H44" s="138"/>
      <c r="I44" s="138"/>
      <c r="J44" s="26"/>
      <c r="K44" s="10">
        <f t="shared" si="4"/>
        <v>34</v>
      </c>
    </row>
    <row r="45" spans="1:11" ht="16.5" thickBot="1" x14ac:dyDescent="0.3">
      <c r="A45" s="10">
        <f t="shared" si="3"/>
        <v>35</v>
      </c>
      <c r="B45" s="11" t="s">
        <v>124</v>
      </c>
      <c r="C45" s="394">
        <f>SUM(C33:C43)</f>
        <v>-3697655.9818586595</v>
      </c>
      <c r="D45" s="394">
        <f t="shared" ref="D45:I45" si="11">SUM(D33:D43)</f>
        <v>-4161909.1381725552</v>
      </c>
      <c r="E45" s="394">
        <f t="shared" si="11"/>
        <v>-4451824.4949499452</v>
      </c>
      <c r="F45" s="394">
        <f t="shared" si="11"/>
        <v>-3772108.1138753248</v>
      </c>
      <c r="G45" s="394">
        <f t="shared" si="11"/>
        <v>-3388478.3834151779</v>
      </c>
      <c r="H45" s="394">
        <f t="shared" si="11"/>
        <v>-3643188.5716638975</v>
      </c>
      <c r="I45" s="394">
        <f t="shared" si="11"/>
        <v>-42696689.063083544</v>
      </c>
      <c r="J45" s="405" t="s">
        <v>152</v>
      </c>
      <c r="K45" s="10">
        <f t="shared" si="4"/>
        <v>35</v>
      </c>
    </row>
    <row r="46" spans="1:11" ht="17.25" thickTop="1" thickBot="1" x14ac:dyDescent="0.3">
      <c r="A46" s="57"/>
      <c r="B46" s="81"/>
      <c r="C46" s="823"/>
      <c r="D46" s="58"/>
      <c r="E46" s="58"/>
      <c r="F46" s="58"/>
      <c r="G46" s="58"/>
      <c r="H46" s="58"/>
      <c r="I46" s="58"/>
      <c r="J46" s="58"/>
      <c r="K46" s="57"/>
    </row>
    <row r="47" spans="1:11" ht="15.75" x14ac:dyDescent="0.25">
      <c r="A47" s="37"/>
      <c r="B47" s="390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8.75" x14ac:dyDescent="0.25">
      <c r="A48" s="69"/>
      <c r="B48" s="22"/>
      <c r="C48" s="397"/>
      <c r="D48" s="22"/>
      <c r="E48" s="22"/>
      <c r="F48" s="22"/>
      <c r="G48" s="22"/>
      <c r="H48" s="22"/>
      <c r="I48" s="22"/>
      <c r="J48" s="22"/>
      <c r="K48" s="22"/>
    </row>
    <row r="49" spans="1:11" ht="15.75" x14ac:dyDescent="0.25">
      <c r="A49" s="824"/>
      <c r="B49" s="22"/>
      <c r="D49" s="22"/>
      <c r="E49" s="22"/>
      <c r="F49" s="22"/>
      <c r="G49" s="22"/>
      <c r="H49" s="22"/>
      <c r="I49" s="22"/>
      <c r="J49" s="22"/>
      <c r="K49" s="22"/>
    </row>
    <row r="50" spans="1:11" ht="15.75" x14ac:dyDescent="0.25">
      <c r="A50" s="824"/>
      <c r="B50" s="22"/>
      <c r="C50" s="825"/>
      <c r="D50" s="22"/>
      <c r="E50" s="22"/>
      <c r="F50" s="22"/>
      <c r="G50" s="22"/>
      <c r="H50" s="22"/>
      <c r="I50" s="22"/>
      <c r="J50" s="22"/>
      <c r="K50" s="22"/>
    </row>
    <row r="51" spans="1:11" ht="15.75" x14ac:dyDescent="0.25">
      <c r="A51" s="824"/>
      <c r="D51" s="22"/>
      <c r="E51" s="22"/>
      <c r="F51" s="22"/>
      <c r="G51" s="22"/>
      <c r="H51" s="22"/>
      <c r="I51" s="22"/>
      <c r="J51" s="22"/>
      <c r="K51" s="22"/>
    </row>
    <row r="52" spans="1:11" ht="15.75" x14ac:dyDescent="0.25">
      <c r="A52" s="37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5.75" x14ac:dyDescent="0.25">
      <c r="A53" s="37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5.75" x14ac:dyDescent="0.25">
      <c r="A54" s="37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5.75" x14ac:dyDescent="0.25">
      <c r="A55" s="37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5.75" x14ac:dyDescent="0.25">
      <c r="A56" s="37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5.75" x14ac:dyDescent="0.25">
      <c r="A57" s="37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5.75" x14ac:dyDescent="0.25">
      <c r="A58" s="37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5.75" x14ac:dyDescent="0.25">
      <c r="A59" s="37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5.75" x14ac:dyDescent="0.25">
      <c r="A60" s="37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5.75" x14ac:dyDescent="0.25">
      <c r="A61" s="37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5.75" x14ac:dyDescent="0.25">
      <c r="A62" s="37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5.75" x14ac:dyDescent="0.25">
      <c r="A63" s="37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5.75" x14ac:dyDescent="0.25">
      <c r="A64" s="37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5.75" x14ac:dyDescent="0.25">
      <c r="A65" s="37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5.75" x14ac:dyDescent="0.25">
      <c r="A66" s="37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5.75" x14ac:dyDescent="0.25">
      <c r="A67" s="37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5.75" x14ac:dyDescent="0.25">
      <c r="A68" s="37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5.75" x14ac:dyDescent="0.25">
      <c r="A69" s="37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5.75" x14ac:dyDescent="0.25">
      <c r="A70" s="37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5.75" x14ac:dyDescent="0.25">
      <c r="A71" s="37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5.75" x14ac:dyDescent="0.25">
      <c r="A72" s="37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5.75" x14ac:dyDescent="0.25">
      <c r="A73" s="37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5.75" x14ac:dyDescent="0.25">
      <c r="A74" s="37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5.75" x14ac:dyDescent="0.25">
      <c r="A75" s="37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5.75" x14ac:dyDescent="0.25">
      <c r="A76" s="37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5.75" x14ac:dyDescent="0.25">
      <c r="A77" s="37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5.75" x14ac:dyDescent="0.25">
      <c r="A78" s="37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5.75" x14ac:dyDescent="0.25">
      <c r="A79" s="37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5.75" x14ac:dyDescent="0.25">
      <c r="A80" s="37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5.75" x14ac:dyDescent="0.25">
      <c r="A81" s="37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5.75" x14ac:dyDescent="0.25">
      <c r="A82" s="37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5.75" x14ac:dyDescent="0.25">
      <c r="A83" s="37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5.75" x14ac:dyDescent="0.25">
      <c r="A84" s="37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5.75" x14ac:dyDescent="0.25">
      <c r="A85" s="37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5.75" x14ac:dyDescent="0.25">
      <c r="A86" s="37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5.75" x14ac:dyDescent="0.25">
      <c r="A87" s="37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5.75" x14ac:dyDescent="0.25">
      <c r="A88" s="37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5.75" x14ac:dyDescent="0.25">
      <c r="A89" s="37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5.75" x14ac:dyDescent="0.25">
      <c r="A90" s="37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5.75" x14ac:dyDescent="0.25">
      <c r="A91" s="37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5.75" x14ac:dyDescent="0.25">
      <c r="A92" s="37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5.75" x14ac:dyDescent="0.25">
      <c r="A93" s="37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5.75" x14ac:dyDescent="0.25">
      <c r="A94" s="37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5.75" x14ac:dyDescent="0.25">
      <c r="A95" s="37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5.75" x14ac:dyDescent="0.25">
      <c r="A96" s="37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5.75" x14ac:dyDescent="0.25">
      <c r="A97" s="37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5.75" x14ac:dyDescent="0.25">
      <c r="A98" s="37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5.75" x14ac:dyDescent="0.25">
      <c r="A99" s="37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5.75" x14ac:dyDescent="0.25">
      <c r="A100" s="37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ht="15.75" x14ac:dyDescent="0.25">
      <c r="A101" s="37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ht="15.75" x14ac:dyDescent="0.25">
      <c r="A102" s="37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ht="15.75" x14ac:dyDescent="0.25">
      <c r="A103" s="37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ht="15.75" x14ac:dyDescent="0.25">
      <c r="A104" s="37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ht="15.75" x14ac:dyDescent="0.25">
      <c r="A105" s="37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ht="15.75" x14ac:dyDescent="0.25">
      <c r="A106" s="37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ht="15.75" x14ac:dyDescent="0.25">
      <c r="A107" s="37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ht="15.75" x14ac:dyDescent="0.25">
      <c r="A108" s="37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ht="15.75" x14ac:dyDescent="0.25">
      <c r="A109" s="37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ht="15.75" x14ac:dyDescent="0.25">
      <c r="A110" s="37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ht="15.75" x14ac:dyDescent="0.25">
      <c r="A111" s="37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2">
      <c r="A112" s="824"/>
    </row>
    <row r="113" spans="1:1" x14ac:dyDescent="0.2">
      <c r="A113" s="824"/>
    </row>
    <row r="114" spans="1:1" x14ac:dyDescent="0.2">
      <c r="A114" s="824"/>
    </row>
    <row r="115" spans="1:1" x14ac:dyDescent="0.2">
      <c r="A115" s="824"/>
    </row>
    <row r="116" spans="1:1" x14ac:dyDescent="0.2">
      <c r="A116" s="824"/>
    </row>
    <row r="117" spans="1:1" x14ac:dyDescent="0.2">
      <c r="A117" s="824"/>
    </row>
    <row r="118" spans="1:1" x14ac:dyDescent="0.2">
      <c r="A118" s="824"/>
    </row>
    <row r="119" spans="1:1" x14ac:dyDescent="0.2">
      <c r="A119" s="824"/>
    </row>
    <row r="120" spans="1:1" x14ac:dyDescent="0.2">
      <c r="A120" s="824"/>
    </row>
    <row r="121" spans="1:1" x14ac:dyDescent="0.2">
      <c r="A121" s="824"/>
    </row>
    <row r="122" spans="1:1" x14ac:dyDescent="0.2">
      <c r="A122" s="824"/>
    </row>
  </sheetData>
  <mergeCells count="1">
    <mergeCell ref="A4:K4"/>
  </mergeCells>
  <printOptions horizontalCentered="1"/>
  <pageMargins left="0.25" right="0.25" top="0.5" bottom="0.5" header="0.25" footer="0.25"/>
  <pageSetup scale="64" orientation="landscape" r:id="rId1"/>
  <headerFooter alignWithMargins="0">
    <oddFooter>&amp;L&amp;"Times New Roman,Regular"&amp;12&amp;F&amp;C&amp;"Times New Roman,Regular"&amp;12Page 3 of 3&amp;R&amp;"Times New Roman,Regular"&amp;12&amp;A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E34"/>
  <sheetViews>
    <sheetView zoomScale="80" zoomScaleNormal="80" workbookViewId="0">
      <selection activeCell="C32" sqref="C32"/>
    </sheetView>
  </sheetViews>
  <sheetFormatPr defaultColWidth="8.5703125" defaultRowHeight="12.75" x14ac:dyDescent="0.2"/>
  <cols>
    <col min="1" max="1" width="5.5703125" style="1" customWidth="1"/>
    <col min="2" max="2" width="55.5703125" style="2" customWidth="1"/>
    <col min="3" max="3" width="20.5703125" style="2" customWidth="1"/>
    <col min="4" max="4" width="40.5703125" style="1" customWidth="1"/>
    <col min="5" max="5" width="5.5703125" style="1" customWidth="1"/>
    <col min="6" max="7" width="15.5703125" style="1" customWidth="1"/>
    <col min="8" max="16384" width="8.5703125" style="1"/>
  </cols>
  <sheetData>
    <row r="2" spans="1:5" ht="15.75" x14ac:dyDescent="0.2">
      <c r="B2" s="5" t="s">
        <v>171</v>
      </c>
      <c r="C2" s="5"/>
      <c r="D2" s="6"/>
    </row>
    <row r="3" spans="1:5" ht="15.75" x14ac:dyDescent="0.2">
      <c r="B3" s="5" t="s">
        <v>1</v>
      </c>
      <c r="C3" s="5"/>
      <c r="D3" s="6"/>
    </row>
    <row r="4" spans="1:5" ht="15.75" x14ac:dyDescent="0.2">
      <c r="B4" s="5" t="str">
        <f>'Stmnt BD - Recorded KWH'!A4</f>
        <v>2026 - TRBAA Rate Filing</v>
      </c>
      <c r="C4" s="5"/>
      <c r="D4" s="6"/>
    </row>
    <row r="5" spans="1:5" ht="18.600000000000001" customHeight="1" x14ac:dyDescent="0.2">
      <c r="B5" s="5" t="s">
        <v>172</v>
      </c>
      <c r="C5" s="5"/>
      <c r="D5" s="6"/>
    </row>
    <row r="6" spans="1:5" ht="16.5" thickBot="1" x14ac:dyDescent="0.25">
      <c r="A6" s="55"/>
      <c r="B6" s="577"/>
      <c r="C6" s="577"/>
      <c r="D6" s="578"/>
      <c r="E6" s="55"/>
    </row>
    <row r="7" spans="1:5" ht="15.75" x14ac:dyDescent="0.25">
      <c r="A7" s="547" t="s">
        <v>8</v>
      </c>
      <c r="B7" s="75"/>
      <c r="C7" s="574" t="s">
        <v>18</v>
      </c>
      <c r="D7" s="33"/>
      <c r="E7" s="548" t="s">
        <v>8</v>
      </c>
    </row>
    <row r="8" spans="1:5" ht="16.5" thickBot="1" x14ac:dyDescent="0.3">
      <c r="A8" s="565" t="s">
        <v>11</v>
      </c>
      <c r="B8" s="153" t="s">
        <v>173</v>
      </c>
      <c r="C8" s="579" t="s">
        <v>174</v>
      </c>
      <c r="D8" s="580" t="s">
        <v>16</v>
      </c>
      <c r="E8" s="566" t="s">
        <v>11</v>
      </c>
    </row>
    <row r="9" spans="1:5" ht="15.75" x14ac:dyDescent="0.25">
      <c r="A9" s="332"/>
      <c r="B9" s="11"/>
      <c r="C9" s="822"/>
      <c r="D9" s="91"/>
      <c r="E9" s="348"/>
    </row>
    <row r="10" spans="1:5" ht="15.75" x14ac:dyDescent="0.25">
      <c r="A10" s="262">
        <v>1</v>
      </c>
      <c r="B10" s="18" t="s">
        <v>511</v>
      </c>
      <c r="C10" s="439">
        <f>'WP 4 Monthly TRBAA '!O38</f>
        <v>-5881073.1416210616</v>
      </c>
      <c r="D10" s="61" t="s">
        <v>175</v>
      </c>
      <c r="E10" s="263">
        <v>1</v>
      </c>
    </row>
    <row r="11" spans="1:5" ht="15.75" x14ac:dyDescent="0.25">
      <c r="A11" s="262">
        <f>A10+1</f>
        <v>2</v>
      </c>
      <c r="B11" s="17"/>
      <c r="C11" s="91"/>
      <c r="D11" s="33"/>
      <c r="E11" s="263">
        <f>E10+1</f>
        <v>2</v>
      </c>
    </row>
    <row r="12" spans="1:5" ht="15.75" x14ac:dyDescent="0.25">
      <c r="A12" s="262">
        <f t="shared" ref="A12:A32" si="0">A11+1</f>
        <v>3</v>
      </c>
      <c r="B12" s="20" t="s">
        <v>176</v>
      </c>
      <c r="C12" s="236"/>
      <c r="D12" s="61"/>
      <c r="E12" s="263">
        <f t="shared" ref="E12:E32" si="1">E11+1</f>
        <v>3</v>
      </c>
    </row>
    <row r="13" spans="1:5" ht="15.75" x14ac:dyDescent="0.25">
      <c r="A13" s="262">
        <f t="shared" si="0"/>
        <v>4</v>
      </c>
      <c r="B13" s="17"/>
      <c r="C13" s="441"/>
      <c r="D13" s="33"/>
      <c r="E13" s="263">
        <f t="shared" si="1"/>
        <v>4</v>
      </c>
    </row>
    <row r="14" spans="1:5" ht="15.75" x14ac:dyDescent="0.25">
      <c r="A14" s="262">
        <f t="shared" si="0"/>
        <v>5</v>
      </c>
      <c r="B14" s="18" t="s">
        <v>177</v>
      </c>
      <c r="C14" s="237">
        <f>'WP 7 Wheeling Revenues'!E37</f>
        <v>-38168829.390000001</v>
      </c>
      <c r="D14" s="61" t="s">
        <v>178</v>
      </c>
      <c r="E14" s="263">
        <f t="shared" si="1"/>
        <v>5</v>
      </c>
    </row>
    <row r="15" spans="1:5" ht="15.75" x14ac:dyDescent="0.25">
      <c r="A15" s="262">
        <f t="shared" si="0"/>
        <v>6</v>
      </c>
      <c r="B15" s="17"/>
      <c r="C15" s="819"/>
      <c r="D15" s="33"/>
      <c r="E15" s="263">
        <f t="shared" si="1"/>
        <v>6</v>
      </c>
    </row>
    <row r="16" spans="1:5" ht="15.75" x14ac:dyDescent="0.25">
      <c r="A16" s="262">
        <f t="shared" si="0"/>
        <v>7</v>
      </c>
      <c r="B16" s="18" t="s">
        <v>179</v>
      </c>
      <c r="C16" s="237">
        <f>'WP 8 CT4575'!C34</f>
        <v>18000</v>
      </c>
      <c r="D16" s="61" t="s">
        <v>180</v>
      </c>
      <c r="E16" s="263">
        <f t="shared" si="1"/>
        <v>7</v>
      </c>
    </row>
    <row r="17" spans="1:5" ht="15.75" x14ac:dyDescent="0.25">
      <c r="A17" s="262">
        <f t="shared" si="0"/>
        <v>8</v>
      </c>
      <c r="B17" s="17"/>
      <c r="C17" s="819"/>
      <c r="D17" s="33"/>
      <c r="E17" s="263">
        <f t="shared" si="1"/>
        <v>8</v>
      </c>
    </row>
    <row r="18" spans="1:5" ht="15.75" x14ac:dyDescent="0.25">
      <c r="A18" s="262">
        <f t="shared" si="0"/>
        <v>9</v>
      </c>
      <c r="B18" s="18" t="s">
        <v>181</v>
      </c>
      <c r="C18" s="237">
        <f>'WP 9 ETC Cost Diffs'!C34</f>
        <v>-382483.10728000058</v>
      </c>
      <c r="D18" s="61" t="s">
        <v>182</v>
      </c>
      <c r="E18" s="263">
        <f t="shared" si="1"/>
        <v>9</v>
      </c>
    </row>
    <row r="19" spans="1:5" ht="15.75" x14ac:dyDescent="0.25">
      <c r="A19" s="262">
        <f t="shared" si="0"/>
        <v>10</v>
      </c>
      <c r="B19" s="17"/>
      <c r="C19" s="819"/>
      <c r="D19" s="33"/>
      <c r="E19" s="263">
        <f t="shared" si="1"/>
        <v>10</v>
      </c>
    </row>
    <row r="20" spans="1:5" ht="15.75" x14ac:dyDescent="0.25">
      <c r="A20" s="262">
        <f t="shared" si="0"/>
        <v>11</v>
      </c>
      <c r="B20" s="18" t="s">
        <v>183</v>
      </c>
      <c r="C20" s="440">
        <f>'WP 11 Other PTO Forecast'!C34</f>
        <v>-5591461.26272</v>
      </c>
      <c r="D20" s="61" t="s">
        <v>184</v>
      </c>
      <c r="E20" s="263">
        <f t="shared" si="1"/>
        <v>11</v>
      </c>
    </row>
    <row r="21" spans="1:5" ht="15.75" x14ac:dyDescent="0.25">
      <c r="A21" s="262">
        <f t="shared" si="0"/>
        <v>12</v>
      </c>
      <c r="B21" s="17"/>
      <c r="C21" s="238"/>
      <c r="D21" s="33"/>
      <c r="E21" s="263">
        <f t="shared" si="1"/>
        <v>12</v>
      </c>
    </row>
    <row r="22" spans="1:5" ht="15.75" x14ac:dyDescent="0.25">
      <c r="A22" s="262">
        <f t="shared" si="0"/>
        <v>13</v>
      </c>
      <c r="B22" s="477" t="s">
        <v>185</v>
      </c>
      <c r="C22" s="254">
        <f>SUM(C14:C20)</f>
        <v>-44124773.760000005</v>
      </c>
      <c r="D22" s="61" t="s">
        <v>186</v>
      </c>
      <c r="E22" s="263">
        <f t="shared" si="1"/>
        <v>13</v>
      </c>
    </row>
    <row r="23" spans="1:5" ht="15.75" x14ac:dyDescent="0.25">
      <c r="A23" s="262">
        <f t="shared" si="0"/>
        <v>14</v>
      </c>
      <c r="B23" s="18"/>
      <c r="C23" s="238"/>
      <c r="D23" s="61"/>
      <c r="E23" s="263">
        <f t="shared" si="1"/>
        <v>14</v>
      </c>
    </row>
    <row r="24" spans="1:5" ht="15.75" x14ac:dyDescent="0.25">
      <c r="A24" s="262">
        <f t="shared" si="0"/>
        <v>15</v>
      </c>
      <c r="B24" s="11" t="s">
        <v>187</v>
      </c>
      <c r="C24" s="254">
        <f>C10+C22</f>
        <v>-50005846.901621066</v>
      </c>
      <c r="D24" s="61" t="s">
        <v>188</v>
      </c>
      <c r="E24" s="263">
        <f t="shared" si="1"/>
        <v>15</v>
      </c>
    </row>
    <row r="25" spans="1:5" ht="15.75" x14ac:dyDescent="0.25">
      <c r="A25" s="262">
        <f t="shared" si="0"/>
        <v>16</v>
      </c>
      <c r="B25" s="11"/>
      <c r="C25" s="238"/>
      <c r="D25" s="62"/>
      <c r="E25" s="263">
        <f t="shared" si="1"/>
        <v>16</v>
      </c>
    </row>
    <row r="26" spans="1:5" ht="15.75" x14ac:dyDescent="0.25">
      <c r="A26" s="262">
        <f t="shared" si="0"/>
        <v>17</v>
      </c>
      <c r="B26" s="11" t="s">
        <v>480</v>
      </c>
      <c r="C26" s="238">
        <f>C24*0.010207</f>
        <v>-510409.67932484625</v>
      </c>
      <c r="D26" s="61" t="s">
        <v>481</v>
      </c>
      <c r="E26" s="263">
        <f t="shared" si="1"/>
        <v>17</v>
      </c>
    </row>
    <row r="27" spans="1:5" ht="15.75" x14ac:dyDescent="0.25">
      <c r="A27" s="262">
        <f t="shared" si="0"/>
        <v>18</v>
      </c>
      <c r="B27" s="11"/>
      <c r="C27" s="238"/>
      <c r="D27" s="62"/>
      <c r="E27" s="263">
        <f t="shared" si="1"/>
        <v>18</v>
      </c>
    </row>
    <row r="28" spans="1:5" ht="15.75" x14ac:dyDescent="0.25">
      <c r="A28" s="262">
        <f t="shared" si="0"/>
        <v>19</v>
      </c>
      <c r="B28" s="11" t="s">
        <v>525</v>
      </c>
      <c r="C28" s="252">
        <f>(C24*0.00241)-1</f>
        <v>-120515.09103290676</v>
      </c>
      <c r="D28" s="61" t="s">
        <v>526</v>
      </c>
      <c r="E28" s="263">
        <f t="shared" si="1"/>
        <v>19</v>
      </c>
    </row>
    <row r="29" spans="1:5" ht="15.75" x14ac:dyDescent="0.25">
      <c r="A29" s="262">
        <f t="shared" si="0"/>
        <v>20</v>
      </c>
      <c r="B29" s="11"/>
      <c r="C29" s="238"/>
      <c r="D29" s="62"/>
      <c r="E29" s="263">
        <f t="shared" si="1"/>
        <v>20</v>
      </c>
    </row>
    <row r="30" spans="1:5" ht="15.75" x14ac:dyDescent="0.25">
      <c r="A30" s="262">
        <f t="shared" si="0"/>
        <v>21</v>
      </c>
      <c r="B30" s="11" t="s">
        <v>189</v>
      </c>
      <c r="C30" s="252">
        <f>SUM(C26:C28)</f>
        <v>-630924.77035775303</v>
      </c>
      <c r="D30" s="61" t="s">
        <v>190</v>
      </c>
      <c r="E30" s="263">
        <f t="shared" si="1"/>
        <v>21</v>
      </c>
    </row>
    <row r="31" spans="1:5" ht="15.75" x14ac:dyDescent="0.25">
      <c r="A31" s="262">
        <f t="shared" si="0"/>
        <v>22</v>
      </c>
      <c r="B31" s="11"/>
      <c r="C31" s="238"/>
      <c r="D31" s="62"/>
      <c r="E31" s="263">
        <f t="shared" si="1"/>
        <v>22</v>
      </c>
    </row>
    <row r="32" spans="1:5" ht="16.5" thickBot="1" x14ac:dyDescent="0.3">
      <c r="A32" s="262">
        <f t="shared" si="0"/>
        <v>23</v>
      </c>
      <c r="B32" s="11" t="s">
        <v>191</v>
      </c>
      <c r="C32" s="414">
        <f>C24+C30+1</f>
        <v>-50636770.671978816</v>
      </c>
      <c r="D32" s="61" t="s">
        <v>192</v>
      </c>
      <c r="E32" s="263">
        <f t="shared" si="1"/>
        <v>23</v>
      </c>
    </row>
    <row r="33" spans="1:5" ht="17.25" thickTop="1" thickBot="1" x14ac:dyDescent="0.3">
      <c r="A33" s="572"/>
      <c r="B33" s="81"/>
      <c r="C33" s="552"/>
      <c r="D33" s="573"/>
      <c r="E33" s="406"/>
    </row>
    <row r="34" spans="1:5" ht="15.75" x14ac:dyDescent="0.25">
      <c r="A34" s="22"/>
      <c r="B34" s="22"/>
      <c r="C34" s="22"/>
      <c r="D34" s="37"/>
      <c r="E34" s="22"/>
    </row>
  </sheetData>
  <phoneticPr fontId="15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1&amp;R&amp;"Times New Roman,Regular"&amp;12&amp;A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J90"/>
  <sheetViews>
    <sheetView zoomScale="80" zoomScaleNormal="80" workbookViewId="0">
      <selection activeCell="E33" sqref="E33"/>
    </sheetView>
  </sheetViews>
  <sheetFormatPr defaultColWidth="8.5703125" defaultRowHeight="12.75" x14ac:dyDescent="0.2"/>
  <cols>
    <col min="1" max="1" width="5.5703125" style="1" customWidth="1"/>
    <col min="2" max="2" width="55.5703125" style="2" customWidth="1"/>
    <col min="3" max="4" width="22.5703125" style="1" bestFit="1" customWidth="1"/>
    <col min="5" max="5" width="20.5703125" style="1" customWidth="1"/>
    <col min="6" max="6" width="50.5703125" style="1" customWidth="1"/>
    <col min="7" max="7" width="5.5703125" style="1" customWidth="1"/>
    <col min="8" max="9" width="15.5703125" style="179" customWidth="1"/>
    <col min="10" max="10" width="11.42578125" style="179" customWidth="1"/>
    <col min="11" max="16384" width="8.5703125" style="1"/>
  </cols>
  <sheetData>
    <row r="2" spans="1:7" ht="15.75" x14ac:dyDescent="0.2">
      <c r="B2" s="5" t="s">
        <v>193</v>
      </c>
      <c r="C2" s="6"/>
      <c r="D2" s="6"/>
      <c r="E2" s="6"/>
      <c r="F2" s="6"/>
    </row>
    <row r="3" spans="1:7" ht="15.75" x14ac:dyDescent="0.2">
      <c r="B3" s="5" t="s">
        <v>1</v>
      </c>
      <c r="C3" s="6"/>
      <c r="D3" s="6"/>
      <c r="E3" s="6"/>
      <c r="F3" s="6"/>
    </row>
    <row r="4" spans="1:7" ht="15.75" x14ac:dyDescent="0.2">
      <c r="B4" s="5" t="str">
        <f>'Stmnt BK1 - TRBAA'!B4</f>
        <v>2026 - TRBAA Rate Filing</v>
      </c>
      <c r="C4" s="6"/>
      <c r="D4" s="6"/>
      <c r="E4" s="6"/>
      <c r="F4" s="6"/>
    </row>
    <row r="5" spans="1:7" ht="15.75" x14ac:dyDescent="0.2">
      <c r="B5" s="5" t="s">
        <v>194</v>
      </c>
      <c r="C5" s="6"/>
      <c r="D5" s="6"/>
      <c r="E5" s="6"/>
      <c r="F5" s="6"/>
    </row>
    <row r="6" spans="1:7" ht="16.5" thickBot="1" x14ac:dyDescent="0.25">
      <c r="B6" s="5"/>
      <c r="C6" s="6"/>
      <c r="D6" s="6"/>
      <c r="E6" s="6"/>
      <c r="F6" s="6"/>
    </row>
    <row r="7" spans="1:7" ht="15.75" x14ac:dyDescent="0.25">
      <c r="A7" s="286"/>
      <c r="B7" s="585"/>
      <c r="C7" s="586" t="s">
        <v>3</v>
      </c>
      <c r="D7" s="587" t="s">
        <v>4</v>
      </c>
      <c r="E7" s="587" t="s">
        <v>195</v>
      </c>
      <c r="F7" s="588"/>
      <c r="G7" s="544"/>
    </row>
    <row r="8" spans="1:7" ht="15.75" x14ac:dyDescent="0.25">
      <c r="A8" s="545"/>
      <c r="B8" s="74"/>
      <c r="C8" s="574" t="s">
        <v>18</v>
      </c>
      <c r="D8" s="75" t="s">
        <v>18</v>
      </c>
      <c r="E8" s="75" t="s">
        <v>18</v>
      </c>
      <c r="F8" s="33"/>
      <c r="G8" s="546"/>
    </row>
    <row r="9" spans="1:7" ht="21.75" customHeight="1" x14ac:dyDescent="0.25">
      <c r="A9" s="547"/>
      <c r="B9" s="74"/>
      <c r="C9" s="581" t="s">
        <v>196</v>
      </c>
      <c r="D9" s="582" t="s">
        <v>197</v>
      </c>
      <c r="E9" s="582" t="s">
        <v>198</v>
      </c>
      <c r="F9" s="33"/>
      <c r="G9" s="548"/>
    </row>
    <row r="10" spans="1:7" ht="15.75" x14ac:dyDescent="0.25">
      <c r="A10" s="547" t="s">
        <v>8</v>
      </c>
      <c r="B10" s="75"/>
      <c r="C10" s="575" t="s">
        <v>199</v>
      </c>
      <c r="D10" s="583" t="s">
        <v>199</v>
      </c>
      <c r="E10" s="583" t="s">
        <v>200</v>
      </c>
      <c r="F10" s="33"/>
      <c r="G10" s="548" t="s">
        <v>8</v>
      </c>
    </row>
    <row r="11" spans="1:7" ht="16.5" thickBot="1" x14ac:dyDescent="0.3">
      <c r="A11" s="565" t="s">
        <v>11</v>
      </c>
      <c r="B11" s="153" t="s">
        <v>173</v>
      </c>
      <c r="C11" s="580" t="s">
        <v>201</v>
      </c>
      <c r="D11" s="589" t="s">
        <v>201</v>
      </c>
      <c r="E11" s="589" t="s">
        <v>201</v>
      </c>
      <c r="F11" s="580" t="s">
        <v>16</v>
      </c>
      <c r="G11" s="566" t="s">
        <v>11</v>
      </c>
    </row>
    <row r="12" spans="1:7" ht="15.75" x14ac:dyDescent="0.25">
      <c r="A12" s="332"/>
      <c r="B12" s="11"/>
      <c r="C12" s="819"/>
      <c r="D12" s="17"/>
      <c r="E12" s="17"/>
      <c r="F12" s="91"/>
      <c r="G12" s="348"/>
    </row>
    <row r="13" spans="1:7" ht="18.75" x14ac:dyDescent="0.25">
      <c r="A13" s="262">
        <v>1</v>
      </c>
      <c r="B13" s="11" t="s">
        <v>202</v>
      </c>
      <c r="C13" s="259">
        <v>599326002.61051977</v>
      </c>
      <c r="D13" s="103">
        <v>638200046.4431566</v>
      </c>
      <c r="E13" s="103">
        <f>C13+D13</f>
        <v>1237526049.0536764</v>
      </c>
      <c r="F13" s="61" t="s">
        <v>203</v>
      </c>
      <c r="G13" s="263">
        <v>1</v>
      </c>
    </row>
    <row r="14" spans="1:7" ht="15.75" x14ac:dyDescent="0.25">
      <c r="A14" s="262">
        <f>A13+1</f>
        <v>2</v>
      </c>
      <c r="B14" s="11"/>
      <c r="C14" s="820"/>
      <c r="D14" s="16"/>
      <c r="E14" s="16"/>
      <c r="F14" s="33"/>
      <c r="G14" s="263">
        <f>G13+1</f>
        <v>2</v>
      </c>
    </row>
    <row r="15" spans="1:7" ht="15.75" x14ac:dyDescent="0.25">
      <c r="A15" s="262">
        <f t="shared" ref="A15:A37" si="0">A14+1</f>
        <v>3</v>
      </c>
      <c r="B15" s="18" t="str">
        <f>'Stmnt BK1 - TRBAA'!B10</f>
        <v>Beginning TRBAA Balance @ 9/30/2025</v>
      </c>
      <c r="C15" s="252">
        <f>'WP 2 Allocation of TRBAA'!D24</f>
        <v>-5451901</v>
      </c>
      <c r="D15" s="38">
        <f>'WP 2 Allocation of TRBAA'!E24</f>
        <v>-429172</v>
      </c>
      <c r="E15" s="38">
        <f>C15+D15</f>
        <v>-5881073</v>
      </c>
      <c r="F15" s="61" t="s">
        <v>204</v>
      </c>
      <c r="G15" s="263">
        <f>G14+1</f>
        <v>3</v>
      </c>
    </row>
    <row r="16" spans="1:7" ht="15.75" x14ac:dyDescent="0.25">
      <c r="A16" s="262">
        <f t="shared" si="0"/>
        <v>4</v>
      </c>
      <c r="B16" s="17"/>
      <c r="C16" s="238"/>
      <c r="D16" s="31"/>
      <c r="E16" s="31"/>
      <c r="F16" s="33"/>
      <c r="G16" s="263">
        <f>G15+1</f>
        <v>4</v>
      </c>
    </row>
    <row r="17" spans="1:7" ht="15.75" x14ac:dyDescent="0.25">
      <c r="A17" s="262">
        <f t="shared" si="0"/>
        <v>5</v>
      </c>
      <c r="B17" s="20" t="s">
        <v>176</v>
      </c>
      <c r="C17" s="238"/>
      <c r="D17" s="31"/>
      <c r="E17" s="31"/>
      <c r="F17" s="61"/>
      <c r="G17" s="263">
        <f>G16+1</f>
        <v>5</v>
      </c>
    </row>
    <row r="18" spans="1:7" ht="15.75" x14ac:dyDescent="0.25">
      <c r="A18" s="262">
        <f t="shared" si="0"/>
        <v>6</v>
      </c>
      <c r="B18" s="17"/>
      <c r="C18" s="238"/>
      <c r="D18" s="31"/>
      <c r="E18" s="31"/>
      <c r="F18" s="33"/>
      <c r="G18" s="263">
        <f t="shared" ref="G18:G37" si="1">G17+1</f>
        <v>6</v>
      </c>
    </row>
    <row r="19" spans="1:7" ht="15.75" x14ac:dyDescent="0.25">
      <c r="A19" s="262">
        <f t="shared" si="0"/>
        <v>7</v>
      </c>
      <c r="B19" s="18" t="s">
        <v>205</v>
      </c>
      <c r="C19" s="238">
        <f>'WP 6 HV LV Alloc Summary'!C26</f>
        <v>-38168829.390000001</v>
      </c>
      <c r="D19" s="238">
        <f>'WP 6 HV LV Alloc Summary'!D26</f>
        <v>0</v>
      </c>
      <c r="E19" s="31">
        <f>C19+D19</f>
        <v>-38168829.390000001</v>
      </c>
      <c r="F19" s="61" t="s">
        <v>206</v>
      </c>
      <c r="G19" s="263">
        <f t="shared" si="1"/>
        <v>7</v>
      </c>
    </row>
    <row r="20" spans="1:7" ht="15.75" x14ac:dyDescent="0.25">
      <c r="A20" s="262">
        <f t="shared" si="0"/>
        <v>8</v>
      </c>
      <c r="B20" s="17"/>
      <c r="C20" s="238"/>
      <c r="D20" s="31"/>
      <c r="E20" s="31"/>
      <c r="F20" s="33"/>
      <c r="G20" s="263">
        <f t="shared" si="1"/>
        <v>8</v>
      </c>
    </row>
    <row r="21" spans="1:7" ht="15.75" x14ac:dyDescent="0.25">
      <c r="A21" s="262">
        <f t="shared" si="0"/>
        <v>9</v>
      </c>
      <c r="B21" s="18" t="s">
        <v>207</v>
      </c>
      <c r="C21" s="238">
        <f>'WP 6 HV LV Alloc Summary'!C33</f>
        <v>8289</v>
      </c>
      <c r="D21" s="238">
        <f>'WP 6 HV LV Alloc Summary'!D33</f>
        <v>9711</v>
      </c>
      <c r="E21" s="31">
        <f>C21+D21</f>
        <v>18000</v>
      </c>
      <c r="F21" s="61" t="s">
        <v>208</v>
      </c>
      <c r="G21" s="263">
        <f t="shared" si="1"/>
        <v>9</v>
      </c>
    </row>
    <row r="22" spans="1:7" ht="15.75" x14ac:dyDescent="0.25">
      <c r="A22" s="262">
        <f t="shared" si="0"/>
        <v>10</v>
      </c>
      <c r="B22" s="17"/>
      <c r="C22" s="238"/>
      <c r="D22" s="31"/>
      <c r="E22" s="31"/>
      <c r="F22" s="33"/>
      <c r="G22" s="263">
        <f t="shared" si="1"/>
        <v>10</v>
      </c>
    </row>
    <row r="23" spans="1:7" ht="15.75" x14ac:dyDescent="0.25">
      <c r="A23" s="262">
        <f t="shared" si="0"/>
        <v>11</v>
      </c>
      <c r="B23" s="18" t="s">
        <v>209</v>
      </c>
      <c r="C23" s="238">
        <f>'WP 6 HV LV Alloc Summary'!C39</f>
        <v>-176133.47090244028</v>
      </c>
      <c r="D23" s="238">
        <f>'WP 6 HV LV Alloc Summary'!D39</f>
        <v>-206349.63637756029</v>
      </c>
      <c r="E23" s="31">
        <f>C23+D23</f>
        <v>-382483.10728000058</v>
      </c>
      <c r="F23" s="61" t="s">
        <v>210</v>
      </c>
      <c r="G23" s="263">
        <f t="shared" si="1"/>
        <v>11</v>
      </c>
    </row>
    <row r="24" spans="1:7" ht="15.75" x14ac:dyDescent="0.25">
      <c r="A24" s="262">
        <f t="shared" si="0"/>
        <v>12</v>
      </c>
      <c r="B24" s="17"/>
      <c r="C24" s="238"/>
      <c r="D24" s="31"/>
      <c r="E24" s="31"/>
      <c r="F24" s="33"/>
      <c r="G24" s="263">
        <f t="shared" si="1"/>
        <v>12</v>
      </c>
    </row>
    <row r="25" spans="1:7" ht="15.75" x14ac:dyDescent="0.25">
      <c r="A25" s="262">
        <f t="shared" si="0"/>
        <v>13</v>
      </c>
      <c r="B25" s="18" t="s">
        <v>183</v>
      </c>
      <c r="C25" s="252">
        <f>'WP 6 HV LV Alloc Summary'!C49</f>
        <v>-2568088.5011375602</v>
      </c>
      <c r="D25" s="252">
        <f>'WP 6 HV LV Alloc Summary'!D49</f>
        <v>-3023372.7615824398</v>
      </c>
      <c r="E25" s="38">
        <f>C25+D25</f>
        <v>-5591461.26272</v>
      </c>
      <c r="F25" s="61" t="s">
        <v>211</v>
      </c>
      <c r="G25" s="263">
        <f t="shared" si="1"/>
        <v>13</v>
      </c>
    </row>
    <row r="26" spans="1:7" ht="15.75" x14ac:dyDescent="0.25">
      <c r="A26" s="262">
        <f t="shared" si="0"/>
        <v>14</v>
      </c>
      <c r="B26" s="17"/>
      <c r="C26" s="238"/>
      <c r="D26" s="31"/>
      <c r="E26" s="31"/>
      <c r="F26" s="33"/>
      <c r="G26" s="263">
        <f t="shared" si="1"/>
        <v>14</v>
      </c>
    </row>
    <row r="27" spans="1:7" ht="15.75" x14ac:dyDescent="0.25">
      <c r="A27" s="262">
        <f t="shared" si="0"/>
        <v>15</v>
      </c>
      <c r="B27" s="540" t="s">
        <v>185</v>
      </c>
      <c r="C27" s="38">
        <f>SUM(C19:C25)</f>
        <v>-40904762.362040006</v>
      </c>
      <c r="D27" s="331">
        <f>SUM(D19:D25)</f>
        <v>-3220011.3979600002</v>
      </c>
      <c r="E27" s="38">
        <f>SUM(E19:E25)</f>
        <v>-44124773.760000005</v>
      </c>
      <c r="F27" s="61" t="s">
        <v>212</v>
      </c>
      <c r="G27" s="263">
        <f t="shared" si="1"/>
        <v>15</v>
      </c>
    </row>
    <row r="28" spans="1:7" ht="15.75" x14ac:dyDescent="0.25">
      <c r="A28" s="262">
        <f t="shared" si="0"/>
        <v>16</v>
      </c>
      <c r="B28" s="477"/>
      <c r="C28" s="238"/>
      <c r="D28" s="31"/>
      <c r="E28" s="31"/>
      <c r="F28" s="61"/>
      <c r="G28" s="263">
        <f t="shared" si="1"/>
        <v>16</v>
      </c>
    </row>
    <row r="29" spans="1:7" ht="15.75" x14ac:dyDescent="0.25">
      <c r="A29" s="262">
        <f t="shared" si="0"/>
        <v>17</v>
      </c>
      <c r="B29" s="18" t="s">
        <v>213</v>
      </c>
      <c r="C29" s="238">
        <f>C15+C27</f>
        <v>-46356663.362040006</v>
      </c>
      <c r="D29" s="238">
        <f>D15+D27</f>
        <v>-3649183.3979600002</v>
      </c>
      <c r="E29" s="238">
        <f t="shared" ref="E29" si="2">E15+E27</f>
        <v>-50005846.760000005</v>
      </c>
      <c r="F29" s="61" t="s">
        <v>214</v>
      </c>
      <c r="G29" s="263">
        <f t="shared" si="1"/>
        <v>17</v>
      </c>
    </row>
    <row r="30" spans="1:7" ht="15.75" x14ac:dyDescent="0.25">
      <c r="A30" s="262">
        <f t="shared" si="0"/>
        <v>18</v>
      </c>
      <c r="B30" s="477"/>
      <c r="C30" s="238"/>
      <c r="D30" s="31"/>
      <c r="E30" s="31"/>
      <c r="F30" s="61"/>
      <c r="G30" s="263">
        <f t="shared" si="1"/>
        <v>18</v>
      </c>
    </row>
    <row r="31" spans="1:7" ht="15.75" x14ac:dyDescent="0.25">
      <c r="A31" s="262">
        <f t="shared" si="0"/>
        <v>19</v>
      </c>
      <c r="B31" s="478" t="s">
        <v>480</v>
      </c>
      <c r="C31" s="252">
        <f>C29*0.010207</f>
        <v>-473162.4629363424</v>
      </c>
      <c r="D31" s="38">
        <f>D29*0.010207</f>
        <v>-37247.214942977727</v>
      </c>
      <c r="E31" s="38">
        <f>C31+D31</f>
        <v>-510409.67787932011</v>
      </c>
      <c r="F31" s="61" t="s">
        <v>483</v>
      </c>
      <c r="G31" s="263">
        <f t="shared" si="1"/>
        <v>19</v>
      </c>
    </row>
    <row r="32" spans="1:7" ht="15.75" x14ac:dyDescent="0.25">
      <c r="A32" s="262">
        <f t="shared" si="0"/>
        <v>20</v>
      </c>
      <c r="B32" s="478"/>
      <c r="C32" s="238"/>
      <c r="D32" s="31"/>
      <c r="E32" s="31"/>
      <c r="F32" s="61"/>
      <c r="G32" s="263">
        <f t="shared" si="1"/>
        <v>20</v>
      </c>
    </row>
    <row r="33" spans="1:9" ht="15.75" x14ac:dyDescent="0.25">
      <c r="A33" s="262">
        <f t="shared" si="0"/>
        <v>21</v>
      </c>
      <c r="B33" s="56" t="s">
        <v>215</v>
      </c>
      <c r="C33" s="51">
        <f>C29+C31</f>
        <v>-46829825.824976347</v>
      </c>
      <c r="D33" s="51">
        <f>D29+D31</f>
        <v>-3686430.612902978</v>
      </c>
      <c r="E33" s="51">
        <f>E29+E31</f>
        <v>-50516256.437879324</v>
      </c>
      <c r="F33" s="61" t="s">
        <v>190</v>
      </c>
      <c r="G33" s="263">
        <f t="shared" si="1"/>
        <v>21</v>
      </c>
      <c r="I33" s="967"/>
    </row>
    <row r="34" spans="1:9" ht="15.75" x14ac:dyDescent="0.25">
      <c r="A34" s="262">
        <f t="shared" si="0"/>
        <v>22</v>
      </c>
      <c r="B34" s="11"/>
      <c r="C34" s="528"/>
      <c r="D34" s="44"/>
      <c r="E34" s="44"/>
      <c r="F34" s="62"/>
      <c r="G34" s="263">
        <f t="shared" si="1"/>
        <v>22</v>
      </c>
    </row>
    <row r="35" spans="1:9" ht="18.75" x14ac:dyDescent="0.25">
      <c r="A35" s="262">
        <f t="shared" si="0"/>
        <v>23</v>
      </c>
      <c r="B35" s="11" t="s">
        <v>216</v>
      </c>
      <c r="C35" s="445">
        <f>'WP 3 Standby Revenues'!C15</f>
        <v>-6197374</v>
      </c>
      <c r="D35" s="51">
        <f>'WP 3 Standby Revenues'!D15</f>
        <v>-6599354</v>
      </c>
      <c r="E35" s="51">
        <f>C35+D35</f>
        <v>-12796728</v>
      </c>
      <c r="F35" s="61" t="s">
        <v>217</v>
      </c>
      <c r="G35" s="263">
        <f t="shared" si="1"/>
        <v>23</v>
      </c>
    </row>
    <row r="36" spans="1:9" ht="15.75" x14ac:dyDescent="0.25">
      <c r="A36" s="262">
        <f t="shared" si="0"/>
        <v>24</v>
      </c>
      <c r="B36" s="17"/>
      <c r="C36" s="442"/>
      <c r="D36" s="476"/>
      <c r="E36" s="476"/>
      <c r="F36" s="61"/>
      <c r="G36" s="263">
        <f t="shared" si="1"/>
        <v>24</v>
      </c>
    </row>
    <row r="37" spans="1:9" ht="16.5" thickBot="1" x14ac:dyDescent="0.3">
      <c r="A37" s="262">
        <f t="shared" si="0"/>
        <v>25</v>
      </c>
      <c r="B37" s="11" t="s">
        <v>218</v>
      </c>
      <c r="C37" s="507">
        <f>C13+C33+C35</f>
        <v>546298802.78554344</v>
      </c>
      <c r="D37" s="232">
        <f>D13+D33+D35</f>
        <v>627914261.8302536</v>
      </c>
      <c r="E37" s="232">
        <f>E13+E33+E35</f>
        <v>1174213064.615797</v>
      </c>
      <c r="F37" s="61" t="s">
        <v>219</v>
      </c>
      <c r="G37" s="263">
        <f t="shared" si="1"/>
        <v>25</v>
      </c>
    </row>
    <row r="38" spans="1:9" ht="17.25" thickTop="1" thickBot="1" x14ac:dyDescent="0.3">
      <c r="A38" s="572"/>
      <c r="B38" s="81"/>
      <c r="C38" s="821"/>
      <c r="D38" s="81"/>
      <c r="E38" s="81"/>
      <c r="F38" s="552"/>
      <c r="G38" s="406"/>
    </row>
    <row r="39" spans="1:9" ht="15.75" x14ac:dyDescent="0.25">
      <c r="A39" s="22"/>
      <c r="B39" s="22"/>
      <c r="C39" s="3"/>
      <c r="D39" s="22"/>
      <c r="E39" s="22"/>
      <c r="F39" s="22"/>
      <c r="G39" s="22"/>
    </row>
    <row r="40" spans="1:9" ht="15.75" x14ac:dyDescent="0.25">
      <c r="A40" s="22"/>
      <c r="B40" s="22"/>
      <c r="C40" s="143"/>
      <c r="D40" s="143"/>
      <c r="E40" s="22"/>
      <c r="F40" s="22"/>
      <c r="G40" s="22"/>
    </row>
    <row r="41" spans="1:9" ht="18.75" x14ac:dyDescent="0.25">
      <c r="A41" s="83" t="s">
        <v>125</v>
      </c>
      <c r="B41" s="50" t="s">
        <v>510</v>
      </c>
      <c r="C41" s="22"/>
      <c r="D41" s="22"/>
      <c r="E41" s="22"/>
      <c r="F41" s="22"/>
      <c r="G41" s="22"/>
    </row>
    <row r="42" spans="1:9" ht="18.75" x14ac:dyDescent="0.25">
      <c r="A42" s="83">
        <v>2</v>
      </c>
      <c r="B42" s="50" t="s">
        <v>503</v>
      </c>
      <c r="C42" s="22"/>
      <c r="D42" s="22"/>
      <c r="E42" s="22"/>
      <c r="F42" s="22"/>
      <c r="G42" s="22"/>
    </row>
    <row r="43" spans="1:9" ht="18.75" x14ac:dyDescent="0.25">
      <c r="A43" s="69"/>
      <c r="B43" s="50"/>
      <c r="C43" s="22"/>
      <c r="D43" s="22"/>
      <c r="E43" s="22"/>
      <c r="F43" s="22"/>
      <c r="G43" s="22"/>
    </row>
    <row r="44" spans="1:9" ht="15.75" x14ac:dyDescent="0.25">
      <c r="A44" s="22"/>
      <c r="B44" s="50"/>
      <c r="C44" s="22"/>
      <c r="D44" s="22"/>
      <c r="E44" s="22"/>
      <c r="F44" s="22"/>
      <c r="G44" s="22"/>
    </row>
    <row r="45" spans="1:9" ht="15.75" x14ac:dyDescent="0.25">
      <c r="A45" s="22"/>
      <c r="B45" s="50"/>
      <c r="C45" s="22"/>
      <c r="D45" s="22"/>
      <c r="E45" s="22"/>
      <c r="F45" s="22"/>
      <c r="G45" s="22"/>
    </row>
    <row r="46" spans="1:9" ht="15.75" x14ac:dyDescent="0.25">
      <c r="A46" s="22"/>
      <c r="B46" s="50"/>
      <c r="C46" s="22"/>
      <c r="D46" s="22"/>
      <c r="E46" s="22"/>
      <c r="F46" s="22"/>
      <c r="G46" s="22"/>
    </row>
    <row r="47" spans="1:9" ht="15.75" x14ac:dyDescent="0.25">
      <c r="A47" s="22"/>
      <c r="B47" s="50"/>
      <c r="C47" s="22"/>
      <c r="D47" s="22"/>
      <c r="E47" s="22"/>
      <c r="F47" s="22"/>
      <c r="G47" s="22"/>
    </row>
    <row r="48" spans="1:9" ht="15.75" x14ac:dyDescent="0.25">
      <c r="A48" s="22"/>
      <c r="B48" s="50"/>
      <c r="C48" s="22"/>
      <c r="D48" s="22"/>
      <c r="E48" s="22"/>
      <c r="F48" s="22"/>
      <c r="G48" s="22"/>
    </row>
    <row r="49" spans="1:7" ht="15.75" x14ac:dyDescent="0.25">
      <c r="A49" s="22"/>
      <c r="B49" s="50"/>
      <c r="C49" s="22"/>
      <c r="D49" s="22"/>
      <c r="E49" s="22"/>
      <c r="F49" s="22"/>
      <c r="G49" s="22"/>
    </row>
    <row r="50" spans="1:7" ht="15.75" x14ac:dyDescent="0.25">
      <c r="A50" s="22"/>
      <c r="B50" s="50"/>
      <c r="C50" s="22"/>
      <c r="D50" s="22"/>
      <c r="E50" s="22"/>
      <c r="F50" s="22"/>
      <c r="G50" s="22"/>
    </row>
    <row r="51" spans="1:7" ht="15.75" x14ac:dyDescent="0.25">
      <c r="A51" s="22"/>
      <c r="B51" s="50"/>
      <c r="C51" s="22"/>
      <c r="D51" s="22"/>
      <c r="E51" s="22"/>
      <c r="F51" s="22"/>
      <c r="G51" s="22"/>
    </row>
    <row r="52" spans="1:7" ht="15.75" x14ac:dyDescent="0.25">
      <c r="A52" s="22"/>
      <c r="B52" s="50"/>
      <c r="C52" s="22"/>
      <c r="D52" s="22"/>
      <c r="E52" s="22"/>
      <c r="F52" s="22"/>
      <c r="G52" s="22"/>
    </row>
    <row r="53" spans="1:7" ht="15.75" x14ac:dyDescent="0.25">
      <c r="A53" s="22"/>
      <c r="B53" s="50"/>
      <c r="C53" s="22"/>
      <c r="D53" s="22"/>
      <c r="E53" s="22"/>
      <c r="F53" s="22"/>
      <c r="G53" s="22"/>
    </row>
    <row r="54" spans="1:7" ht="15.75" x14ac:dyDescent="0.25">
      <c r="A54" s="22"/>
      <c r="B54" s="50"/>
      <c r="C54" s="22"/>
      <c r="D54" s="22"/>
      <c r="E54" s="22"/>
      <c r="F54" s="22"/>
      <c r="G54" s="22"/>
    </row>
    <row r="55" spans="1:7" ht="15.75" x14ac:dyDescent="0.25">
      <c r="A55" s="22"/>
      <c r="B55" s="50"/>
      <c r="C55" s="22"/>
      <c r="D55" s="22"/>
      <c r="E55" s="22"/>
      <c r="F55" s="22"/>
      <c r="G55" s="22"/>
    </row>
    <row r="56" spans="1:7" ht="15.75" x14ac:dyDescent="0.25">
      <c r="A56" s="22"/>
      <c r="B56" s="50"/>
      <c r="C56" s="22"/>
      <c r="D56" s="22"/>
      <c r="E56" s="22"/>
      <c r="F56" s="22"/>
      <c r="G56" s="22"/>
    </row>
    <row r="57" spans="1:7" ht="15.75" x14ac:dyDescent="0.25">
      <c r="A57" s="22"/>
      <c r="B57" s="50"/>
      <c r="C57" s="22"/>
      <c r="D57" s="22"/>
      <c r="E57" s="22"/>
      <c r="F57" s="22"/>
      <c r="G57" s="22"/>
    </row>
    <row r="58" spans="1:7" ht="15.75" x14ac:dyDescent="0.25">
      <c r="A58" s="22"/>
      <c r="B58" s="50"/>
      <c r="C58" s="22"/>
      <c r="D58" s="22"/>
      <c r="E58" s="22"/>
      <c r="F58" s="22"/>
      <c r="G58" s="22"/>
    </row>
    <row r="59" spans="1:7" ht="15.75" x14ac:dyDescent="0.25">
      <c r="A59" s="22"/>
      <c r="B59" s="50"/>
      <c r="C59" s="22"/>
      <c r="D59" s="22"/>
      <c r="E59" s="22"/>
      <c r="F59" s="22"/>
      <c r="G59" s="22"/>
    </row>
    <row r="60" spans="1:7" ht="15.75" x14ac:dyDescent="0.25">
      <c r="A60" s="22"/>
      <c r="B60" s="50"/>
      <c r="C60" s="22"/>
      <c r="D60" s="22"/>
      <c r="E60" s="22"/>
      <c r="F60" s="22"/>
      <c r="G60" s="22"/>
    </row>
    <row r="61" spans="1:7" ht="15.75" x14ac:dyDescent="0.25">
      <c r="A61" s="22"/>
      <c r="B61" s="50"/>
      <c r="C61" s="22"/>
      <c r="D61" s="22"/>
      <c r="E61" s="22"/>
      <c r="F61" s="22"/>
      <c r="G61" s="22"/>
    </row>
    <row r="62" spans="1:7" ht="15.75" x14ac:dyDescent="0.25">
      <c r="A62" s="22"/>
      <c r="B62" s="50"/>
      <c r="C62" s="22"/>
      <c r="D62" s="22"/>
      <c r="E62" s="22"/>
      <c r="F62" s="22"/>
      <c r="G62" s="22"/>
    </row>
    <row r="63" spans="1:7" ht="15.75" x14ac:dyDescent="0.25">
      <c r="A63" s="22"/>
      <c r="B63" s="50"/>
      <c r="C63" s="22"/>
      <c r="D63" s="22"/>
      <c r="E63" s="22"/>
      <c r="F63" s="22"/>
      <c r="G63" s="22"/>
    </row>
    <row r="64" spans="1:7" ht="15.75" x14ac:dyDescent="0.25">
      <c r="A64" s="22"/>
      <c r="B64" s="50"/>
      <c r="C64" s="22"/>
      <c r="D64" s="22"/>
      <c r="E64" s="22"/>
      <c r="F64" s="22"/>
      <c r="G64" s="22"/>
    </row>
    <row r="65" spans="1:7" ht="15.75" x14ac:dyDescent="0.25">
      <c r="A65" s="22"/>
      <c r="B65" s="50"/>
      <c r="C65" s="22"/>
      <c r="D65" s="22"/>
      <c r="E65" s="22"/>
      <c r="F65" s="22"/>
      <c r="G65" s="22"/>
    </row>
    <row r="66" spans="1:7" ht="15.75" x14ac:dyDescent="0.25">
      <c r="A66" s="22"/>
      <c r="B66" s="50"/>
      <c r="C66" s="22"/>
      <c r="D66" s="22"/>
      <c r="E66" s="22"/>
      <c r="F66" s="22"/>
      <c r="G66" s="22"/>
    </row>
    <row r="67" spans="1:7" ht="15.75" x14ac:dyDescent="0.25">
      <c r="A67" s="22"/>
      <c r="B67" s="50"/>
      <c r="C67" s="22"/>
      <c r="D67" s="22"/>
      <c r="E67" s="22"/>
      <c r="F67" s="22"/>
      <c r="G67" s="22"/>
    </row>
    <row r="68" spans="1:7" ht="15.75" x14ac:dyDescent="0.25">
      <c r="A68" s="22"/>
      <c r="B68" s="50"/>
      <c r="C68" s="22"/>
      <c r="D68" s="22"/>
      <c r="E68" s="22"/>
      <c r="F68" s="22"/>
      <c r="G68" s="22"/>
    </row>
    <row r="69" spans="1:7" ht="15.75" x14ac:dyDescent="0.25">
      <c r="A69" s="22"/>
      <c r="B69" s="50"/>
      <c r="C69" s="22"/>
      <c r="D69" s="22"/>
      <c r="E69" s="22"/>
      <c r="F69" s="22"/>
      <c r="G69" s="22"/>
    </row>
    <row r="70" spans="1:7" ht="15.75" x14ac:dyDescent="0.25">
      <c r="A70" s="22"/>
      <c r="B70" s="50"/>
      <c r="C70" s="22"/>
      <c r="D70" s="22"/>
      <c r="E70" s="22"/>
      <c r="F70" s="22"/>
      <c r="G70" s="22"/>
    </row>
    <row r="71" spans="1:7" ht="15.75" x14ac:dyDescent="0.25">
      <c r="A71" s="22"/>
      <c r="B71" s="50"/>
      <c r="C71" s="22"/>
      <c r="D71" s="22"/>
      <c r="E71" s="22"/>
      <c r="F71" s="22"/>
      <c r="G71" s="22"/>
    </row>
    <row r="72" spans="1:7" ht="15.75" x14ac:dyDescent="0.25">
      <c r="A72" s="22"/>
      <c r="B72" s="50"/>
      <c r="C72" s="22"/>
      <c r="D72" s="22"/>
      <c r="E72" s="22"/>
      <c r="F72" s="22"/>
      <c r="G72" s="22"/>
    </row>
    <row r="73" spans="1:7" ht="15.75" x14ac:dyDescent="0.25">
      <c r="A73" s="22"/>
      <c r="B73" s="50"/>
      <c r="C73" s="22"/>
      <c r="D73" s="22"/>
      <c r="E73" s="22"/>
      <c r="F73" s="22"/>
      <c r="G73" s="22"/>
    </row>
    <row r="74" spans="1:7" ht="15.75" x14ac:dyDescent="0.25">
      <c r="A74" s="22"/>
      <c r="B74" s="50"/>
      <c r="C74" s="22"/>
      <c r="D74" s="22"/>
      <c r="E74" s="22"/>
      <c r="F74" s="22"/>
      <c r="G74" s="22"/>
    </row>
    <row r="75" spans="1:7" ht="15.75" x14ac:dyDescent="0.25">
      <c r="A75" s="22"/>
      <c r="B75" s="50"/>
      <c r="C75" s="22"/>
      <c r="D75" s="22"/>
      <c r="E75" s="22"/>
      <c r="F75" s="22"/>
      <c r="G75" s="22"/>
    </row>
    <row r="76" spans="1:7" ht="15.75" x14ac:dyDescent="0.25">
      <c r="A76" s="22"/>
      <c r="B76" s="50"/>
      <c r="C76" s="22"/>
      <c r="D76" s="22"/>
      <c r="E76" s="22"/>
      <c r="F76" s="22"/>
      <c r="G76" s="22"/>
    </row>
    <row r="77" spans="1:7" ht="15.75" x14ac:dyDescent="0.25">
      <c r="A77" s="22"/>
      <c r="B77" s="50"/>
      <c r="C77" s="22"/>
      <c r="D77" s="22"/>
      <c r="E77" s="22"/>
      <c r="F77" s="22"/>
      <c r="G77" s="22"/>
    </row>
    <row r="78" spans="1:7" ht="15.75" x14ac:dyDescent="0.25">
      <c r="A78" s="22"/>
      <c r="B78" s="50"/>
      <c r="C78" s="22"/>
      <c r="D78" s="22"/>
      <c r="E78" s="22"/>
      <c r="F78" s="22"/>
      <c r="G78" s="22"/>
    </row>
    <row r="79" spans="1:7" ht="15.75" x14ac:dyDescent="0.25">
      <c r="A79" s="22"/>
      <c r="B79" s="50"/>
      <c r="C79" s="22"/>
      <c r="D79" s="22"/>
      <c r="E79" s="22"/>
      <c r="F79" s="22"/>
      <c r="G79" s="22"/>
    </row>
    <row r="80" spans="1:7" ht="15.75" x14ac:dyDescent="0.25">
      <c r="A80" s="22"/>
      <c r="B80" s="50"/>
      <c r="C80" s="22"/>
      <c r="D80" s="22"/>
      <c r="E80" s="22"/>
      <c r="F80" s="22"/>
      <c r="G80" s="22"/>
    </row>
    <row r="81" spans="1:7" ht="15.75" x14ac:dyDescent="0.25">
      <c r="A81" s="22"/>
      <c r="B81" s="50"/>
      <c r="C81" s="22"/>
      <c r="D81" s="22"/>
      <c r="E81" s="22"/>
      <c r="F81" s="22"/>
      <c r="G81" s="22"/>
    </row>
    <row r="82" spans="1:7" ht="15.75" x14ac:dyDescent="0.25">
      <c r="A82" s="22"/>
      <c r="B82" s="50"/>
      <c r="C82" s="22"/>
      <c r="D82" s="22"/>
      <c r="E82" s="22"/>
      <c r="F82" s="22"/>
      <c r="G82" s="22"/>
    </row>
    <row r="83" spans="1:7" ht="15.75" x14ac:dyDescent="0.25">
      <c r="A83" s="22"/>
      <c r="B83" s="50"/>
      <c r="C83" s="22"/>
      <c r="D83" s="22"/>
      <c r="E83" s="22"/>
      <c r="F83" s="22"/>
      <c r="G83" s="22"/>
    </row>
    <row r="84" spans="1:7" ht="15.75" x14ac:dyDescent="0.25">
      <c r="A84" s="22"/>
      <c r="B84" s="50"/>
      <c r="C84" s="22"/>
      <c r="D84" s="22"/>
      <c r="E84" s="22"/>
      <c r="F84" s="22"/>
      <c r="G84" s="22"/>
    </row>
    <row r="85" spans="1:7" ht="15.75" x14ac:dyDescent="0.25">
      <c r="A85" s="22"/>
      <c r="B85" s="50"/>
      <c r="C85" s="22"/>
      <c r="D85" s="22"/>
      <c r="E85" s="22"/>
      <c r="F85" s="22"/>
      <c r="G85" s="22"/>
    </row>
    <row r="86" spans="1:7" ht="15.75" x14ac:dyDescent="0.25">
      <c r="A86" s="22"/>
      <c r="B86" s="50"/>
      <c r="C86" s="22"/>
      <c r="D86" s="22"/>
      <c r="E86" s="22"/>
      <c r="F86" s="22"/>
      <c r="G86" s="22"/>
    </row>
    <row r="87" spans="1:7" ht="15.75" x14ac:dyDescent="0.25">
      <c r="A87" s="22"/>
      <c r="B87" s="50"/>
      <c r="C87" s="22"/>
      <c r="D87" s="22"/>
      <c r="E87" s="22"/>
      <c r="F87" s="22"/>
      <c r="G87" s="22"/>
    </row>
    <row r="88" spans="1:7" ht="15.75" x14ac:dyDescent="0.25">
      <c r="A88" s="22"/>
      <c r="B88" s="50"/>
      <c r="C88" s="22"/>
      <c r="D88" s="22"/>
      <c r="E88" s="22"/>
      <c r="F88" s="22"/>
      <c r="G88" s="22"/>
    </row>
    <row r="89" spans="1:7" ht="15.75" x14ac:dyDescent="0.25">
      <c r="A89" s="22"/>
      <c r="B89" s="50"/>
      <c r="C89" s="22"/>
      <c r="D89" s="22"/>
      <c r="E89" s="22"/>
      <c r="F89" s="22"/>
      <c r="G89" s="22"/>
    </row>
    <row r="90" spans="1:7" ht="15.75" x14ac:dyDescent="0.25">
      <c r="A90" s="22"/>
      <c r="B90" s="50"/>
      <c r="C90" s="22"/>
      <c r="D90" s="22"/>
      <c r="E90" s="22"/>
      <c r="F90" s="22"/>
      <c r="G90" s="22"/>
    </row>
  </sheetData>
  <phoneticPr fontId="0" type="noConversion"/>
  <printOptions horizontalCentered="1"/>
  <pageMargins left="0.25" right="0.25" top="0.5" bottom="0.5" header="0.25" footer="0.25"/>
  <pageSetup scale="74" orientation="landscape" r:id="rId1"/>
  <headerFooter alignWithMargins="0">
    <oddFooter>&amp;L&amp;"Times New Roman,Regular"&amp;12&amp;F&amp;C&amp;"Times New Roman,Regular"&amp;12Page 1&amp;R&amp;"Times New Roman,Regular"&amp;12&amp;A</oddFooter>
  </headerFooter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46"/>
  <sheetViews>
    <sheetView zoomScale="80" zoomScaleNormal="80" workbookViewId="0">
      <selection activeCell="C36" sqref="C36"/>
    </sheetView>
  </sheetViews>
  <sheetFormatPr defaultColWidth="8.5703125" defaultRowHeight="12.75" x14ac:dyDescent="0.2"/>
  <cols>
    <col min="1" max="1" width="5.5703125" style="1" customWidth="1"/>
    <col min="2" max="2" width="55.5703125" style="2" customWidth="1"/>
    <col min="3" max="3" width="20.5703125" style="2" customWidth="1"/>
    <col min="4" max="4" width="40.5703125" style="1" customWidth="1"/>
    <col min="5" max="5" width="5.5703125" style="1" customWidth="1"/>
    <col min="6" max="6" width="15.5703125" style="1" customWidth="1"/>
    <col min="7" max="7" width="15.5703125" style="179" customWidth="1"/>
    <col min="8" max="16384" width="8.5703125" style="1"/>
  </cols>
  <sheetData>
    <row r="2" spans="1:5" ht="15.75" x14ac:dyDescent="0.2">
      <c r="B2" s="5" t="s">
        <v>220</v>
      </c>
      <c r="C2" s="5"/>
      <c r="D2" s="6"/>
    </row>
    <row r="3" spans="1:5" ht="15.75" x14ac:dyDescent="0.2">
      <c r="B3" s="5" t="s">
        <v>1</v>
      </c>
      <c r="C3" s="5"/>
      <c r="D3" s="6"/>
    </row>
    <row r="4" spans="1:5" ht="15.75" x14ac:dyDescent="0.2">
      <c r="B4" s="5" t="str">
        <f>'Stmnt BK1 - TRBAA'!B4</f>
        <v>2026 - TRBAA Rate Filing</v>
      </c>
      <c r="C4" s="5"/>
      <c r="D4" s="6"/>
    </row>
    <row r="5" spans="1:5" ht="15.75" x14ac:dyDescent="0.2">
      <c r="B5" s="5" t="s">
        <v>221</v>
      </c>
      <c r="C5" s="5"/>
      <c r="D5" s="6"/>
    </row>
    <row r="6" spans="1:5" ht="16.5" thickBot="1" x14ac:dyDescent="0.25">
      <c r="B6" s="5"/>
      <c r="C6" s="5"/>
      <c r="D6" s="6"/>
    </row>
    <row r="7" spans="1:5" ht="15.75" x14ac:dyDescent="0.25">
      <c r="A7" s="553" t="s">
        <v>8</v>
      </c>
      <c r="B7" s="455"/>
      <c r="C7" s="588" t="s">
        <v>18</v>
      </c>
      <c r="D7" s="590"/>
      <c r="E7" s="555" t="s">
        <v>8</v>
      </c>
    </row>
    <row r="8" spans="1:5" ht="16.5" thickBot="1" x14ac:dyDescent="0.3">
      <c r="A8" s="565" t="s">
        <v>11</v>
      </c>
      <c r="B8" s="153" t="s">
        <v>173</v>
      </c>
      <c r="C8" s="579" t="s">
        <v>174</v>
      </c>
      <c r="D8" s="580" t="s">
        <v>16</v>
      </c>
      <c r="E8" s="566" t="s">
        <v>11</v>
      </c>
    </row>
    <row r="9" spans="1:5" ht="15.75" x14ac:dyDescent="0.25">
      <c r="A9" s="332"/>
      <c r="B9" s="11"/>
      <c r="C9" s="235"/>
      <c r="D9" s="91"/>
      <c r="E9" s="348"/>
    </row>
    <row r="10" spans="1:5" ht="15.75" x14ac:dyDescent="0.25">
      <c r="A10" s="262">
        <v>1</v>
      </c>
      <c r="B10" s="18" t="s">
        <v>511</v>
      </c>
      <c r="C10" s="439">
        <f>'WP 4 Monthly TRBAA '!O38</f>
        <v>-5881073.1416210616</v>
      </c>
      <c r="D10" s="61" t="str">
        <f>'Stmnt BK1 - TRBAA'!D10</f>
        <v>Work paper No. 4; Page 4.4; Line 32</v>
      </c>
      <c r="E10" s="263">
        <v>1</v>
      </c>
    </row>
    <row r="11" spans="1:5" ht="15.75" x14ac:dyDescent="0.25">
      <c r="A11" s="262">
        <f>A10+1</f>
        <v>2</v>
      </c>
      <c r="B11" s="17"/>
      <c r="C11" s="91"/>
      <c r="D11" s="33"/>
      <c r="E11" s="263">
        <f>E10+1</f>
        <v>2</v>
      </c>
    </row>
    <row r="12" spans="1:5" ht="15.75" x14ac:dyDescent="0.25">
      <c r="A12" s="262">
        <f t="shared" ref="A12:A36" si="0">A11+1</f>
        <v>3</v>
      </c>
      <c r="B12" s="20" t="s">
        <v>176</v>
      </c>
      <c r="C12" s="236"/>
      <c r="D12" s="61"/>
      <c r="E12" s="263">
        <f t="shared" ref="E12:E36" si="1">E11+1</f>
        <v>3</v>
      </c>
    </row>
    <row r="13" spans="1:5" ht="15.75" x14ac:dyDescent="0.25">
      <c r="A13" s="262">
        <f t="shared" si="0"/>
        <v>4</v>
      </c>
      <c r="B13" s="17"/>
      <c r="C13" s="91"/>
      <c r="D13" s="33"/>
      <c r="E13" s="263">
        <f t="shared" si="1"/>
        <v>4</v>
      </c>
    </row>
    <row r="14" spans="1:5" ht="15.75" x14ac:dyDescent="0.25">
      <c r="A14" s="262">
        <f t="shared" si="0"/>
        <v>5</v>
      </c>
      <c r="B14" s="18" t="s">
        <v>177</v>
      </c>
      <c r="C14" s="237">
        <f>'WP 7 Wheeling Revenues'!E37</f>
        <v>-38168829.390000001</v>
      </c>
      <c r="D14" s="61" t="str">
        <f>'Stmnt BK1 - TRBAA'!D14</f>
        <v>Work paper No. 7; Page 7.1; Line 27</v>
      </c>
      <c r="E14" s="263">
        <f t="shared" si="1"/>
        <v>5</v>
      </c>
    </row>
    <row r="15" spans="1:5" ht="15.75" x14ac:dyDescent="0.25">
      <c r="A15" s="262">
        <f t="shared" si="0"/>
        <v>6</v>
      </c>
      <c r="B15" s="17"/>
      <c r="C15" s="238"/>
      <c r="D15" s="33"/>
      <c r="E15" s="263">
        <f t="shared" si="1"/>
        <v>6</v>
      </c>
    </row>
    <row r="16" spans="1:5" ht="15.75" x14ac:dyDescent="0.25">
      <c r="A16" s="262">
        <f t="shared" si="0"/>
        <v>7</v>
      </c>
      <c r="B16" s="18" t="s">
        <v>179</v>
      </c>
      <c r="C16" s="237">
        <f>'WP 8 CT4575'!C34</f>
        <v>18000</v>
      </c>
      <c r="D16" s="61" t="str">
        <f>'Stmnt BK1 - TRBAA'!D16</f>
        <v>Work paper No. 8; Page 8.1; Line 27</v>
      </c>
      <c r="E16" s="263">
        <f t="shared" si="1"/>
        <v>7</v>
      </c>
    </row>
    <row r="17" spans="1:5" ht="15.75" x14ac:dyDescent="0.25">
      <c r="A17" s="262">
        <f t="shared" si="0"/>
        <v>8</v>
      </c>
      <c r="B17" s="17"/>
      <c r="C17" s="238"/>
      <c r="D17" s="33"/>
      <c r="E17" s="263">
        <f t="shared" si="1"/>
        <v>8</v>
      </c>
    </row>
    <row r="18" spans="1:5" ht="15.75" x14ac:dyDescent="0.25">
      <c r="A18" s="262">
        <f t="shared" si="0"/>
        <v>9</v>
      </c>
      <c r="B18" s="18" t="s">
        <v>209</v>
      </c>
      <c r="C18" s="237">
        <f>'WP 9 ETC Cost Diffs'!C34</f>
        <v>-382483.10728000058</v>
      </c>
      <c r="D18" s="61" t="str">
        <f>'Stmnt BK1 - TRBAA'!D18</f>
        <v>Work paper No. 9; Page 9.1; Line 27</v>
      </c>
      <c r="E18" s="263">
        <f t="shared" si="1"/>
        <v>9</v>
      </c>
    </row>
    <row r="19" spans="1:5" ht="15.75" x14ac:dyDescent="0.25">
      <c r="A19" s="262">
        <f t="shared" si="0"/>
        <v>10</v>
      </c>
      <c r="B19" s="17"/>
      <c r="C19" s="238"/>
      <c r="D19" s="33"/>
      <c r="E19" s="263">
        <f t="shared" si="1"/>
        <v>10</v>
      </c>
    </row>
    <row r="20" spans="1:5" ht="15.75" x14ac:dyDescent="0.25">
      <c r="A20" s="262">
        <f t="shared" si="0"/>
        <v>11</v>
      </c>
      <c r="B20" s="18" t="s">
        <v>183</v>
      </c>
      <c r="C20" s="440">
        <f>'WP 11 Other PTO Forecast'!C34</f>
        <v>-5591461.26272</v>
      </c>
      <c r="D20" s="61" t="str">
        <f>'Stmnt BK1 - TRBAA'!D20</f>
        <v>Work paper No. 11; Page 11.1; Line 27</v>
      </c>
      <c r="E20" s="263">
        <f t="shared" si="1"/>
        <v>11</v>
      </c>
    </row>
    <row r="21" spans="1:5" ht="15.75" x14ac:dyDescent="0.25">
      <c r="A21" s="262">
        <f t="shared" si="0"/>
        <v>12</v>
      </c>
      <c r="B21" s="17"/>
      <c r="C21" s="91"/>
      <c r="D21" s="33"/>
      <c r="E21" s="263">
        <f t="shared" si="1"/>
        <v>12</v>
      </c>
    </row>
    <row r="22" spans="1:5" ht="15.75" x14ac:dyDescent="0.25">
      <c r="A22" s="262">
        <f t="shared" si="0"/>
        <v>13</v>
      </c>
      <c r="B22" s="477" t="s">
        <v>185</v>
      </c>
      <c r="C22" s="252">
        <f>SUM(C14:C20)</f>
        <v>-44124773.760000005</v>
      </c>
      <c r="D22" s="61" t="s">
        <v>222</v>
      </c>
      <c r="E22" s="263">
        <f t="shared" si="1"/>
        <v>13</v>
      </c>
    </row>
    <row r="23" spans="1:5" ht="15.75" x14ac:dyDescent="0.25">
      <c r="A23" s="262">
        <f t="shared" si="0"/>
        <v>14</v>
      </c>
      <c r="B23" s="18"/>
      <c r="C23" s="239"/>
      <c r="D23" s="61"/>
      <c r="E23" s="263">
        <f t="shared" si="1"/>
        <v>14</v>
      </c>
    </row>
    <row r="24" spans="1:5" ht="15.75" x14ac:dyDescent="0.25">
      <c r="A24" s="262">
        <f t="shared" si="0"/>
        <v>15</v>
      </c>
      <c r="B24" s="11" t="s">
        <v>187</v>
      </c>
      <c r="C24" s="254">
        <f>C10+C22</f>
        <v>-50005846.901621066</v>
      </c>
      <c r="D24" s="61" t="str">
        <f>'Stmnt BK1 - TRBAA'!D24</f>
        <v>Line 1 + Line 13</v>
      </c>
      <c r="E24" s="263">
        <f t="shared" si="1"/>
        <v>15</v>
      </c>
    </row>
    <row r="25" spans="1:5" ht="15.75" x14ac:dyDescent="0.25">
      <c r="A25" s="262">
        <f t="shared" si="0"/>
        <v>16</v>
      </c>
      <c r="B25" s="11"/>
      <c r="C25" s="444"/>
      <c r="D25" s="62"/>
      <c r="E25" s="263">
        <f t="shared" si="1"/>
        <v>16</v>
      </c>
    </row>
    <row r="26" spans="1:5" ht="15.75" x14ac:dyDescent="0.25">
      <c r="A26" s="262">
        <f t="shared" si="0"/>
        <v>17</v>
      </c>
      <c r="B26" s="11" t="s">
        <v>480</v>
      </c>
      <c r="C26" s="238">
        <f>C24*0.010207</f>
        <v>-510409.67932484625</v>
      </c>
      <c r="D26" s="61" t="str">
        <f>'Stmnt BK1 - TRBAA'!D26</f>
        <v>Line 15 x 1.0207%</v>
      </c>
      <c r="E26" s="263">
        <f t="shared" si="1"/>
        <v>17</v>
      </c>
    </row>
    <row r="27" spans="1:5" ht="15.75" x14ac:dyDescent="0.25">
      <c r="A27" s="262">
        <f t="shared" si="0"/>
        <v>18</v>
      </c>
      <c r="B27" s="11"/>
      <c r="C27" s="444"/>
      <c r="D27" s="62"/>
      <c r="E27" s="263">
        <f t="shared" si="1"/>
        <v>18</v>
      </c>
    </row>
    <row r="28" spans="1:5" ht="15.75" x14ac:dyDescent="0.25">
      <c r="A28" s="262">
        <f t="shared" si="0"/>
        <v>19</v>
      </c>
      <c r="B28" s="11" t="str">
        <f>'Stmnt BK1 - TRBAA'!B28</f>
        <v xml:space="preserve">   Uncollectibles @ 0.2410%</v>
      </c>
      <c r="C28" s="252">
        <f>(C24*0.00241)-1</f>
        <v>-120515.09103290676</v>
      </c>
      <c r="D28" s="61" t="str">
        <f>'Stmnt BK1 - TRBAA'!D28</f>
        <v>Line 15 x 0.2410%</v>
      </c>
      <c r="E28" s="263">
        <f t="shared" si="1"/>
        <v>19</v>
      </c>
    </row>
    <row r="29" spans="1:5" ht="15.75" x14ac:dyDescent="0.25">
      <c r="A29" s="262">
        <f t="shared" si="0"/>
        <v>20</v>
      </c>
      <c r="B29" s="11"/>
      <c r="C29" s="238"/>
      <c r="D29" s="62"/>
      <c r="E29" s="263">
        <f t="shared" si="1"/>
        <v>20</v>
      </c>
    </row>
    <row r="30" spans="1:5" ht="15.75" x14ac:dyDescent="0.25">
      <c r="A30" s="187">
        <f t="shared" si="0"/>
        <v>21</v>
      </c>
      <c r="B30" s="11" t="s">
        <v>189</v>
      </c>
      <c r="C30" s="252">
        <f>SUM(C26:C28)</f>
        <v>-630924.77035775303</v>
      </c>
      <c r="D30" s="61" t="s">
        <v>190</v>
      </c>
      <c r="E30" s="263">
        <f t="shared" si="1"/>
        <v>21</v>
      </c>
    </row>
    <row r="31" spans="1:5" ht="15.75" x14ac:dyDescent="0.25">
      <c r="A31" s="262">
        <f t="shared" si="0"/>
        <v>22</v>
      </c>
      <c r="B31" s="11"/>
      <c r="C31" s="444"/>
      <c r="D31" s="62"/>
      <c r="E31" s="263">
        <f t="shared" si="1"/>
        <v>22</v>
      </c>
    </row>
    <row r="32" spans="1:5" ht="15.75" x14ac:dyDescent="0.25">
      <c r="A32" s="262">
        <f t="shared" si="0"/>
        <v>23</v>
      </c>
      <c r="B32" s="11" t="s">
        <v>191</v>
      </c>
      <c r="C32" s="239">
        <f>SUM(C24:C29)+1</f>
        <v>-50636770.671978816</v>
      </c>
      <c r="D32" s="61" t="s">
        <v>192</v>
      </c>
      <c r="E32" s="263">
        <f t="shared" si="1"/>
        <v>23</v>
      </c>
    </row>
    <row r="33" spans="1:5" ht="15.75" x14ac:dyDescent="0.25">
      <c r="A33" s="262">
        <f t="shared" si="0"/>
        <v>24</v>
      </c>
      <c r="B33" s="11"/>
      <c r="C33" s="444"/>
      <c r="D33" s="62"/>
      <c r="E33" s="263">
        <f t="shared" si="1"/>
        <v>24</v>
      </c>
    </row>
    <row r="34" spans="1:5" ht="15.75" x14ac:dyDescent="0.25">
      <c r="A34" s="262">
        <f t="shared" si="0"/>
        <v>25</v>
      </c>
      <c r="B34" s="11" t="s">
        <v>512</v>
      </c>
      <c r="C34" s="445">
        <f>'Stmnt BD - Recorded KWH'!$E26</f>
        <v>16648662912</v>
      </c>
      <c r="D34" s="61" t="s">
        <v>223</v>
      </c>
      <c r="E34" s="263">
        <f t="shared" si="1"/>
        <v>25</v>
      </c>
    </row>
    <row r="35" spans="1:5" ht="15.75" x14ac:dyDescent="0.25">
      <c r="A35" s="262">
        <f t="shared" si="0"/>
        <v>26</v>
      </c>
      <c r="B35" s="17"/>
      <c r="C35" s="443"/>
      <c r="D35" s="63"/>
      <c r="E35" s="263">
        <f t="shared" si="1"/>
        <v>26</v>
      </c>
    </row>
    <row r="36" spans="1:5" ht="16.5" thickBot="1" x14ac:dyDescent="0.3">
      <c r="A36" s="262">
        <f t="shared" si="0"/>
        <v>27</v>
      </c>
      <c r="B36" s="11" t="s">
        <v>224</v>
      </c>
      <c r="C36" s="479">
        <f>ROUND(C32/C34,5)</f>
        <v>-3.0400000000000002E-3</v>
      </c>
      <c r="D36" s="61" t="s">
        <v>225</v>
      </c>
      <c r="E36" s="263">
        <f t="shared" si="1"/>
        <v>27</v>
      </c>
    </row>
    <row r="37" spans="1:5" ht="17.25" thickTop="1" thickBot="1" x14ac:dyDescent="0.3">
      <c r="A37" s="572"/>
      <c r="B37" s="81"/>
      <c r="C37" s="579"/>
      <c r="D37" s="573"/>
      <c r="E37" s="406"/>
    </row>
    <row r="38" spans="1:5" ht="15.75" x14ac:dyDescent="0.25">
      <c r="A38" s="22"/>
      <c r="B38" s="22"/>
      <c r="C38" s="22"/>
      <c r="D38" s="37"/>
      <c r="E38" s="22"/>
    </row>
    <row r="39" spans="1:5" ht="15.75" x14ac:dyDescent="0.25">
      <c r="A39" s="22"/>
      <c r="B39" s="68"/>
    </row>
    <row r="40" spans="1:5" ht="18.75" x14ac:dyDescent="0.25">
      <c r="A40" s="69"/>
      <c r="B40" s="50"/>
    </row>
    <row r="41" spans="1:5" ht="18.75" x14ac:dyDescent="0.25">
      <c r="A41" s="69"/>
      <c r="B41" s="50"/>
    </row>
    <row r="42" spans="1:5" ht="18.75" x14ac:dyDescent="0.25">
      <c r="A42" s="69"/>
      <c r="B42" s="50"/>
    </row>
    <row r="43" spans="1:5" ht="18.75" x14ac:dyDescent="0.25">
      <c r="A43" s="69"/>
      <c r="B43" s="50"/>
    </row>
    <row r="44" spans="1:5" ht="15.75" x14ac:dyDescent="0.25">
      <c r="A44" s="36"/>
      <c r="B44" s="50"/>
    </row>
    <row r="45" spans="1:5" ht="15.75" x14ac:dyDescent="0.25">
      <c r="B45" s="50"/>
    </row>
    <row r="46" spans="1:5" ht="18.75" x14ac:dyDescent="0.25">
      <c r="A46" s="69"/>
    </row>
  </sheetData>
  <phoneticPr fontId="15" type="noConversion"/>
  <printOptions horizontalCentered="1"/>
  <pageMargins left="0.25" right="0.25" top="0.5" bottom="0.75" header="0.25" footer="0.25"/>
  <pageSetup scale="90" orientation="landscape" r:id="rId1"/>
  <headerFooter alignWithMargins="0">
    <oddFooter>&amp;L&amp;"Times New Roman,Regular"&amp;F&amp;C&amp;"Times New Roman,Regular"Page 1&amp;R&amp;"Times New Roman,Regular"&amp;A</oddFooter>
  </headerFooter>
  <colBreaks count="1" manualBreakCount="1">
    <brk id="5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I32"/>
  <sheetViews>
    <sheetView zoomScale="80" zoomScaleNormal="80" workbookViewId="0">
      <selection activeCell="C15" sqref="C15"/>
    </sheetView>
  </sheetViews>
  <sheetFormatPr defaultColWidth="8.5703125" defaultRowHeight="12.75" x14ac:dyDescent="0.2"/>
  <cols>
    <col min="1" max="1" width="5.5703125" style="1" customWidth="1"/>
    <col min="2" max="2" width="55.5703125" style="2" customWidth="1"/>
    <col min="3" max="5" width="20.5703125" style="1" customWidth="1"/>
    <col min="6" max="6" width="50.5703125" style="1" customWidth="1"/>
    <col min="7" max="7" width="5.5703125" style="1" customWidth="1"/>
    <col min="8" max="8" width="15.5703125" style="1" customWidth="1"/>
    <col min="9" max="9" width="15.5703125" style="179" customWidth="1"/>
    <col min="10" max="16384" width="8.5703125" style="1"/>
  </cols>
  <sheetData>
    <row r="2" spans="1:9" ht="15.75" x14ac:dyDescent="0.2">
      <c r="B2" s="5" t="s">
        <v>220</v>
      </c>
      <c r="C2" s="6"/>
      <c r="D2" s="6"/>
      <c r="E2" s="6"/>
      <c r="F2" s="6"/>
    </row>
    <row r="3" spans="1:9" ht="15.75" x14ac:dyDescent="0.2">
      <c r="B3" s="5" t="s">
        <v>1</v>
      </c>
      <c r="C3" s="6"/>
      <c r="D3" s="6"/>
      <c r="E3" s="6"/>
      <c r="F3" s="6"/>
    </row>
    <row r="4" spans="1:9" ht="15.75" x14ac:dyDescent="0.2">
      <c r="B4" s="5" t="str">
        <f>'Stmnt BK1 - TRBAA'!B4</f>
        <v>2026 - TRBAA Rate Filing</v>
      </c>
      <c r="C4" s="6"/>
      <c r="D4" s="6"/>
      <c r="E4" s="6"/>
      <c r="F4" s="6"/>
    </row>
    <row r="5" spans="1:9" ht="15.75" x14ac:dyDescent="0.2">
      <c r="B5" s="5" t="s">
        <v>509</v>
      </c>
      <c r="C5" s="6"/>
      <c r="D5" s="6"/>
      <c r="E5" s="6"/>
      <c r="F5" s="6"/>
    </row>
    <row r="6" spans="1:9" ht="15.75" x14ac:dyDescent="0.2">
      <c r="B6" s="5" t="s">
        <v>226</v>
      </c>
      <c r="C6" s="6"/>
      <c r="D6" s="6"/>
      <c r="E6" s="6"/>
      <c r="F6" s="6"/>
    </row>
    <row r="7" spans="1:9" ht="16.5" thickBot="1" x14ac:dyDescent="0.25">
      <c r="B7" s="5"/>
      <c r="C7" s="6"/>
      <c r="D7" s="6"/>
      <c r="E7" s="6"/>
      <c r="F7" s="6"/>
    </row>
    <row r="8" spans="1:9" ht="15.75" x14ac:dyDescent="0.25">
      <c r="A8" s="286"/>
      <c r="B8" s="585"/>
      <c r="C8" s="586" t="s">
        <v>3</v>
      </c>
      <c r="D8" s="587" t="s">
        <v>4</v>
      </c>
      <c r="E8" s="587" t="s">
        <v>195</v>
      </c>
      <c r="F8" s="588"/>
      <c r="G8" s="544"/>
    </row>
    <row r="9" spans="1:9" ht="15.75" x14ac:dyDescent="0.25">
      <c r="A9" s="547" t="s">
        <v>8</v>
      </c>
      <c r="B9" s="74"/>
      <c r="C9" s="581" t="s">
        <v>18</v>
      </c>
      <c r="D9" s="582" t="s">
        <v>18</v>
      </c>
      <c r="E9" s="582" t="s">
        <v>227</v>
      </c>
      <c r="F9" s="575"/>
      <c r="G9" s="548" t="s">
        <v>8</v>
      </c>
    </row>
    <row r="10" spans="1:9" ht="15.75" x14ac:dyDescent="0.25">
      <c r="A10" s="547" t="s">
        <v>11</v>
      </c>
      <c r="B10" s="75"/>
      <c r="C10" s="575" t="s">
        <v>228</v>
      </c>
      <c r="D10" s="583" t="s">
        <v>229</v>
      </c>
      <c r="E10" s="583" t="s">
        <v>230</v>
      </c>
      <c r="F10" s="575"/>
      <c r="G10" s="548" t="s">
        <v>11</v>
      </c>
    </row>
    <row r="11" spans="1:9" ht="15.75" x14ac:dyDescent="0.25">
      <c r="A11" s="591"/>
      <c r="B11" s="541" t="s">
        <v>173</v>
      </c>
      <c r="C11" s="576" t="s">
        <v>230</v>
      </c>
      <c r="D11" s="584" t="s">
        <v>230</v>
      </c>
      <c r="E11" s="584"/>
      <c r="F11" s="576" t="s">
        <v>231</v>
      </c>
      <c r="G11" s="592"/>
    </row>
    <row r="12" spans="1:9" ht="15.75" x14ac:dyDescent="0.25">
      <c r="A12" s="351"/>
      <c r="B12" s="8"/>
      <c r="C12" s="91"/>
      <c r="D12" s="17"/>
      <c r="E12" s="17"/>
      <c r="F12" s="60"/>
      <c r="G12" s="352"/>
    </row>
    <row r="13" spans="1:9" s="360" customFormat="1" ht="18.75" x14ac:dyDescent="0.2">
      <c r="A13" s="355">
        <v>1</v>
      </c>
      <c r="B13" s="480" t="s">
        <v>202</v>
      </c>
      <c r="C13" s="446">
        <f>'Stmnt BK2 - TRBAA'!C13</f>
        <v>599326002.61051977</v>
      </c>
      <c r="D13" s="377">
        <f>'Stmnt BK2 - TRBAA'!D13</f>
        <v>638200046.4431566</v>
      </c>
      <c r="E13" s="377">
        <f>C13+D13</f>
        <v>1237526049.0536764</v>
      </c>
      <c r="F13" s="378" t="s">
        <v>203</v>
      </c>
      <c r="G13" s="359">
        <v>1</v>
      </c>
      <c r="I13" s="951"/>
    </row>
    <row r="14" spans="1:9" ht="15.75" x14ac:dyDescent="0.25">
      <c r="A14" s="262">
        <f>A13+1</f>
        <v>2</v>
      </c>
      <c r="B14" s="11"/>
      <c r="C14" s="442"/>
      <c r="D14" s="16"/>
      <c r="E14" s="16"/>
      <c r="F14" s="71"/>
      <c r="G14" s="263">
        <f>G13+1</f>
        <v>2</v>
      </c>
    </row>
    <row r="15" spans="1:9" ht="18.75" x14ac:dyDescent="0.25">
      <c r="A15" s="262">
        <f t="shared" ref="A15:A23" si="0">A14+1</f>
        <v>3</v>
      </c>
      <c r="B15" s="11" t="s">
        <v>232</v>
      </c>
      <c r="C15" s="238">
        <f>'Stmnt BK2 - TRBAA'!C33</f>
        <v>-46829825.824976347</v>
      </c>
      <c r="D15" s="31">
        <f>'Stmnt BK2 - TRBAA'!D33</f>
        <v>-3686430.612902978</v>
      </c>
      <c r="E15" s="31">
        <f>C15+D15</f>
        <v>-50516256.437879324</v>
      </c>
      <c r="F15" s="194" t="s">
        <v>233</v>
      </c>
      <c r="G15" s="263">
        <f t="shared" ref="G15:G23" si="1">G14+1</f>
        <v>3</v>
      </c>
    </row>
    <row r="16" spans="1:9" ht="15.75" x14ac:dyDescent="0.25">
      <c r="A16" s="262">
        <f t="shared" si="0"/>
        <v>4</v>
      </c>
      <c r="B16" s="11"/>
      <c r="C16" s="238"/>
      <c r="D16" s="31"/>
      <c r="E16" s="31"/>
      <c r="F16" s="71"/>
      <c r="G16" s="263">
        <f t="shared" si="1"/>
        <v>4</v>
      </c>
    </row>
    <row r="17" spans="1:7" ht="18.75" x14ac:dyDescent="0.25">
      <c r="A17" s="262">
        <f t="shared" si="0"/>
        <v>5</v>
      </c>
      <c r="B17" s="11" t="s">
        <v>234</v>
      </c>
      <c r="C17" s="445">
        <f>'Stmnt BK2 - TRBAA'!C35</f>
        <v>-6197374</v>
      </c>
      <c r="D17" s="51">
        <f>'Stmnt BK2 - TRBAA'!D35</f>
        <v>-6599354</v>
      </c>
      <c r="E17" s="51">
        <f>C17+D17</f>
        <v>-12796728</v>
      </c>
      <c r="F17" s="194" t="s">
        <v>235</v>
      </c>
      <c r="G17" s="263">
        <f t="shared" si="1"/>
        <v>5</v>
      </c>
    </row>
    <row r="18" spans="1:7" ht="15.75" x14ac:dyDescent="0.25">
      <c r="A18" s="262">
        <f t="shared" si="0"/>
        <v>6</v>
      </c>
      <c r="B18" s="17"/>
      <c r="C18" s="442"/>
      <c r="D18" s="16"/>
      <c r="E18" s="16"/>
      <c r="F18" s="86"/>
      <c r="G18" s="263">
        <f t="shared" si="1"/>
        <v>6</v>
      </c>
    </row>
    <row r="19" spans="1:7" ht="15.75" x14ac:dyDescent="0.25">
      <c r="A19" s="262">
        <f t="shared" si="0"/>
        <v>7</v>
      </c>
      <c r="B19" s="11" t="s">
        <v>236</v>
      </c>
      <c r="C19" s="239">
        <f>C13+C15+C17</f>
        <v>546298802.78554344</v>
      </c>
      <c r="D19" s="19">
        <f>D13+D15+D17</f>
        <v>627914261.8302536</v>
      </c>
      <c r="E19" s="19">
        <f>E13+E15+E17</f>
        <v>1174213064.615797</v>
      </c>
      <c r="F19" s="70" t="s">
        <v>237</v>
      </c>
      <c r="G19" s="263">
        <f t="shared" si="1"/>
        <v>7</v>
      </c>
    </row>
    <row r="20" spans="1:7" ht="15.75" x14ac:dyDescent="0.25">
      <c r="A20" s="262">
        <f t="shared" si="0"/>
        <v>8</v>
      </c>
      <c r="B20" s="11"/>
      <c r="C20" s="239"/>
      <c r="D20" s="19"/>
      <c r="E20" s="19"/>
      <c r="F20" s="195"/>
      <c r="G20" s="263">
        <f t="shared" si="1"/>
        <v>8</v>
      </c>
    </row>
    <row r="21" spans="1:7" ht="15.75" x14ac:dyDescent="0.25">
      <c r="A21" s="262">
        <f t="shared" si="0"/>
        <v>9</v>
      </c>
      <c r="B21" s="11" t="s">
        <v>238</v>
      </c>
      <c r="C21" s="252">
        <f>'Stmnt BD-Forecast MWH@Transm.'!$F40</f>
        <v>18113268.916761499</v>
      </c>
      <c r="D21" s="38">
        <f>'Stmnt BD-Forecast MWH@Transm.'!$F40</f>
        <v>18113268.916761499</v>
      </c>
      <c r="E21" s="38">
        <f>'Stmnt BD-Forecast MWH@Transm.'!$F40</f>
        <v>18113268.916761499</v>
      </c>
      <c r="F21" s="157" t="s">
        <v>477</v>
      </c>
      <c r="G21" s="263">
        <f t="shared" si="1"/>
        <v>9</v>
      </c>
    </row>
    <row r="22" spans="1:7" ht="15.75" x14ac:dyDescent="0.25">
      <c r="A22" s="262">
        <f t="shared" si="0"/>
        <v>10</v>
      </c>
      <c r="B22" s="11"/>
      <c r="C22" s="444"/>
      <c r="D22" s="15"/>
      <c r="E22" s="15"/>
      <c r="F22" s="196"/>
      <c r="G22" s="263">
        <f t="shared" si="1"/>
        <v>10</v>
      </c>
    </row>
    <row r="23" spans="1:7" ht="16.5" thickBot="1" x14ac:dyDescent="0.3">
      <c r="A23" s="262">
        <f t="shared" si="0"/>
        <v>11</v>
      </c>
      <c r="B23" s="11" t="s">
        <v>239</v>
      </c>
      <c r="C23" s="447">
        <f>C19/C21</f>
        <v>30.160144217812292</v>
      </c>
      <c r="D23" s="35">
        <f>D19/D21</f>
        <v>34.665982419617244</v>
      </c>
      <c r="E23" s="35">
        <f>E19/E21</f>
        <v>64.826126637429539</v>
      </c>
      <c r="F23" s="70" t="s">
        <v>240</v>
      </c>
      <c r="G23" s="263">
        <f t="shared" si="1"/>
        <v>11</v>
      </c>
    </row>
    <row r="24" spans="1:7" ht="17.25" thickTop="1" thickBot="1" x14ac:dyDescent="0.3">
      <c r="A24" s="572"/>
      <c r="B24" s="81"/>
      <c r="C24" s="552"/>
      <c r="D24" s="81"/>
      <c r="E24" s="81"/>
      <c r="F24" s="552"/>
      <c r="G24" s="406"/>
    </row>
    <row r="25" spans="1:7" x14ac:dyDescent="0.2">
      <c r="B25" s="1"/>
    </row>
    <row r="26" spans="1:7" ht="15.75" x14ac:dyDescent="0.25">
      <c r="A26" s="22"/>
      <c r="B26" s="156" t="s">
        <v>241</v>
      </c>
      <c r="C26" s="22"/>
      <c r="D26" s="22"/>
      <c r="E26" s="22"/>
      <c r="F26" s="22"/>
      <c r="G26" s="22"/>
    </row>
    <row r="27" spans="1:7" ht="18.75" x14ac:dyDescent="0.25">
      <c r="A27" s="83" t="s">
        <v>125</v>
      </c>
      <c r="B27" s="50" t="s">
        <v>510</v>
      </c>
      <c r="C27" s="22"/>
      <c r="D27" s="22"/>
      <c r="E27" s="22"/>
      <c r="F27" s="22"/>
      <c r="G27" s="22"/>
    </row>
    <row r="28" spans="1:7" ht="18.75" x14ac:dyDescent="0.25">
      <c r="A28" s="83">
        <v>2</v>
      </c>
      <c r="B28" s="50" t="s">
        <v>242</v>
      </c>
    </row>
    <row r="29" spans="1:7" ht="18.75" x14ac:dyDescent="0.25">
      <c r="A29" s="83">
        <v>3</v>
      </c>
      <c r="B29" s="50" t="s">
        <v>503</v>
      </c>
      <c r="C29" s="22"/>
      <c r="D29" s="22"/>
      <c r="E29" s="22"/>
      <c r="F29" s="22"/>
      <c r="G29" s="22"/>
    </row>
    <row r="30" spans="1:7" ht="15.75" x14ac:dyDescent="0.25">
      <c r="B30" s="50"/>
      <c r="C30" s="22"/>
      <c r="D30" s="22"/>
      <c r="E30" s="22"/>
      <c r="F30" s="22"/>
      <c r="G30" s="22"/>
    </row>
    <row r="31" spans="1:7" ht="15.75" x14ac:dyDescent="0.25">
      <c r="B31" s="50"/>
    </row>
    <row r="32" spans="1:7" ht="15.75" x14ac:dyDescent="0.25">
      <c r="B32" s="50"/>
    </row>
  </sheetData>
  <phoneticPr fontId="0" type="noConversion"/>
  <printOptions horizontalCentered="1"/>
  <pageMargins left="0.25" right="0.25" top="0.5" bottom="0.5" header="0.25" footer="0.25"/>
  <pageSetup scale="76" orientation="landscape" r:id="rId1"/>
  <headerFooter scaleWithDoc="0" alignWithMargins="0">
    <oddFooter>&amp;L&amp;"Times New Roman,Regular"&amp;11&amp;F&amp;C&amp;"Times New Roman,Regular"&amp;11Page 1&amp;R&amp;"Times New Roman,Regular"&amp;11&amp;A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49"/>
  <sheetViews>
    <sheetView zoomScale="80" zoomScaleNormal="80" workbookViewId="0">
      <selection activeCell="S24" sqref="S24"/>
    </sheetView>
  </sheetViews>
  <sheetFormatPr defaultColWidth="9.42578125" defaultRowHeight="18" x14ac:dyDescent="0.25"/>
  <cols>
    <col min="1" max="1" width="5.5703125" style="180" customWidth="1"/>
    <col min="2" max="2" width="53.5703125" style="180" bestFit="1" customWidth="1"/>
    <col min="3" max="14" width="15.5703125" style="180" customWidth="1"/>
    <col min="15" max="15" width="18.42578125" style="180" bestFit="1" customWidth="1"/>
    <col min="16" max="16" width="5.5703125" style="180" customWidth="1"/>
    <col min="17" max="17" width="3.7109375" style="180" bestFit="1" customWidth="1"/>
    <col min="18" max="18" width="5.5703125" style="180" bestFit="1" customWidth="1"/>
    <col min="19" max="16384" width="9.42578125" style="180"/>
  </cols>
  <sheetData>
    <row r="1" spans="1:17" ht="18.75" thickBot="1" x14ac:dyDescent="0.3"/>
    <row r="2" spans="1:17" ht="25.5" x14ac:dyDescent="0.35">
      <c r="A2" s="593" t="s">
        <v>8</v>
      </c>
      <c r="B2" s="980" t="s">
        <v>243</v>
      </c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  <c r="O2" s="982"/>
      <c r="P2" s="593" t="s">
        <v>8</v>
      </c>
    </row>
    <row r="3" spans="1:17" ht="26.25" thickBot="1" x14ac:dyDescent="0.4">
      <c r="A3" s="181" t="s">
        <v>11</v>
      </c>
      <c r="B3" s="983" t="s">
        <v>508</v>
      </c>
      <c r="C3" s="984"/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5"/>
      <c r="P3" s="181" t="s">
        <v>11</v>
      </c>
    </row>
    <row r="4" spans="1:17" x14ac:dyDescent="0.25">
      <c r="A4" s="120">
        <v>1</v>
      </c>
      <c r="B4" s="182" t="s">
        <v>244</v>
      </c>
      <c r="C4" s="816"/>
      <c r="D4" s="183"/>
      <c r="E4" s="183"/>
      <c r="F4" s="598"/>
      <c r="G4" s="183"/>
      <c r="H4" s="183"/>
      <c r="I4" s="183"/>
      <c r="J4" s="183"/>
      <c r="K4" s="183"/>
      <c r="L4" s="183"/>
      <c r="M4" s="183"/>
      <c r="N4" s="183"/>
      <c r="O4" s="122"/>
      <c r="P4" s="120">
        <v>1</v>
      </c>
    </row>
    <row r="5" spans="1:17" x14ac:dyDescent="0.25">
      <c r="A5" s="120">
        <f>A4+1</f>
        <v>2</v>
      </c>
      <c r="B5" s="184" t="s">
        <v>245</v>
      </c>
      <c r="C5" s="216">
        <v>45566</v>
      </c>
      <c r="D5" s="217">
        <v>45597</v>
      </c>
      <c r="E5" s="217">
        <v>45627</v>
      </c>
      <c r="F5" s="217">
        <v>45658</v>
      </c>
      <c r="G5" s="217">
        <v>45689</v>
      </c>
      <c r="H5" s="217">
        <v>45717</v>
      </c>
      <c r="I5" s="217">
        <v>45748</v>
      </c>
      <c r="J5" s="217">
        <v>45778</v>
      </c>
      <c r="K5" s="217">
        <v>45809</v>
      </c>
      <c r="L5" s="217">
        <v>45839</v>
      </c>
      <c r="M5" s="217">
        <v>45870</v>
      </c>
      <c r="N5" s="217">
        <v>45901</v>
      </c>
      <c r="O5" s="185" t="s">
        <v>18</v>
      </c>
      <c r="P5" s="120">
        <f>P4+1</f>
        <v>2</v>
      </c>
    </row>
    <row r="6" spans="1:17" x14ac:dyDescent="0.25">
      <c r="A6" s="120">
        <f>A5+1</f>
        <v>3</v>
      </c>
      <c r="B6" s="149" t="s">
        <v>246</v>
      </c>
      <c r="C6" s="117">
        <v>509685.33799999999</v>
      </c>
      <c r="D6" s="93">
        <v>369767.70699999999</v>
      </c>
      <c r="E6" s="93">
        <v>461459.38400000002</v>
      </c>
      <c r="F6" s="197">
        <v>590219.84699999995</v>
      </c>
      <c r="G6" s="197">
        <v>419411.02899999998</v>
      </c>
      <c r="H6" s="197">
        <v>410983.56900000002</v>
      </c>
      <c r="I6" s="197">
        <v>332452.853</v>
      </c>
      <c r="J6" s="197">
        <v>321123.85200000001</v>
      </c>
      <c r="K6" s="197">
        <v>355977.364</v>
      </c>
      <c r="L6" s="197">
        <v>408359.625</v>
      </c>
      <c r="M6" s="197">
        <v>447524.989</v>
      </c>
      <c r="N6" s="197">
        <v>614305.96600000001</v>
      </c>
      <c r="O6" s="199">
        <f>SUM(C6:N6)</f>
        <v>5241271.523</v>
      </c>
      <c r="P6" s="120">
        <f>P5+1</f>
        <v>3</v>
      </c>
    </row>
    <row r="7" spans="1:17" x14ac:dyDescent="0.25">
      <c r="A7" s="120">
        <f t="shared" ref="A7:A23" si="0">A6+1</f>
        <v>4</v>
      </c>
      <c r="B7" s="149" t="s">
        <v>247</v>
      </c>
      <c r="C7" s="117">
        <v>205004.66099999999</v>
      </c>
      <c r="D7" s="93">
        <v>162143.033</v>
      </c>
      <c r="E7" s="93">
        <v>174054.147</v>
      </c>
      <c r="F7" s="197">
        <v>199704.86600000001</v>
      </c>
      <c r="G7" s="197">
        <v>156847.32500000001</v>
      </c>
      <c r="H7" s="197">
        <v>174764.45499999999</v>
      </c>
      <c r="I7" s="197">
        <v>165834.08900000001</v>
      </c>
      <c r="J7" s="197">
        <v>168299.242</v>
      </c>
      <c r="K7" s="197">
        <v>181419.54</v>
      </c>
      <c r="L7" s="197">
        <v>199044.91200000001</v>
      </c>
      <c r="M7" s="197">
        <v>195741.41899999999</v>
      </c>
      <c r="N7" s="197">
        <v>212695.285</v>
      </c>
      <c r="O7" s="199">
        <f>SUM(C7:N7)</f>
        <v>2195552.9740000004</v>
      </c>
      <c r="P7" s="120">
        <f t="shared" ref="P7:P23" si="1">P6+1</f>
        <v>4</v>
      </c>
    </row>
    <row r="8" spans="1:17" x14ac:dyDescent="0.25">
      <c r="A8" s="120">
        <f t="shared" si="0"/>
        <v>5</v>
      </c>
      <c r="B8" s="149" t="s">
        <v>248</v>
      </c>
      <c r="C8" s="898">
        <v>818545.35699999996</v>
      </c>
      <c r="D8" s="899">
        <v>651485.5780000001</v>
      </c>
      <c r="E8" s="899">
        <v>737182.01899999997</v>
      </c>
      <c r="F8" s="899">
        <v>773971.24300000002</v>
      </c>
      <c r="G8" s="899">
        <v>621943.65200000012</v>
      </c>
      <c r="H8" s="899">
        <v>699206.46799999999</v>
      </c>
      <c r="I8" s="899">
        <v>676648.88399999996</v>
      </c>
      <c r="J8" s="899">
        <v>668359.80300000007</v>
      </c>
      <c r="K8" s="899">
        <v>737191.995</v>
      </c>
      <c r="L8" s="899">
        <v>804701.49699999997</v>
      </c>
      <c r="M8" s="899">
        <v>779726.84100000001</v>
      </c>
      <c r="N8" s="899">
        <v>780830.14899999998</v>
      </c>
      <c r="O8" s="199">
        <f>SUM(C8:N8)</f>
        <v>8749793.4859999996</v>
      </c>
      <c r="P8" s="120">
        <f t="shared" si="1"/>
        <v>5</v>
      </c>
    </row>
    <row r="9" spans="1:17" x14ac:dyDescent="0.25">
      <c r="A9" s="120">
        <f t="shared" si="0"/>
        <v>6</v>
      </c>
      <c r="B9" s="202" t="s">
        <v>474</v>
      </c>
      <c r="C9" s="898">
        <v>747.3</v>
      </c>
      <c r="D9" s="899">
        <v>703.62</v>
      </c>
      <c r="E9" s="899">
        <v>339.3</v>
      </c>
      <c r="F9" s="899">
        <v>147.852</v>
      </c>
      <c r="G9" s="899">
        <v>178.99199999999999</v>
      </c>
      <c r="H9" s="899">
        <v>387.76799999999997</v>
      </c>
      <c r="I9" s="899">
        <v>920.89200000000005</v>
      </c>
      <c r="J9" s="899">
        <v>411.16800000000001</v>
      </c>
      <c r="K9" s="899">
        <v>0</v>
      </c>
      <c r="L9" s="899">
        <v>0</v>
      </c>
      <c r="M9" s="899">
        <v>0</v>
      </c>
      <c r="N9" s="899">
        <v>227.55600000000001</v>
      </c>
      <c r="O9" s="199">
        <f t="shared" ref="O9:O10" si="2">SUM(C9:N9)</f>
        <v>4064.4480000000003</v>
      </c>
      <c r="P9" s="120">
        <f t="shared" si="1"/>
        <v>6</v>
      </c>
    </row>
    <row r="10" spans="1:17" x14ac:dyDescent="0.25">
      <c r="A10" s="120">
        <f t="shared" si="0"/>
        <v>7</v>
      </c>
      <c r="B10" s="202" t="s">
        <v>249</v>
      </c>
      <c r="C10" s="898">
        <v>19499.568000000003</v>
      </c>
      <c r="D10" s="899">
        <v>14618.386000000002</v>
      </c>
      <c r="E10" s="899">
        <v>12838.602999999999</v>
      </c>
      <c r="F10" s="899">
        <v>16731.899999999998</v>
      </c>
      <c r="G10" s="899">
        <v>10358.587</v>
      </c>
      <c r="H10" s="899">
        <v>9439.1719999999987</v>
      </c>
      <c r="I10" s="899">
        <v>12305.156999999999</v>
      </c>
      <c r="J10" s="899">
        <v>13883.951000000001</v>
      </c>
      <c r="K10" s="899">
        <v>17110.252</v>
      </c>
      <c r="L10" s="899">
        <v>17843.775000000001</v>
      </c>
      <c r="M10" s="899">
        <v>18162.938999999998</v>
      </c>
      <c r="N10" s="899">
        <v>19575.816000000006</v>
      </c>
      <c r="O10" s="199">
        <f t="shared" si="2"/>
        <v>182368.10599999997</v>
      </c>
      <c r="P10" s="120">
        <f t="shared" si="1"/>
        <v>7</v>
      </c>
    </row>
    <row r="11" spans="1:17" x14ac:dyDescent="0.25">
      <c r="A11" s="120">
        <f t="shared" si="0"/>
        <v>8</v>
      </c>
      <c r="B11" s="202" t="s">
        <v>105</v>
      </c>
      <c r="C11" s="898">
        <v>19543.039000000001</v>
      </c>
      <c r="D11" s="899">
        <v>17719.866999999998</v>
      </c>
      <c r="E11" s="899">
        <v>16216.353999999999</v>
      </c>
      <c r="F11" s="899">
        <v>17247.687000000002</v>
      </c>
      <c r="G11" s="899">
        <v>12670.159</v>
      </c>
      <c r="H11" s="899">
        <v>13544.342000000001</v>
      </c>
      <c r="I11" s="899">
        <v>15160.052</v>
      </c>
      <c r="J11" s="899">
        <v>14276.138999999999</v>
      </c>
      <c r="K11" s="899">
        <v>12834.406000000001</v>
      </c>
      <c r="L11" s="899">
        <v>18466.373</v>
      </c>
      <c r="M11" s="899">
        <v>22326.067999999999</v>
      </c>
      <c r="N11" s="899">
        <v>16165.540999999999</v>
      </c>
      <c r="O11" s="949">
        <f t="shared" ref="O11:O13" si="3">SUM(C11:N11)</f>
        <v>196170.02699999997</v>
      </c>
      <c r="P11" s="120">
        <f t="shared" si="1"/>
        <v>8</v>
      </c>
    </row>
    <row r="12" spans="1:17" x14ac:dyDescent="0.25">
      <c r="A12" s="120">
        <f t="shared" si="0"/>
        <v>9</v>
      </c>
      <c r="B12" s="149" t="s">
        <v>250</v>
      </c>
      <c r="C12" s="898">
        <v>11679.237999999999</v>
      </c>
      <c r="D12" s="899">
        <v>6324.8729999999996</v>
      </c>
      <c r="E12" s="899">
        <v>6468.8639999999996</v>
      </c>
      <c r="F12" s="899">
        <v>6713.8810000000003</v>
      </c>
      <c r="G12" s="899">
        <v>6364.0010000000002</v>
      </c>
      <c r="H12" s="899">
        <v>6444.8879999999999</v>
      </c>
      <c r="I12" s="899">
        <v>998.798</v>
      </c>
      <c r="J12" s="899">
        <v>11748.276</v>
      </c>
      <c r="K12" s="899">
        <v>6366.3530000000001</v>
      </c>
      <c r="L12" s="899">
        <v>6248.2569999999996</v>
      </c>
      <c r="M12" s="899">
        <v>6370.7280000000001</v>
      </c>
      <c r="N12" s="899">
        <v>3714.1909999999998</v>
      </c>
      <c r="O12" s="199">
        <f t="shared" si="3"/>
        <v>79442.348000000013</v>
      </c>
      <c r="P12" s="120">
        <f t="shared" si="1"/>
        <v>9</v>
      </c>
    </row>
    <row r="13" spans="1:17" x14ac:dyDescent="0.25">
      <c r="A13" s="120">
        <f t="shared" si="0"/>
        <v>10</v>
      </c>
      <c r="B13" s="203" t="s">
        <v>7</v>
      </c>
      <c r="C13" s="946">
        <v>8.4610000000000003</v>
      </c>
      <c r="D13" s="947">
        <v>8.6679999999999993</v>
      </c>
      <c r="E13" s="948">
        <v>6.6890000000000001</v>
      </c>
      <c r="F13" s="948">
        <v>7.399</v>
      </c>
      <c r="G13" s="948">
        <v>7.298</v>
      </c>
      <c r="H13" s="948">
        <v>6.4749999999999996</v>
      </c>
      <c r="I13" s="948">
        <v>7.8869999999999996</v>
      </c>
      <c r="J13" s="948">
        <v>7.4829999999999997</v>
      </c>
      <c r="K13" s="948">
        <v>7.9450000000000003</v>
      </c>
      <c r="L13" s="948">
        <v>7.56</v>
      </c>
      <c r="M13" s="948">
        <v>7.7789999999999999</v>
      </c>
      <c r="N13" s="948">
        <v>0</v>
      </c>
      <c r="O13" s="952">
        <f t="shared" si="3"/>
        <v>83.644000000000005</v>
      </c>
      <c r="P13" s="120">
        <f t="shared" si="1"/>
        <v>10</v>
      </c>
      <c r="Q13" s="762"/>
    </row>
    <row r="14" spans="1:17" ht="18.75" thickBot="1" x14ac:dyDescent="0.3">
      <c r="A14" s="120">
        <f t="shared" si="0"/>
        <v>11</v>
      </c>
      <c r="B14" s="204" t="s">
        <v>251</v>
      </c>
      <c r="C14" s="205">
        <f>SUM(C6:C13)</f>
        <v>1584712.9619999998</v>
      </c>
      <c r="D14" s="210">
        <f t="shared" ref="D14:N14" si="4">SUM(D6:D13)</f>
        <v>1222771.7320000001</v>
      </c>
      <c r="E14" s="206">
        <f t="shared" si="4"/>
        <v>1408565.3599999999</v>
      </c>
      <c r="F14" s="206">
        <f t="shared" si="4"/>
        <v>1604744.6749999998</v>
      </c>
      <c r="G14" s="206">
        <f t="shared" si="4"/>
        <v>1227781.0430000001</v>
      </c>
      <c r="H14" s="206">
        <f t="shared" si="4"/>
        <v>1314777.1370000001</v>
      </c>
      <c r="I14" s="206">
        <f t="shared" si="4"/>
        <v>1204328.6119999997</v>
      </c>
      <c r="J14" s="206">
        <f t="shared" si="4"/>
        <v>1198109.9140000003</v>
      </c>
      <c r="K14" s="206">
        <f t="shared" si="4"/>
        <v>1310907.855</v>
      </c>
      <c r="L14" s="206">
        <f t="shared" si="4"/>
        <v>1454671.9989999998</v>
      </c>
      <c r="M14" s="918">
        <f t="shared" si="4"/>
        <v>1469860.763</v>
      </c>
      <c r="N14" s="918">
        <f t="shared" si="4"/>
        <v>1647514.5040000002</v>
      </c>
      <c r="O14" s="207">
        <f>SUM(O6:O13)</f>
        <v>16648746.556</v>
      </c>
      <c r="P14" s="120">
        <f t="shared" si="1"/>
        <v>11</v>
      </c>
      <c r="Q14" s="762"/>
    </row>
    <row r="15" spans="1:17" ht="18.75" thickTop="1" x14ac:dyDescent="0.25">
      <c r="A15" s="120">
        <f t="shared" si="0"/>
        <v>12</v>
      </c>
      <c r="B15" s="208"/>
      <c r="C15" s="817"/>
      <c r="D15" s="201"/>
      <c r="E15" s="201"/>
      <c r="F15" s="201"/>
      <c r="G15" s="201"/>
      <c r="H15" s="201"/>
      <c r="I15" s="201"/>
      <c r="J15" s="201"/>
      <c r="K15" s="201"/>
      <c r="L15" s="201"/>
      <c r="M15" s="917"/>
      <c r="N15" s="917"/>
      <c r="O15" s="199"/>
      <c r="P15" s="120">
        <f t="shared" si="1"/>
        <v>12</v>
      </c>
    </row>
    <row r="16" spans="1:17" ht="18.75" thickBot="1" x14ac:dyDescent="0.3">
      <c r="A16" s="120">
        <f t="shared" si="0"/>
        <v>13</v>
      </c>
      <c r="B16" s="204" t="s">
        <v>252</v>
      </c>
      <c r="C16" s="209">
        <f>SUM(C6:C12)</f>
        <v>1584704.5009999999</v>
      </c>
      <c r="D16" s="210">
        <f>SUM(D6:D12)</f>
        <v>1222763.064</v>
      </c>
      <c r="E16" s="210">
        <f t="shared" ref="E16:O16" si="5">SUM(E6:E12)</f>
        <v>1408558.6709999999</v>
      </c>
      <c r="F16" s="210">
        <f t="shared" si="5"/>
        <v>1604737.2759999998</v>
      </c>
      <c r="G16" s="210">
        <f t="shared" si="5"/>
        <v>1227773.7450000001</v>
      </c>
      <c r="H16" s="210">
        <f t="shared" si="5"/>
        <v>1314770.662</v>
      </c>
      <c r="I16" s="210">
        <f t="shared" si="5"/>
        <v>1204320.7249999996</v>
      </c>
      <c r="J16" s="210">
        <f t="shared" si="5"/>
        <v>1198102.4310000003</v>
      </c>
      <c r="K16" s="210">
        <f t="shared" si="5"/>
        <v>1310899.9099999999</v>
      </c>
      <c r="L16" s="210">
        <f t="shared" si="5"/>
        <v>1454664.4389999998</v>
      </c>
      <c r="M16" s="919">
        <f t="shared" si="5"/>
        <v>1469852.9839999999</v>
      </c>
      <c r="N16" s="919">
        <f t="shared" si="5"/>
        <v>1647514.5040000002</v>
      </c>
      <c r="O16" s="211">
        <f t="shared" si="5"/>
        <v>16648662.912</v>
      </c>
      <c r="P16" s="120">
        <f t="shared" si="1"/>
        <v>13</v>
      </c>
      <c r="Q16" s="762"/>
    </row>
    <row r="17" spans="1:16" ht="19.5" thickTop="1" thickBot="1" x14ac:dyDescent="0.3">
      <c r="A17" s="120">
        <f t="shared" si="0"/>
        <v>14</v>
      </c>
      <c r="B17" s="212"/>
      <c r="C17" s="818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213"/>
      <c r="O17" s="214"/>
      <c r="P17" s="120">
        <f t="shared" si="1"/>
        <v>14</v>
      </c>
    </row>
    <row r="18" spans="1:16" x14ac:dyDescent="0.25">
      <c r="A18" s="120">
        <f t="shared" si="0"/>
        <v>15</v>
      </c>
      <c r="B18" s="215" t="s">
        <v>253</v>
      </c>
      <c r="C18" s="216">
        <f>C5</f>
        <v>45566</v>
      </c>
      <c r="D18" s="217">
        <f t="shared" ref="D18:O18" si="6">D5</f>
        <v>45597</v>
      </c>
      <c r="E18" s="217">
        <f t="shared" si="6"/>
        <v>45627</v>
      </c>
      <c r="F18" s="217">
        <f t="shared" si="6"/>
        <v>45658</v>
      </c>
      <c r="G18" s="217">
        <f t="shared" si="6"/>
        <v>45689</v>
      </c>
      <c r="H18" s="217">
        <f t="shared" si="6"/>
        <v>45717</v>
      </c>
      <c r="I18" s="217">
        <f t="shared" si="6"/>
        <v>45748</v>
      </c>
      <c r="J18" s="217">
        <f t="shared" si="6"/>
        <v>45778</v>
      </c>
      <c r="K18" s="217">
        <f t="shared" si="6"/>
        <v>45809</v>
      </c>
      <c r="L18" s="217">
        <f t="shared" si="6"/>
        <v>45839</v>
      </c>
      <c r="M18" s="217">
        <f t="shared" si="6"/>
        <v>45870</v>
      </c>
      <c r="N18" s="217">
        <f t="shared" si="6"/>
        <v>45901</v>
      </c>
      <c r="O18" s="185" t="str">
        <f t="shared" si="6"/>
        <v>Total</v>
      </c>
      <c r="P18" s="120">
        <f t="shared" si="1"/>
        <v>15</v>
      </c>
    </row>
    <row r="19" spans="1:16" x14ac:dyDescent="0.25">
      <c r="A19" s="120">
        <f t="shared" si="0"/>
        <v>16</v>
      </c>
      <c r="B19" s="218" t="s">
        <v>254</v>
      </c>
      <c r="C19" s="219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23"/>
      <c r="P19" s="120">
        <f t="shared" si="1"/>
        <v>16</v>
      </c>
    </row>
    <row r="20" spans="1:16" x14ac:dyDescent="0.25">
      <c r="A20" s="120">
        <f t="shared" si="0"/>
        <v>17</v>
      </c>
      <c r="B20" s="125" t="s">
        <v>255</v>
      </c>
      <c r="C20" s="117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849">
        <f>SUM(C20:N20)</f>
        <v>0</v>
      </c>
      <c r="P20" s="120">
        <f t="shared" si="1"/>
        <v>17</v>
      </c>
    </row>
    <row r="21" spans="1:16" x14ac:dyDescent="0.25">
      <c r="A21" s="120">
        <f t="shared" si="0"/>
        <v>18</v>
      </c>
      <c r="B21" s="125" t="s">
        <v>256</v>
      </c>
      <c r="C21" s="117">
        <f>C8</f>
        <v>818545.35699999996</v>
      </c>
      <c r="D21" s="93">
        <f t="shared" ref="D21:N21" si="7">D8</f>
        <v>651485.5780000001</v>
      </c>
      <c r="E21" s="93">
        <f t="shared" si="7"/>
        <v>737182.01899999997</v>
      </c>
      <c r="F21" s="93">
        <f t="shared" si="7"/>
        <v>773971.24300000002</v>
      </c>
      <c r="G21" s="93">
        <f t="shared" si="7"/>
        <v>621943.65200000012</v>
      </c>
      <c r="H21" s="93">
        <f t="shared" si="7"/>
        <v>699206.46799999999</v>
      </c>
      <c r="I21" s="93">
        <f t="shared" si="7"/>
        <v>676648.88399999996</v>
      </c>
      <c r="J21" s="93">
        <f t="shared" si="7"/>
        <v>668359.80300000007</v>
      </c>
      <c r="K21" s="93">
        <f t="shared" si="7"/>
        <v>737191.995</v>
      </c>
      <c r="L21" s="93">
        <f t="shared" si="7"/>
        <v>804701.49699999997</v>
      </c>
      <c r="M21" s="93">
        <f t="shared" si="7"/>
        <v>779726.84100000001</v>
      </c>
      <c r="N21" s="93">
        <f t="shared" si="7"/>
        <v>780830.14899999998</v>
      </c>
      <c r="O21" s="199">
        <f>SUM(C21:N21)</f>
        <v>8749793.4859999996</v>
      </c>
      <c r="P21" s="120">
        <f t="shared" si="1"/>
        <v>18</v>
      </c>
    </row>
    <row r="22" spans="1:16" x14ac:dyDescent="0.25">
      <c r="A22" s="120">
        <f t="shared" si="0"/>
        <v>19</v>
      </c>
      <c r="B22" s="125" t="s">
        <v>257</v>
      </c>
      <c r="C22" s="117">
        <v>0</v>
      </c>
      <c r="D22" s="481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14">
        <f>SUM(C22:N22)</f>
        <v>0</v>
      </c>
      <c r="P22" s="120">
        <f t="shared" si="1"/>
        <v>19</v>
      </c>
    </row>
    <row r="23" spans="1:16" ht="18.75" thickBot="1" x14ac:dyDescent="0.3">
      <c r="A23" s="120">
        <f t="shared" si="0"/>
        <v>20</v>
      </c>
      <c r="B23" s="120" t="s">
        <v>18</v>
      </c>
      <c r="C23" s="221">
        <f>SUM(C20:C22)</f>
        <v>818545.35699999996</v>
      </c>
      <c r="D23" s="438">
        <f t="shared" ref="D23:O23" si="8">SUM(D20:D22)</f>
        <v>651485.5780000001</v>
      </c>
      <c r="E23" s="222">
        <f t="shared" si="8"/>
        <v>737182.01899999997</v>
      </c>
      <c r="F23" s="222">
        <f t="shared" si="8"/>
        <v>773971.24300000002</v>
      </c>
      <c r="G23" s="222">
        <f t="shared" si="8"/>
        <v>621943.65200000012</v>
      </c>
      <c r="H23" s="222">
        <f t="shared" si="8"/>
        <v>699206.46799999999</v>
      </c>
      <c r="I23" s="222">
        <f t="shared" si="8"/>
        <v>676648.88399999996</v>
      </c>
      <c r="J23" s="222">
        <f t="shared" si="8"/>
        <v>668359.80300000007</v>
      </c>
      <c r="K23" s="222">
        <f t="shared" si="8"/>
        <v>737191.995</v>
      </c>
      <c r="L23" s="222">
        <f t="shared" si="8"/>
        <v>804701.49699999997</v>
      </c>
      <c r="M23" s="920">
        <f t="shared" si="8"/>
        <v>779726.84100000001</v>
      </c>
      <c r="N23" s="920">
        <f t="shared" si="8"/>
        <v>780830.14899999998</v>
      </c>
      <c r="O23" s="223">
        <f t="shared" si="8"/>
        <v>8749793.4859999996</v>
      </c>
      <c r="P23" s="120">
        <f t="shared" si="1"/>
        <v>20</v>
      </c>
    </row>
    <row r="24" spans="1:16" ht="19.5" thickTop="1" thickBot="1" x14ac:dyDescent="0.3">
      <c r="A24" s="121">
        <f>A23+1</f>
        <v>21</v>
      </c>
      <c r="B24" s="126"/>
      <c r="C24" s="212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124"/>
      <c r="P24" s="121">
        <f>P23+1</f>
        <v>21</v>
      </c>
    </row>
    <row r="26" spans="1:16" ht="18.75" thickBot="1" x14ac:dyDescent="0.3"/>
    <row r="27" spans="1:16" x14ac:dyDescent="0.25">
      <c r="A27" s="150" t="s">
        <v>8</v>
      </c>
      <c r="B27" s="986" t="s">
        <v>258</v>
      </c>
      <c r="C27" s="987"/>
      <c r="D27" s="987"/>
      <c r="E27" s="987"/>
      <c r="F27" s="987"/>
      <c r="G27" s="987"/>
      <c r="H27" s="987"/>
      <c r="I27" s="987"/>
      <c r="J27" s="987"/>
      <c r="K27" s="987"/>
      <c r="L27" s="987"/>
      <c r="M27" s="987"/>
      <c r="N27" s="987"/>
      <c r="O27" s="988"/>
      <c r="P27" s="150" t="s">
        <v>8</v>
      </c>
    </row>
    <row r="28" spans="1:16" ht="18.75" thickBot="1" x14ac:dyDescent="0.3">
      <c r="A28" s="121" t="s">
        <v>11</v>
      </c>
      <c r="B28" s="989" t="str">
        <f>B3</f>
        <v>Recorded Billing Determinants for the 12-Month Period: October 2024 - September 2025</v>
      </c>
      <c r="C28" s="990"/>
      <c r="D28" s="990"/>
      <c r="E28" s="990"/>
      <c r="F28" s="990"/>
      <c r="G28" s="990"/>
      <c r="H28" s="990"/>
      <c r="I28" s="990"/>
      <c r="J28" s="990"/>
      <c r="K28" s="990"/>
      <c r="L28" s="990"/>
      <c r="M28" s="990"/>
      <c r="N28" s="990"/>
      <c r="O28" s="991"/>
      <c r="P28" s="121" t="s">
        <v>11</v>
      </c>
    </row>
    <row r="29" spans="1:16" x14ac:dyDescent="0.25">
      <c r="A29" s="120">
        <f>A24+1</f>
        <v>22</v>
      </c>
      <c r="B29" s="182" t="s">
        <v>244</v>
      </c>
      <c r="C29" s="224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22"/>
      <c r="P29" s="120">
        <f>P24+1</f>
        <v>22</v>
      </c>
    </row>
    <row r="30" spans="1:16" x14ac:dyDescent="0.25">
      <c r="A30" s="120">
        <f>A29+1</f>
        <v>23</v>
      </c>
      <c r="B30" s="184" t="s">
        <v>259</v>
      </c>
      <c r="C30" s="216">
        <f t="shared" ref="C30:N30" si="9">C5</f>
        <v>45566</v>
      </c>
      <c r="D30" s="217">
        <f t="shared" si="9"/>
        <v>45597</v>
      </c>
      <c r="E30" s="217">
        <f t="shared" si="9"/>
        <v>45627</v>
      </c>
      <c r="F30" s="217">
        <f t="shared" si="9"/>
        <v>45658</v>
      </c>
      <c r="G30" s="217">
        <f t="shared" si="9"/>
        <v>45689</v>
      </c>
      <c r="H30" s="217">
        <f t="shared" si="9"/>
        <v>45717</v>
      </c>
      <c r="I30" s="217">
        <f t="shared" si="9"/>
        <v>45748</v>
      </c>
      <c r="J30" s="217">
        <f t="shared" si="9"/>
        <v>45778</v>
      </c>
      <c r="K30" s="217">
        <f t="shared" si="9"/>
        <v>45809</v>
      </c>
      <c r="L30" s="217">
        <f t="shared" si="9"/>
        <v>45839</v>
      </c>
      <c r="M30" s="217">
        <f t="shared" si="9"/>
        <v>45870</v>
      </c>
      <c r="N30" s="217">
        <f t="shared" si="9"/>
        <v>45901</v>
      </c>
      <c r="O30" s="185" t="s">
        <v>18</v>
      </c>
      <c r="P30" s="120">
        <f>P29+1</f>
        <v>23</v>
      </c>
    </row>
    <row r="31" spans="1:16" x14ac:dyDescent="0.25">
      <c r="A31" s="120">
        <f>A30+1</f>
        <v>24</v>
      </c>
      <c r="B31" s="149" t="s">
        <v>246</v>
      </c>
      <c r="C31" s="117">
        <f t="shared" ref="C31:N31" si="10">C6*1000</f>
        <v>509685338</v>
      </c>
      <c r="D31" s="197">
        <f t="shared" si="10"/>
        <v>369767707</v>
      </c>
      <c r="E31" s="197">
        <f t="shared" si="10"/>
        <v>461459384</v>
      </c>
      <c r="F31" s="197">
        <f t="shared" si="10"/>
        <v>590219847</v>
      </c>
      <c r="G31" s="197">
        <f t="shared" si="10"/>
        <v>419411029</v>
      </c>
      <c r="H31" s="197">
        <f t="shared" si="10"/>
        <v>410983569</v>
      </c>
      <c r="I31" s="197">
        <f t="shared" si="10"/>
        <v>332452853</v>
      </c>
      <c r="J31" s="197">
        <f t="shared" si="10"/>
        <v>321123852</v>
      </c>
      <c r="K31" s="197">
        <f t="shared" si="10"/>
        <v>355977364</v>
      </c>
      <c r="L31" s="197">
        <f t="shared" si="10"/>
        <v>408359625</v>
      </c>
      <c r="M31" s="197">
        <f t="shared" si="10"/>
        <v>447524989</v>
      </c>
      <c r="N31" s="197">
        <f t="shared" si="10"/>
        <v>614305966</v>
      </c>
      <c r="O31" s="849">
        <f>SUM(C31:N31)</f>
        <v>5241271523</v>
      </c>
      <c r="P31" s="120">
        <f>P30+1</f>
        <v>24</v>
      </c>
    </row>
    <row r="32" spans="1:16" x14ac:dyDescent="0.25">
      <c r="A32" s="120">
        <f t="shared" ref="A32:A48" si="11">A31+1</f>
        <v>25</v>
      </c>
      <c r="B32" s="149" t="s">
        <v>247</v>
      </c>
      <c r="C32" s="117">
        <f t="shared" ref="C32:N32" si="12">C7*1000</f>
        <v>205004661</v>
      </c>
      <c r="D32" s="197">
        <f t="shared" si="12"/>
        <v>162143033</v>
      </c>
      <c r="E32" s="197">
        <f t="shared" si="12"/>
        <v>174054147</v>
      </c>
      <c r="F32" s="197">
        <f t="shared" si="12"/>
        <v>199704866</v>
      </c>
      <c r="G32" s="197">
        <f t="shared" si="12"/>
        <v>156847325</v>
      </c>
      <c r="H32" s="197">
        <f t="shared" si="12"/>
        <v>174764455</v>
      </c>
      <c r="I32" s="197">
        <f t="shared" si="12"/>
        <v>165834089</v>
      </c>
      <c r="J32" s="197">
        <f t="shared" si="12"/>
        <v>168299242</v>
      </c>
      <c r="K32" s="197">
        <f t="shared" si="12"/>
        <v>181419540</v>
      </c>
      <c r="L32" s="197">
        <f t="shared" si="12"/>
        <v>199044912</v>
      </c>
      <c r="M32" s="197">
        <f t="shared" si="12"/>
        <v>195741419</v>
      </c>
      <c r="N32" s="197">
        <f t="shared" si="12"/>
        <v>212695285</v>
      </c>
      <c r="O32" s="849">
        <f>SUM(C32:N32)</f>
        <v>2195552974</v>
      </c>
      <c r="P32" s="120">
        <f t="shared" ref="P32:P48" si="13">P31+1</f>
        <v>25</v>
      </c>
    </row>
    <row r="33" spans="1:18" x14ac:dyDescent="0.25">
      <c r="A33" s="120">
        <f t="shared" si="11"/>
        <v>26</v>
      </c>
      <c r="B33" s="149" t="s">
        <v>248</v>
      </c>
      <c r="C33" s="898">
        <f>C48</f>
        <v>818545357</v>
      </c>
      <c r="D33" s="899">
        <f>D48</f>
        <v>651485578.00000012</v>
      </c>
      <c r="E33" s="899">
        <f t="shared" ref="E33:N33" si="14">E48</f>
        <v>737182019</v>
      </c>
      <c r="F33" s="899">
        <f t="shared" si="14"/>
        <v>773971243</v>
      </c>
      <c r="G33" s="899">
        <f t="shared" si="14"/>
        <v>621943652.00000012</v>
      </c>
      <c r="H33" s="899">
        <f t="shared" si="14"/>
        <v>699206468</v>
      </c>
      <c r="I33" s="899">
        <f t="shared" si="14"/>
        <v>676648884</v>
      </c>
      <c r="J33" s="899">
        <f t="shared" si="14"/>
        <v>668359803.00000012</v>
      </c>
      <c r="K33" s="899">
        <f t="shared" si="14"/>
        <v>737191995</v>
      </c>
      <c r="L33" s="899">
        <f t="shared" si="14"/>
        <v>804701497</v>
      </c>
      <c r="M33" s="899">
        <f t="shared" si="14"/>
        <v>779726841</v>
      </c>
      <c r="N33" s="899">
        <f t="shared" si="14"/>
        <v>780830149</v>
      </c>
      <c r="O33" s="849">
        <f>SUM(C33:N33)</f>
        <v>8749793486</v>
      </c>
      <c r="P33" s="120">
        <f t="shared" si="13"/>
        <v>26</v>
      </c>
    </row>
    <row r="34" spans="1:18" x14ac:dyDescent="0.25">
      <c r="A34" s="120">
        <f t="shared" si="11"/>
        <v>27</v>
      </c>
      <c r="B34" s="202" t="s">
        <v>474</v>
      </c>
      <c r="C34" s="898">
        <f>C9*1000</f>
        <v>747300</v>
      </c>
      <c r="D34" s="899">
        <f t="shared" ref="D34:N34" si="15">D9*1000</f>
        <v>703620</v>
      </c>
      <c r="E34" s="899">
        <f t="shared" si="15"/>
        <v>339300</v>
      </c>
      <c r="F34" s="899">
        <f t="shared" si="15"/>
        <v>147852</v>
      </c>
      <c r="G34" s="899">
        <f t="shared" si="15"/>
        <v>178992</v>
      </c>
      <c r="H34" s="899">
        <f t="shared" si="15"/>
        <v>387768</v>
      </c>
      <c r="I34" s="899">
        <f t="shared" si="15"/>
        <v>920892</v>
      </c>
      <c r="J34" s="899">
        <f t="shared" si="15"/>
        <v>411168</v>
      </c>
      <c r="K34" s="899">
        <f t="shared" si="15"/>
        <v>0</v>
      </c>
      <c r="L34" s="899">
        <f t="shared" si="15"/>
        <v>0</v>
      </c>
      <c r="M34" s="899">
        <f t="shared" si="15"/>
        <v>0</v>
      </c>
      <c r="N34" s="899">
        <f t="shared" si="15"/>
        <v>227556</v>
      </c>
      <c r="O34" s="849">
        <f t="shared" ref="O34:O35" si="16">SUM(C34:N34)</f>
        <v>4064448</v>
      </c>
      <c r="P34" s="120">
        <f t="shared" si="13"/>
        <v>27</v>
      </c>
    </row>
    <row r="35" spans="1:18" x14ac:dyDescent="0.25">
      <c r="A35" s="120">
        <f t="shared" si="11"/>
        <v>28</v>
      </c>
      <c r="B35" s="202" t="s">
        <v>249</v>
      </c>
      <c r="C35" s="117">
        <f t="shared" ref="C35:N35" si="17">C10*1000</f>
        <v>19499568.000000004</v>
      </c>
      <c r="D35" s="197">
        <f t="shared" si="17"/>
        <v>14618386.000000002</v>
      </c>
      <c r="E35" s="197">
        <f t="shared" si="17"/>
        <v>12838603</v>
      </c>
      <c r="F35" s="197">
        <f t="shared" si="17"/>
        <v>16731899.999999998</v>
      </c>
      <c r="G35" s="197">
        <f t="shared" si="17"/>
        <v>10358587</v>
      </c>
      <c r="H35" s="197">
        <f t="shared" si="17"/>
        <v>9439171.9999999981</v>
      </c>
      <c r="I35" s="197">
        <f t="shared" si="17"/>
        <v>12305157</v>
      </c>
      <c r="J35" s="197">
        <f t="shared" si="17"/>
        <v>13883951</v>
      </c>
      <c r="K35" s="197">
        <f t="shared" si="17"/>
        <v>17110252</v>
      </c>
      <c r="L35" s="197">
        <f t="shared" si="17"/>
        <v>17843775</v>
      </c>
      <c r="M35" s="197">
        <f t="shared" si="17"/>
        <v>18162939</v>
      </c>
      <c r="N35" s="197">
        <f t="shared" si="17"/>
        <v>19575816.000000007</v>
      </c>
      <c r="O35" s="849">
        <f t="shared" si="16"/>
        <v>182368106</v>
      </c>
      <c r="P35" s="120">
        <f t="shared" si="13"/>
        <v>28</v>
      </c>
    </row>
    <row r="36" spans="1:18" x14ac:dyDescent="0.25">
      <c r="A36" s="120">
        <f t="shared" si="11"/>
        <v>29</v>
      </c>
      <c r="B36" s="202" t="s">
        <v>105</v>
      </c>
      <c r="C36" s="117">
        <f t="shared" ref="C36:N36" si="18">C11*1000</f>
        <v>19543039</v>
      </c>
      <c r="D36" s="197">
        <f t="shared" si="18"/>
        <v>17719867</v>
      </c>
      <c r="E36" s="197">
        <f t="shared" si="18"/>
        <v>16216354</v>
      </c>
      <c r="F36" s="197">
        <f t="shared" si="18"/>
        <v>17247687</v>
      </c>
      <c r="G36" s="197">
        <f t="shared" si="18"/>
        <v>12670159</v>
      </c>
      <c r="H36" s="197">
        <f t="shared" si="18"/>
        <v>13544342</v>
      </c>
      <c r="I36" s="197">
        <f t="shared" si="18"/>
        <v>15160052</v>
      </c>
      <c r="J36" s="197">
        <f t="shared" si="18"/>
        <v>14276139</v>
      </c>
      <c r="K36" s="197">
        <f t="shared" si="18"/>
        <v>12834406</v>
      </c>
      <c r="L36" s="197">
        <f t="shared" si="18"/>
        <v>18466373</v>
      </c>
      <c r="M36" s="197">
        <f t="shared" si="18"/>
        <v>22326068</v>
      </c>
      <c r="N36" s="197">
        <f t="shared" si="18"/>
        <v>16165541</v>
      </c>
      <c r="O36" s="849">
        <f t="shared" ref="O36" si="19">SUM(C36:N36)</f>
        <v>196170027</v>
      </c>
      <c r="P36" s="120">
        <f t="shared" si="13"/>
        <v>29</v>
      </c>
    </row>
    <row r="37" spans="1:18" x14ac:dyDescent="0.25">
      <c r="A37" s="120">
        <f t="shared" si="11"/>
        <v>30</v>
      </c>
      <c r="B37" s="149" t="s">
        <v>250</v>
      </c>
      <c r="C37" s="117">
        <f t="shared" ref="C37:N37" si="20">C12*1000</f>
        <v>11679238</v>
      </c>
      <c r="D37" s="197">
        <f t="shared" si="20"/>
        <v>6324873</v>
      </c>
      <c r="E37" s="197">
        <f t="shared" si="20"/>
        <v>6468864</v>
      </c>
      <c r="F37" s="197">
        <f t="shared" si="20"/>
        <v>6713881</v>
      </c>
      <c r="G37" s="197">
        <f t="shared" si="20"/>
        <v>6364001</v>
      </c>
      <c r="H37" s="197">
        <f t="shared" si="20"/>
        <v>6444888</v>
      </c>
      <c r="I37" s="197">
        <f t="shared" si="20"/>
        <v>998798</v>
      </c>
      <c r="J37" s="197">
        <f t="shared" si="20"/>
        <v>11748276</v>
      </c>
      <c r="K37" s="197">
        <f t="shared" si="20"/>
        <v>6366353</v>
      </c>
      <c r="L37" s="197">
        <f t="shared" si="20"/>
        <v>6248257</v>
      </c>
      <c r="M37" s="197">
        <f t="shared" si="20"/>
        <v>6370728</v>
      </c>
      <c r="N37" s="197">
        <f t="shared" si="20"/>
        <v>3714191</v>
      </c>
      <c r="O37" s="849">
        <f>SUM(C37:N37)</f>
        <v>79442348</v>
      </c>
      <c r="P37" s="120">
        <f t="shared" si="13"/>
        <v>30</v>
      </c>
    </row>
    <row r="38" spans="1:18" x14ac:dyDescent="0.25">
      <c r="A38" s="120">
        <f t="shared" si="11"/>
        <v>31</v>
      </c>
      <c r="B38" s="203" t="s">
        <v>7</v>
      </c>
      <c r="C38" s="117">
        <f t="shared" ref="C38:N38" si="21">C13*1000</f>
        <v>8461</v>
      </c>
      <c r="D38" s="197">
        <f t="shared" si="21"/>
        <v>8668</v>
      </c>
      <c r="E38" s="197">
        <f t="shared" si="21"/>
        <v>6689</v>
      </c>
      <c r="F38" s="197">
        <f t="shared" si="21"/>
        <v>7399</v>
      </c>
      <c r="G38" s="197">
        <f t="shared" si="21"/>
        <v>7298</v>
      </c>
      <c r="H38" s="197">
        <f t="shared" si="21"/>
        <v>6475</v>
      </c>
      <c r="I38" s="197">
        <f t="shared" si="21"/>
        <v>7887</v>
      </c>
      <c r="J38" s="197">
        <f t="shared" si="21"/>
        <v>7483</v>
      </c>
      <c r="K38" s="197">
        <f t="shared" si="21"/>
        <v>7945</v>
      </c>
      <c r="L38" s="197">
        <f t="shared" si="21"/>
        <v>7560</v>
      </c>
      <c r="M38" s="197">
        <f t="shared" si="21"/>
        <v>7779</v>
      </c>
      <c r="N38" s="197">
        <f t="shared" si="21"/>
        <v>0</v>
      </c>
      <c r="O38" s="849">
        <f>SUM(C38:N38)</f>
        <v>83644</v>
      </c>
      <c r="P38" s="120">
        <f t="shared" si="13"/>
        <v>31</v>
      </c>
      <c r="Q38" s="762"/>
    </row>
    <row r="39" spans="1:18" ht="18.75" thickBot="1" x14ac:dyDescent="0.3">
      <c r="A39" s="120">
        <f t="shared" si="11"/>
        <v>32</v>
      </c>
      <c r="B39" s="204" t="s">
        <v>251</v>
      </c>
      <c r="C39" s="205">
        <f>SUM(C31:C38)</f>
        <v>1584712962</v>
      </c>
      <c r="D39" s="206">
        <f t="shared" ref="D39:N39" si="22">SUM(D31:D38)</f>
        <v>1222771732</v>
      </c>
      <c r="E39" s="206">
        <f t="shared" si="22"/>
        <v>1408565360</v>
      </c>
      <c r="F39" s="206">
        <f t="shared" si="22"/>
        <v>1604744675</v>
      </c>
      <c r="G39" s="206">
        <f t="shared" si="22"/>
        <v>1227781043</v>
      </c>
      <c r="H39" s="206">
        <f t="shared" si="22"/>
        <v>1314777137</v>
      </c>
      <c r="I39" s="206">
        <f t="shared" si="22"/>
        <v>1204328612</v>
      </c>
      <c r="J39" s="206">
        <f t="shared" si="22"/>
        <v>1198109914</v>
      </c>
      <c r="K39" s="206">
        <f t="shared" si="22"/>
        <v>1310907855</v>
      </c>
      <c r="L39" s="206">
        <f t="shared" si="22"/>
        <v>1454671999</v>
      </c>
      <c r="M39" s="918">
        <f t="shared" si="22"/>
        <v>1469860763</v>
      </c>
      <c r="N39" s="918">
        <f t="shared" si="22"/>
        <v>1647514504</v>
      </c>
      <c r="O39" s="207">
        <f>SUM(O31:O38)</f>
        <v>16648746556</v>
      </c>
      <c r="P39" s="120">
        <f t="shared" si="13"/>
        <v>32</v>
      </c>
      <c r="Q39" s="762"/>
    </row>
    <row r="40" spans="1:18" ht="18.75" thickTop="1" x14ac:dyDescent="0.25">
      <c r="A40" s="120">
        <f t="shared" si="11"/>
        <v>33</v>
      </c>
      <c r="B40" s="208"/>
      <c r="C40" s="817"/>
      <c r="D40" s="201"/>
      <c r="E40" s="201"/>
      <c r="F40" s="201"/>
      <c r="G40" s="201"/>
      <c r="H40" s="201"/>
      <c r="I40" s="201"/>
      <c r="J40" s="201"/>
      <c r="K40" s="201"/>
      <c r="L40" s="201"/>
      <c r="M40" s="917"/>
      <c r="N40" s="921"/>
      <c r="O40" s="199"/>
      <c r="P40" s="120">
        <f t="shared" si="13"/>
        <v>33</v>
      </c>
    </row>
    <row r="41" spans="1:18" ht="18.75" thickBot="1" x14ac:dyDescent="0.3">
      <c r="A41" s="120">
        <f t="shared" si="11"/>
        <v>34</v>
      </c>
      <c r="B41" s="204" t="s">
        <v>252</v>
      </c>
      <c r="C41" s="209">
        <f>SUM(C31:C37)</f>
        <v>1584704501</v>
      </c>
      <c r="D41" s="210">
        <f>SUM(D31:D37)</f>
        <v>1222763064</v>
      </c>
      <c r="E41" s="210">
        <f t="shared" ref="E41:O41" si="23">SUM(E31:E37)</f>
        <v>1408558671</v>
      </c>
      <c r="F41" s="210">
        <f t="shared" si="23"/>
        <v>1604737276</v>
      </c>
      <c r="G41" s="210">
        <f t="shared" si="23"/>
        <v>1227773745</v>
      </c>
      <c r="H41" s="210">
        <f t="shared" si="23"/>
        <v>1314770662</v>
      </c>
      <c r="I41" s="210">
        <f t="shared" si="23"/>
        <v>1204320725</v>
      </c>
      <c r="J41" s="210">
        <f t="shared" si="23"/>
        <v>1198102431</v>
      </c>
      <c r="K41" s="210">
        <f t="shared" si="23"/>
        <v>1310899910</v>
      </c>
      <c r="L41" s="210">
        <f t="shared" si="23"/>
        <v>1454664439</v>
      </c>
      <c r="M41" s="919">
        <f t="shared" si="23"/>
        <v>1469852984</v>
      </c>
      <c r="N41" s="919">
        <f t="shared" si="23"/>
        <v>1647514504</v>
      </c>
      <c r="O41" s="211">
        <f t="shared" si="23"/>
        <v>16648662912</v>
      </c>
      <c r="P41" s="120">
        <f t="shared" si="13"/>
        <v>34</v>
      </c>
      <c r="Q41" s="762"/>
    </row>
    <row r="42" spans="1:18" ht="19.5" thickTop="1" thickBot="1" x14ac:dyDescent="0.3">
      <c r="A42" s="120">
        <f t="shared" si="11"/>
        <v>35</v>
      </c>
      <c r="B42" s="212"/>
      <c r="C42" s="212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213"/>
      <c r="O42" s="361"/>
      <c r="P42" s="120">
        <f t="shared" si="13"/>
        <v>35</v>
      </c>
      <c r="Q42" s="242"/>
      <c r="R42" s="880">
        <f>O41-'Stmnt BD - Recorded KWH'!E26</f>
        <v>0</v>
      </c>
    </row>
    <row r="43" spans="1:18" x14ac:dyDescent="0.25">
      <c r="A43" s="120">
        <f t="shared" si="11"/>
        <v>36</v>
      </c>
      <c r="B43" s="215" t="str">
        <f>B18</f>
        <v>INPUT FROM RECORDED SALES FILE:</v>
      </c>
      <c r="C43" s="216">
        <f>C30</f>
        <v>45566</v>
      </c>
      <c r="D43" s="217">
        <f t="shared" ref="D43:O43" si="24">D30</f>
        <v>45597</v>
      </c>
      <c r="E43" s="217">
        <f t="shared" si="24"/>
        <v>45627</v>
      </c>
      <c r="F43" s="217">
        <f t="shared" si="24"/>
        <v>45658</v>
      </c>
      <c r="G43" s="217">
        <f t="shared" si="24"/>
        <v>45689</v>
      </c>
      <c r="H43" s="217">
        <f t="shared" si="24"/>
        <v>45717</v>
      </c>
      <c r="I43" s="217">
        <f t="shared" si="24"/>
        <v>45748</v>
      </c>
      <c r="J43" s="217">
        <f t="shared" si="24"/>
        <v>45778</v>
      </c>
      <c r="K43" s="217">
        <f t="shared" si="24"/>
        <v>45809</v>
      </c>
      <c r="L43" s="217">
        <f t="shared" si="24"/>
        <v>45839</v>
      </c>
      <c r="M43" s="217">
        <f t="shared" si="24"/>
        <v>45870</v>
      </c>
      <c r="N43" s="217">
        <f t="shared" si="24"/>
        <v>45901</v>
      </c>
      <c r="O43" s="185" t="str">
        <f t="shared" si="24"/>
        <v>Total</v>
      </c>
      <c r="P43" s="120">
        <f t="shared" si="13"/>
        <v>36</v>
      </c>
    </row>
    <row r="44" spans="1:18" x14ac:dyDescent="0.25">
      <c r="A44" s="120">
        <f t="shared" si="11"/>
        <v>37</v>
      </c>
      <c r="B44" s="218" t="s">
        <v>260</v>
      </c>
      <c r="C44" s="219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23"/>
      <c r="P44" s="120">
        <f t="shared" si="13"/>
        <v>37</v>
      </c>
    </row>
    <row r="45" spans="1:18" x14ac:dyDescent="0.25">
      <c r="A45" s="120">
        <f t="shared" si="11"/>
        <v>38</v>
      </c>
      <c r="B45" s="125" t="s">
        <v>255</v>
      </c>
      <c r="C45" s="117">
        <f t="shared" ref="C45:N45" si="25">C20*1000</f>
        <v>0</v>
      </c>
      <c r="D45" s="197">
        <f t="shared" si="25"/>
        <v>0</v>
      </c>
      <c r="E45" s="197">
        <f t="shared" si="25"/>
        <v>0</v>
      </c>
      <c r="F45" s="197">
        <f t="shared" si="25"/>
        <v>0</v>
      </c>
      <c r="G45" s="197">
        <f t="shared" si="25"/>
        <v>0</v>
      </c>
      <c r="H45" s="197">
        <f t="shared" si="25"/>
        <v>0</v>
      </c>
      <c r="I45" s="197">
        <f t="shared" si="25"/>
        <v>0</v>
      </c>
      <c r="J45" s="197">
        <f t="shared" si="25"/>
        <v>0</v>
      </c>
      <c r="K45" s="197">
        <f t="shared" si="25"/>
        <v>0</v>
      </c>
      <c r="L45" s="197">
        <f t="shared" si="25"/>
        <v>0</v>
      </c>
      <c r="M45" s="197">
        <f t="shared" si="25"/>
        <v>0</v>
      </c>
      <c r="N45" s="197">
        <f t="shared" si="25"/>
        <v>0</v>
      </c>
      <c r="O45" s="849">
        <f>SUM(C45:N45)</f>
        <v>0</v>
      </c>
      <c r="P45" s="120">
        <f t="shared" si="13"/>
        <v>38</v>
      </c>
    </row>
    <row r="46" spans="1:18" x14ac:dyDescent="0.25">
      <c r="A46" s="120">
        <f t="shared" si="11"/>
        <v>39</v>
      </c>
      <c r="B46" s="125" t="s">
        <v>256</v>
      </c>
      <c r="C46" s="117">
        <f t="shared" ref="C46:N46" si="26">C21*1000</f>
        <v>818545357</v>
      </c>
      <c r="D46" s="197">
        <f t="shared" si="26"/>
        <v>651485578.00000012</v>
      </c>
      <c r="E46" s="197">
        <f t="shared" si="26"/>
        <v>737182019</v>
      </c>
      <c r="F46" s="197">
        <f t="shared" si="26"/>
        <v>773971243</v>
      </c>
      <c r="G46" s="197">
        <f t="shared" si="26"/>
        <v>621943652.00000012</v>
      </c>
      <c r="H46" s="197">
        <f t="shared" si="26"/>
        <v>699206468</v>
      </c>
      <c r="I46" s="197">
        <f t="shared" si="26"/>
        <v>676648884</v>
      </c>
      <c r="J46" s="197">
        <f t="shared" si="26"/>
        <v>668359803.00000012</v>
      </c>
      <c r="K46" s="197">
        <f t="shared" si="26"/>
        <v>737191995</v>
      </c>
      <c r="L46" s="197">
        <f t="shared" si="26"/>
        <v>804701497</v>
      </c>
      <c r="M46" s="197">
        <f t="shared" si="26"/>
        <v>779726841</v>
      </c>
      <c r="N46" s="197">
        <f t="shared" si="26"/>
        <v>780830149</v>
      </c>
      <c r="O46" s="199">
        <f>SUM(C46:N46)</f>
        <v>8749793486</v>
      </c>
      <c r="P46" s="120">
        <f t="shared" si="13"/>
        <v>39</v>
      </c>
    </row>
    <row r="47" spans="1:18" x14ac:dyDescent="0.25">
      <c r="A47" s="120">
        <f t="shared" si="11"/>
        <v>40</v>
      </c>
      <c r="B47" s="125" t="s">
        <v>257</v>
      </c>
      <c r="C47" s="117">
        <f t="shared" ref="C47:N47" si="27">C22*1000</f>
        <v>0</v>
      </c>
      <c r="D47" s="197">
        <f t="shared" si="27"/>
        <v>0</v>
      </c>
      <c r="E47" s="197">
        <f t="shared" si="27"/>
        <v>0</v>
      </c>
      <c r="F47" s="197">
        <f t="shared" si="27"/>
        <v>0</v>
      </c>
      <c r="G47" s="197">
        <f t="shared" si="27"/>
        <v>0</v>
      </c>
      <c r="H47" s="197">
        <f t="shared" si="27"/>
        <v>0</v>
      </c>
      <c r="I47" s="197">
        <f t="shared" si="27"/>
        <v>0</v>
      </c>
      <c r="J47" s="197">
        <f t="shared" si="27"/>
        <v>0</v>
      </c>
      <c r="K47" s="197">
        <f t="shared" si="27"/>
        <v>0</v>
      </c>
      <c r="L47" s="197">
        <f t="shared" si="27"/>
        <v>0</v>
      </c>
      <c r="M47" s="197">
        <f t="shared" si="27"/>
        <v>0</v>
      </c>
      <c r="N47" s="197">
        <f t="shared" si="27"/>
        <v>0</v>
      </c>
      <c r="O47" s="914">
        <f>SUM(C47:N47)</f>
        <v>0</v>
      </c>
      <c r="P47" s="120">
        <f t="shared" si="13"/>
        <v>40</v>
      </c>
    </row>
    <row r="48" spans="1:18" ht="18.75" thickBot="1" x14ac:dyDescent="0.3">
      <c r="A48" s="120">
        <f t="shared" si="11"/>
        <v>41</v>
      </c>
      <c r="B48" s="120" t="s">
        <v>18</v>
      </c>
      <c r="C48" s="221">
        <f>SUM(C45:C47)</f>
        <v>818545357</v>
      </c>
      <c r="D48" s="222">
        <f t="shared" ref="D48:O48" si="28">SUM(D45:D47)</f>
        <v>651485578.00000012</v>
      </c>
      <c r="E48" s="222">
        <f t="shared" si="28"/>
        <v>737182019</v>
      </c>
      <c r="F48" s="222">
        <f t="shared" si="28"/>
        <v>773971243</v>
      </c>
      <c r="G48" s="222">
        <f t="shared" si="28"/>
        <v>621943652.00000012</v>
      </c>
      <c r="H48" s="222">
        <f t="shared" si="28"/>
        <v>699206468</v>
      </c>
      <c r="I48" s="222">
        <f t="shared" si="28"/>
        <v>676648884</v>
      </c>
      <c r="J48" s="222">
        <f t="shared" si="28"/>
        <v>668359803.00000012</v>
      </c>
      <c r="K48" s="222">
        <f t="shared" si="28"/>
        <v>737191995</v>
      </c>
      <c r="L48" s="222">
        <f t="shared" si="28"/>
        <v>804701497</v>
      </c>
      <c r="M48" s="920">
        <f t="shared" si="28"/>
        <v>779726841</v>
      </c>
      <c r="N48" s="920">
        <f t="shared" si="28"/>
        <v>780830149</v>
      </c>
      <c r="O48" s="223">
        <f t="shared" si="28"/>
        <v>8749793486</v>
      </c>
      <c r="P48" s="120">
        <f t="shared" si="13"/>
        <v>41</v>
      </c>
    </row>
    <row r="49" spans="1:16" ht="19.5" thickTop="1" thickBot="1" x14ac:dyDescent="0.3">
      <c r="A49" s="121">
        <f>A48+1</f>
        <v>42</v>
      </c>
      <c r="B49" s="126"/>
      <c r="C49" s="212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124"/>
      <c r="P49" s="121">
        <f>P48+1</f>
        <v>42</v>
      </c>
    </row>
  </sheetData>
  <mergeCells count="4">
    <mergeCell ref="B2:O2"/>
    <mergeCell ref="B3:O3"/>
    <mergeCell ref="B27:O27"/>
    <mergeCell ref="B28:O28"/>
  </mergeCells>
  <printOptions horizontalCentered="1"/>
  <pageMargins left="0.25" right="0.25" top="0.5" bottom="0.5" header="0.25" footer="0.25"/>
  <pageSetup scale="49" orientation="landscape" r:id="rId1"/>
  <headerFooter scaleWithDoc="0" alignWithMargins="0">
    <oddFooter>&amp;L&amp;"Times New Roman,Regular"&amp;11&amp;F&amp;C&amp;"Times New Roman,Regular"&amp;11Page 1.1&amp;R&amp;"Times New Roman,Regular"&amp;11&amp;A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49"/>
  <sheetViews>
    <sheetView zoomScale="80" zoomScaleNormal="80" workbookViewId="0">
      <selection activeCell="K6" sqref="K6"/>
    </sheetView>
  </sheetViews>
  <sheetFormatPr defaultColWidth="9.42578125" defaultRowHeight="18" x14ac:dyDescent="0.25"/>
  <cols>
    <col min="1" max="1" width="5.5703125" style="180" customWidth="1"/>
    <col min="2" max="2" width="50.5703125" style="180" customWidth="1"/>
    <col min="3" max="3" width="14.5703125" style="180" customWidth="1"/>
    <col min="4" max="15" width="15.5703125" style="180" customWidth="1"/>
    <col min="16" max="16" width="5.5703125" style="180" customWidth="1"/>
    <col min="17" max="17" width="3.7109375" style="180" bestFit="1" customWidth="1"/>
    <col min="18" max="18" width="5.5703125" style="180" bestFit="1" customWidth="1"/>
    <col min="19" max="16384" width="9.42578125" style="180"/>
  </cols>
  <sheetData>
    <row r="1" spans="1:16" ht="18.75" thickBot="1" x14ac:dyDescent="0.3"/>
    <row r="2" spans="1:16" ht="25.5" x14ac:dyDescent="0.35">
      <c r="A2" s="593" t="s">
        <v>8</v>
      </c>
      <c r="B2" s="980" t="s">
        <v>243</v>
      </c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  <c r="O2" s="982"/>
      <c r="P2" s="593" t="s">
        <v>8</v>
      </c>
    </row>
    <row r="3" spans="1:16" ht="26.25" thickBot="1" x14ac:dyDescent="0.4">
      <c r="A3" s="181" t="s">
        <v>11</v>
      </c>
      <c r="B3" s="983" t="s">
        <v>507</v>
      </c>
      <c r="C3" s="984"/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5"/>
      <c r="P3" s="181" t="s">
        <v>11</v>
      </c>
    </row>
    <row r="4" spans="1:16" x14ac:dyDescent="0.25">
      <c r="A4" s="120">
        <v>1</v>
      </c>
      <c r="B4" s="416" t="s">
        <v>244</v>
      </c>
      <c r="C4" s="598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22"/>
      <c r="P4" s="120">
        <v>1</v>
      </c>
    </row>
    <row r="5" spans="1:16" x14ac:dyDescent="0.25">
      <c r="A5" s="120">
        <f>A4+1</f>
        <v>2</v>
      </c>
      <c r="B5" s="184" t="s">
        <v>245</v>
      </c>
      <c r="C5" s="217">
        <v>46023</v>
      </c>
      <c r="D5" s="217">
        <v>46054</v>
      </c>
      <c r="E5" s="217">
        <v>46082</v>
      </c>
      <c r="F5" s="217">
        <v>46113</v>
      </c>
      <c r="G5" s="217">
        <v>46143</v>
      </c>
      <c r="H5" s="217">
        <v>46174</v>
      </c>
      <c r="I5" s="217">
        <v>46204</v>
      </c>
      <c r="J5" s="217">
        <v>46235</v>
      </c>
      <c r="K5" s="217">
        <v>46266</v>
      </c>
      <c r="L5" s="217">
        <v>46296</v>
      </c>
      <c r="M5" s="217">
        <v>46327</v>
      </c>
      <c r="N5" s="217">
        <v>46357</v>
      </c>
      <c r="O5" s="185" t="s">
        <v>18</v>
      </c>
      <c r="P5" s="120">
        <f>P4+1</f>
        <v>2</v>
      </c>
    </row>
    <row r="6" spans="1:16" x14ac:dyDescent="0.25">
      <c r="A6" s="120">
        <f>A5+1</f>
        <v>3</v>
      </c>
      <c r="B6" s="149" t="s">
        <v>246</v>
      </c>
      <c r="C6" s="93">
        <v>565866.7545167394</v>
      </c>
      <c r="D6" s="93">
        <v>474945.65281434939</v>
      </c>
      <c r="E6" s="93">
        <v>415713.04223156243</v>
      </c>
      <c r="F6" s="93">
        <v>339697.35059226031</v>
      </c>
      <c r="G6" s="93">
        <v>312119.36205995828</v>
      </c>
      <c r="H6" s="93">
        <v>335919.48072164389</v>
      </c>
      <c r="I6" s="93">
        <v>439256.6727740927</v>
      </c>
      <c r="J6" s="93">
        <v>587388.49004375737</v>
      </c>
      <c r="K6" s="93">
        <v>663180.16079624335</v>
      </c>
      <c r="L6" s="93">
        <v>486365.56356523017</v>
      </c>
      <c r="M6" s="93">
        <v>418337.1072421071</v>
      </c>
      <c r="N6" s="93">
        <v>490455.11967941705</v>
      </c>
      <c r="O6" s="849">
        <f>SUM(C6:N6)</f>
        <v>5529244.7570373621</v>
      </c>
      <c r="P6" s="120">
        <f>P5+1</f>
        <v>3</v>
      </c>
    </row>
    <row r="7" spans="1:16" x14ac:dyDescent="0.25">
      <c r="A7" s="120">
        <f t="shared" ref="A7:A23" si="0">A6+1</f>
        <v>4</v>
      </c>
      <c r="B7" s="149" t="s">
        <v>247</v>
      </c>
      <c r="C7" s="93">
        <v>201410.8846648258</v>
      </c>
      <c r="D7" s="93">
        <v>193878.03431133719</v>
      </c>
      <c r="E7" s="93">
        <v>189903.29863903418</v>
      </c>
      <c r="F7" s="93">
        <v>188108.26087251215</v>
      </c>
      <c r="G7" s="93">
        <v>187866.12535447706</v>
      </c>
      <c r="H7" s="93">
        <v>194140.30301661658</v>
      </c>
      <c r="I7" s="93">
        <v>217323.56930803531</v>
      </c>
      <c r="J7" s="93">
        <v>229243.87939853666</v>
      </c>
      <c r="K7" s="93">
        <v>239317.96571833527</v>
      </c>
      <c r="L7" s="93">
        <v>211348.57679099374</v>
      </c>
      <c r="M7" s="93">
        <v>195315.56105681779</v>
      </c>
      <c r="N7" s="93">
        <v>194243.9979147311</v>
      </c>
      <c r="O7" s="849">
        <f>SUM(C7:N7)</f>
        <v>2442100.4570462527</v>
      </c>
      <c r="P7" s="120">
        <f t="shared" ref="P7:P23" si="1">P6+1</f>
        <v>4</v>
      </c>
    </row>
    <row r="8" spans="1:16" x14ac:dyDescent="0.25">
      <c r="A8" s="120">
        <f t="shared" si="0"/>
        <v>5</v>
      </c>
      <c r="B8" s="149" t="s">
        <v>261</v>
      </c>
      <c r="C8" s="899">
        <v>718797.7314519526</v>
      </c>
      <c r="D8" s="899">
        <v>680989.30974619114</v>
      </c>
      <c r="E8" s="899">
        <v>682843.72333270195</v>
      </c>
      <c r="F8" s="899">
        <v>686833.63435529463</v>
      </c>
      <c r="G8" s="899">
        <v>693440.6124129626</v>
      </c>
      <c r="H8" s="899">
        <v>723617.54656166642</v>
      </c>
      <c r="I8" s="899">
        <v>806489.65684811841</v>
      </c>
      <c r="J8" s="899">
        <v>833968.51835937228</v>
      </c>
      <c r="K8" s="899">
        <v>867016.87316453329</v>
      </c>
      <c r="L8" s="899">
        <v>796536.57447793381</v>
      </c>
      <c r="M8" s="899">
        <v>728103.25338593172</v>
      </c>
      <c r="N8" s="899">
        <v>763709.82081237144</v>
      </c>
      <c r="O8" s="849">
        <f>SUM(C8:N8)</f>
        <v>8982347.2549090292</v>
      </c>
      <c r="P8" s="120">
        <f t="shared" si="1"/>
        <v>5</v>
      </c>
    </row>
    <row r="9" spans="1:16" x14ac:dyDescent="0.25">
      <c r="A9" s="120">
        <f t="shared" si="0"/>
        <v>6</v>
      </c>
      <c r="B9" s="149" t="s">
        <v>474</v>
      </c>
      <c r="C9" s="899">
        <v>216.72</v>
      </c>
      <c r="D9" s="899">
        <v>453.59</v>
      </c>
      <c r="E9" s="899">
        <v>352.39</v>
      </c>
      <c r="F9" s="899">
        <v>1098.01</v>
      </c>
      <c r="G9" s="899">
        <v>195.56</v>
      </c>
      <c r="H9" s="899">
        <v>0</v>
      </c>
      <c r="I9" s="899">
        <v>0</v>
      </c>
      <c r="J9" s="899">
        <v>0</v>
      </c>
      <c r="K9" s="899">
        <v>102.32</v>
      </c>
      <c r="L9" s="899">
        <v>747.3</v>
      </c>
      <c r="M9" s="899">
        <v>703.62</v>
      </c>
      <c r="N9" s="899">
        <v>339.3</v>
      </c>
      <c r="O9" s="849">
        <f>SUM(C9:N9)</f>
        <v>4208.8100000000004</v>
      </c>
      <c r="P9" s="120">
        <f t="shared" si="1"/>
        <v>6</v>
      </c>
    </row>
    <row r="10" spans="1:16" x14ac:dyDescent="0.25">
      <c r="A10" s="120">
        <f t="shared" si="0"/>
        <v>7</v>
      </c>
      <c r="B10" s="149" t="s">
        <v>249</v>
      </c>
      <c r="C10" s="899">
        <v>8770.8981289841504</v>
      </c>
      <c r="D10" s="899">
        <v>8598.1977953569913</v>
      </c>
      <c r="E10" s="899">
        <v>8121.460102189486</v>
      </c>
      <c r="F10" s="899">
        <v>8972.6457992273154</v>
      </c>
      <c r="G10" s="899">
        <v>13494.394209383001</v>
      </c>
      <c r="H10" s="899">
        <v>15277.102085518412</v>
      </c>
      <c r="I10" s="899">
        <v>17674.212425930997</v>
      </c>
      <c r="J10" s="899">
        <v>19350.930552889986</v>
      </c>
      <c r="K10" s="899">
        <v>18944.80013235228</v>
      </c>
      <c r="L10" s="899">
        <v>17483.777143699219</v>
      </c>
      <c r="M10" s="899">
        <v>14421.116292368242</v>
      </c>
      <c r="N10" s="899">
        <v>13285.180217291201</v>
      </c>
      <c r="O10" s="849">
        <f t="shared" ref="O10:O12" si="2">SUM(C10:N10)</f>
        <v>164394.71488519129</v>
      </c>
      <c r="P10" s="120">
        <f t="shared" si="1"/>
        <v>7</v>
      </c>
    </row>
    <row r="11" spans="1:16" x14ac:dyDescent="0.25">
      <c r="A11" s="120">
        <f t="shared" si="0"/>
        <v>8</v>
      </c>
      <c r="B11" s="149" t="s">
        <v>105</v>
      </c>
      <c r="C11" s="899">
        <v>16096.194488099385</v>
      </c>
      <c r="D11" s="899">
        <v>16324.789675258995</v>
      </c>
      <c r="E11" s="899">
        <v>15210.058425003275</v>
      </c>
      <c r="F11" s="899">
        <v>15790.788262185775</v>
      </c>
      <c r="G11" s="899">
        <v>18980.076654593213</v>
      </c>
      <c r="H11" s="899">
        <v>19791.045536760012</v>
      </c>
      <c r="I11" s="899">
        <v>21824.505864378167</v>
      </c>
      <c r="J11" s="899">
        <v>21947.825423344755</v>
      </c>
      <c r="K11" s="899">
        <v>21857.831109899176</v>
      </c>
      <c r="L11" s="899">
        <v>21118.8242638708</v>
      </c>
      <c r="M11" s="899">
        <v>19755.426797113778</v>
      </c>
      <c r="N11" s="899">
        <v>18182.7154746778</v>
      </c>
      <c r="O11" s="849">
        <f t="shared" si="2"/>
        <v>226880.08197518514</v>
      </c>
      <c r="P11" s="120">
        <f t="shared" si="1"/>
        <v>8</v>
      </c>
    </row>
    <row r="12" spans="1:16" x14ac:dyDescent="0.25">
      <c r="A12" s="120">
        <f t="shared" si="0"/>
        <v>9</v>
      </c>
      <c r="B12" s="149" t="s">
        <v>250</v>
      </c>
      <c r="C12" s="899">
        <v>7050.0413726688057</v>
      </c>
      <c r="D12" s="899">
        <v>6963.6393231486991</v>
      </c>
      <c r="E12" s="899">
        <v>6821.3843778897572</v>
      </c>
      <c r="F12" s="899">
        <v>6696.4339907789936</v>
      </c>
      <c r="G12" s="899">
        <v>6687.4349307582761</v>
      </c>
      <c r="H12" s="899">
        <v>6721.2374505943089</v>
      </c>
      <c r="I12" s="899">
        <v>6678.7223135911072</v>
      </c>
      <c r="J12" s="899">
        <v>6838.7799659992625</v>
      </c>
      <c r="K12" s="899">
        <v>6753.5915071859908</v>
      </c>
      <c r="L12" s="899">
        <v>6782.6486053437784</v>
      </c>
      <c r="M12" s="899">
        <v>7119.9366196114333</v>
      </c>
      <c r="N12" s="899">
        <v>7138.9094377961856</v>
      </c>
      <c r="O12" s="849">
        <f t="shared" si="2"/>
        <v>82252.759895366587</v>
      </c>
      <c r="P12" s="120">
        <f t="shared" si="1"/>
        <v>9</v>
      </c>
    </row>
    <row r="13" spans="1:16" x14ac:dyDescent="0.25">
      <c r="A13" s="120">
        <f t="shared" si="0"/>
        <v>10</v>
      </c>
      <c r="B13" s="755" t="s">
        <v>7</v>
      </c>
      <c r="C13" s="898">
        <v>7.5685555555555553</v>
      </c>
      <c r="D13" s="899">
        <v>7.5685555555555553</v>
      </c>
      <c r="E13" s="899">
        <v>7.5685555555555553</v>
      </c>
      <c r="F13" s="899">
        <v>7.5685555555555553</v>
      </c>
      <c r="G13" s="899">
        <v>7.5685555555555553</v>
      </c>
      <c r="H13" s="899">
        <v>7.5685555555555553</v>
      </c>
      <c r="I13" s="899">
        <v>7.5685555555555553</v>
      </c>
      <c r="J13" s="899">
        <v>7.5685555555555553</v>
      </c>
      <c r="K13" s="899">
        <v>7.5685555555555553</v>
      </c>
      <c r="L13" s="899">
        <v>7.5685555555555553</v>
      </c>
      <c r="M13" s="899">
        <v>7.5685555555555553</v>
      </c>
      <c r="N13" s="899">
        <v>7.5685555555555553</v>
      </c>
      <c r="O13" s="899">
        <f>SUM(C13:N13)</f>
        <v>90.822666666666635</v>
      </c>
      <c r="P13" s="120">
        <f t="shared" si="1"/>
        <v>10</v>
      </c>
    </row>
    <row r="14" spans="1:16" ht="18.75" thickBot="1" x14ac:dyDescent="0.3">
      <c r="A14" s="120">
        <f t="shared" si="0"/>
        <v>11</v>
      </c>
      <c r="B14" s="204" t="s">
        <v>251</v>
      </c>
      <c r="C14" s="205">
        <f t="shared" ref="C14:O14" si="3">SUM(C6:C13)</f>
        <v>1518216.7931788256</v>
      </c>
      <c r="D14" s="206">
        <f t="shared" si="3"/>
        <v>1382160.7822211981</v>
      </c>
      <c r="E14" s="206">
        <f t="shared" si="3"/>
        <v>1318972.9256639367</v>
      </c>
      <c r="F14" s="206">
        <f t="shared" si="3"/>
        <v>1247204.6924278149</v>
      </c>
      <c r="G14" s="206">
        <f t="shared" si="3"/>
        <v>1232791.1341776883</v>
      </c>
      <c r="H14" s="206">
        <f t="shared" si="3"/>
        <v>1295474.2839283552</v>
      </c>
      <c r="I14" s="206">
        <f t="shared" si="3"/>
        <v>1509254.908089702</v>
      </c>
      <c r="J14" s="206">
        <f t="shared" si="3"/>
        <v>1698745.9922994559</v>
      </c>
      <c r="K14" s="206">
        <f t="shared" si="3"/>
        <v>1817181.1109841049</v>
      </c>
      <c r="L14" s="206">
        <f t="shared" si="3"/>
        <v>1540390.8334026271</v>
      </c>
      <c r="M14" s="206">
        <f t="shared" si="3"/>
        <v>1383763.5899495056</v>
      </c>
      <c r="N14" s="206">
        <f t="shared" si="3"/>
        <v>1487362.6120918402</v>
      </c>
      <c r="O14" s="207">
        <f t="shared" si="3"/>
        <v>17431519.658415049</v>
      </c>
      <c r="P14" s="120">
        <f t="shared" si="1"/>
        <v>11</v>
      </c>
    </row>
    <row r="15" spans="1:16" ht="18.75" thickTop="1" x14ac:dyDescent="0.25">
      <c r="A15" s="120">
        <f t="shared" si="0"/>
        <v>12</v>
      </c>
      <c r="B15" s="204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199"/>
      <c r="P15" s="120">
        <f t="shared" si="1"/>
        <v>12</v>
      </c>
    </row>
    <row r="16" spans="1:16" ht="18.75" thickBot="1" x14ac:dyDescent="0.3">
      <c r="A16" s="120">
        <f t="shared" si="0"/>
        <v>13</v>
      </c>
      <c r="B16" s="204" t="s">
        <v>252</v>
      </c>
      <c r="C16" s="210">
        <f t="shared" ref="C16:O16" si="4">SUM(C6:C12)</f>
        <v>1518209.2246232701</v>
      </c>
      <c r="D16" s="210">
        <f t="shared" si="4"/>
        <v>1382153.2136656425</v>
      </c>
      <c r="E16" s="210">
        <f t="shared" si="4"/>
        <v>1318965.3571083811</v>
      </c>
      <c r="F16" s="210">
        <f t="shared" si="4"/>
        <v>1247197.1238722594</v>
      </c>
      <c r="G16" s="210">
        <f t="shared" si="4"/>
        <v>1232783.5656221327</v>
      </c>
      <c r="H16" s="210">
        <f t="shared" si="4"/>
        <v>1295466.7153727997</v>
      </c>
      <c r="I16" s="210">
        <f t="shared" si="4"/>
        <v>1509247.3395341465</v>
      </c>
      <c r="J16" s="210">
        <f t="shared" si="4"/>
        <v>1698738.4237439004</v>
      </c>
      <c r="K16" s="210">
        <f t="shared" si="4"/>
        <v>1817173.5424285494</v>
      </c>
      <c r="L16" s="210">
        <f t="shared" si="4"/>
        <v>1540383.2648470716</v>
      </c>
      <c r="M16" s="210">
        <f t="shared" si="4"/>
        <v>1383756.0213939501</v>
      </c>
      <c r="N16" s="210">
        <f t="shared" si="4"/>
        <v>1487355.0435362847</v>
      </c>
      <c r="O16" s="211">
        <f t="shared" si="4"/>
        <v>17431428.835748382</v>
      </c>
      <c r="P16" s="120">
        <f t="shared" si="1"/>
        <v>13</v>
      </c>
    </row>
    <row r="17" spans="1:18" ht="19.5" thickTop="1" thickBot="1" x14ac:dyDescent="0.3">
      <c r="A17" s="120">
        <f t="shared" si="0"/>
        <v>14</v>
      </c>
      <c r="B17" s="126"/>
      <c r="C17" s="309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213"/>
      <c r="O17" s="214"/>
      <c r="P17" s="120">
        <f t="shared" si="1"/>
        <v>14</v>
      </c>
    </row>
    <row r="18" spans="1:18" x14ac:dyDescent="0.25">
      <c r="A18" s="120">
        <f t="shared" si="0"/>
        <v>15</v>
      </c>
      <c r="B18" s="215" t="s">
        <v>262</v>
      </c>
      <c r="C18" s="216">
        <f t="shared" ref="C18:O18" si="5">C5</f>
        <v>46023</v>
      </c>
      <c r="D18" s="217">
        <f t="shared" si="5"/>
        <v>46054</v>
      </c>
      <c r="E18" s="217">
        <f t="shared" si="5"/>
        <v>46082</v>
      </c>
      <c r="F18" s="217">
        <f t="shared" si="5"/>
        <v>46113</v>
      </c>
      <c r="G18" s="217">
        <f t="shared" si="5"/>
        <v>46143</v>
      </c>
      <c r="H18" s="217">
        <f t="shared" si="5"/>
        <v>46174</v>
      </c>
      <c r="I18" s="217">
        <f t="shared" si="5"/>
        <v>46204</v>
      </c>
      <c r="J18" s="217">
        <f t="shared" si="5"/>
        <v>46235</v>
      </c>
      <c r="K18" s="217">
        <f t="shared" si="5"/>
        <v>46266</v>
      </c>
      <c r="L18" s="217">
        <f t="shared" si="5"/>
        <v>46296</v>
      </c>
      <c r="M18" s="217">
        <f t="shared" si="5"/>
        <v>46327</v>
      </c>
      <c r="N18" s="217">
        <f t="shared" si="5"/>
        <v>46357</v>
      </c>
      <c r="O18" s="185" t="str">
        <f t="shared" si="5"/>
        <v>Total</v>
      </c>
      <c r="P18" s="120">
        <f t="shared" si="1"/>
        <v>15</v>
      </c>
    </row>
    <row r="19" spans="1:18" x14ac:dyDescent="0.25">
      <c r="A19" s="120">
        <f t="shared" si="0"/>
        <v>16</v>
      </c>
      <c r="B19" s="218" t="s">
        <v>254</v>
      </c>
      <c r="C19" s="219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23"/>
      <c r="P19" s="120">
        <f t="shared" si="1"/>
        <v>16</v>
      </c>
    </row>
    <row r="20" spans="1:18" x14ac:dyDescent="0.25">
      <c r="A20" s="120">
        <f t="shared" si="0"/>
        <v>17</v>
      </c>
      <c r="B20" s="125" t="s">
        <v>255</v>
      </c>
      <c r="C20" s="117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00">
        <f>SUM(C20:N20)</f>
        <v>0</v>
      </c>
      <c r="P20" s="120">
        <f t="shared" si="1"/>
        <v>17</v>
      </c>
    </row>
    <row r="21" spans="1:18" x14ac:dyDescent="0.25">
      <c r="A21" s="120">
        <f t="shared" si="0"/>
        <v>18</v>
      </c>
      <c r="B21" s="125" t="s">
        <v>256</v>
      </c>
      <c r="C21" s="117">
        <v>624623.34396358684</v>
      </c>
      <c r="D21" s="93">
        <v>598275.54000922793</v>
      </c>
      <c r="E21" s="93">
        <v>591888.33811396465</v>
      </c>
      <c r="F21" s="93">
        <v>593322.4069488364</v>
      </c>
      <c r="G21" s="93">
        <v>603056.33649390168</v>
      </c>
      <c r="H21" s="93">
        <v>633872.26914044889</v>
      </c>
      <c r="I21" s="93">
        <v>704820.31099111389</v>
      </c>
      <c r="J21" s="93">
        <v>732706.68919207831</v>
      </c>
      <c r="K21" s="93">
        <v>765160.86600524245</v>
      </c>
      <c r="L21" s="93">
        <v>700464.73635272053</v>
      </c>
      <c r="M21" s="93">
        <v>635921.14628863835</v>
      </c>
      <c r="N21" s="93">
        <v>657229.98612820031</v>
      </c>
      <c r="O21" s="199">
        <f>SUM(C21:N21)</f>
        <v>7841341.9696279597</v>
      </c>
      <c r="P21" s="120">
        <f t="shared" si="1"/>
        <v>18</v>
      </c>
    </row>
    <row r="22" spans="1:18" x14ac:dyDescent="0.25">
      <c r="A22" s="120">
        <f t="shared" si="0"/>
        <v>19</v>
      </c>
      <c r="B22" s="125" t="s">
        <v>257</v>
      </c>
      <c r="C22" s="117">
        <v>94174.387488365741</v>
      </c>
      <c r="D22" s="481">
        <v>82713.76973696315</v>
      </c>
      <c r="E22" s="481">
        <v>90955.385218737327</v>
      </c>
      <c r="F22" s="481">
        <v>93511.227406458245</v>
      </c>
      <c r="G22" s="481">
        <v>90384.275919060892</v>
      </c>
      <c r="H22" s="481">
        <v>89745.277421217557</v>
      </c>
      <c r="I22" s="481">
        <v>101669.34585700449</v>
      </c>
      <c r="J22" s="481">
        <v>101261.82916729401</v>
      </c>
      <c r="K22" s="481">
        <v>101856.00715929084</v>
      </c>
      <c r="L22" s="481">
        <v>96071.838125213282</v>
      </c>
      <c r="M22" s="481">
        <v>92182.107097293367</v>
      </c>
      <c r="N22" s="481">
        <v>106479.83468417113</v>
      </c>
      <c r="O22" s="199">
        <f>SUM(C22:N22)</f>
        <v>1141005.28528107</v>
      </c>
      <c r="P22" s="120">
        <f t="shared" si="1"/>
        <v>19</v>
      </c>
    </row>
    <row r="23" spans="1:18" x14ac:dyDescent="0.25">
      <c r="A23" s="120">
        <f t="shared" si="0"/>
        <v>20</v>
      </c>
      <c r="B23" s="120" t="s">
        <v>18</v>
      </c>
      <c r="C23" s="225">
        <f>SUM(C20:C22)</f>
        <v>718797.7314519526</v>
      </c>
      <c r="D23" s="220">
        <f t="shared" ref="D23:O23" si="6">SUM(D20:D22)</f>
        <v>680989.30974619114</v>
      </c>
      <c r="E23" s="220">
        <f t="shared" si="6"/>
        <v>682843.72333270195</v>
      </c>
      <c r="F23" s="220">
        <f t="shared" si="6"/>
        <v>686833.63435529463</v>
      </c>
      <c r="G23" s="220">
        <f t="shared" si="6"/>
        <v>693440.6124129626</v>
      </c>
      <c r="H23" s="220">
        <f t="shared" si="6"/>
        <v>723617.54656166642</v>
      </c>
      <c r="I23" s="220">
        <f t="shared" si="6"/>
        <v>806489.65684811841</v>
      </c>
      <c r="J23" s="220">
        <f t="shared" si="6"/>
        <v>833968.51835937228</v>
      </c>
      <c r="K23" s="220">
        <f t="shared" si="6"/>
        <v>867016.87316453329</v>
      </c>
      <c r="L23" s="220">
        <f t="shared" si="6"/>
        <v>796536.57447793381</v>
      </c>
      <c r="M23" s="220">
        <f t="shared" si="6"/>
        <v>728103.25338593172</v>
      </c>
      <c r="N23" s="220">
        <f t="shared" si="6"/>
        <v>763709.82081237144</v>
      </c>
      <c r="O23" s="226">
        <f t="shared" si="6"/>
        <v>8982347.2549090292</v>
      </c>
      <c r="P23" s="120">
        <f t="shared" si="1"/>
        <v>20</v>
      </c>
    </row>
    <row r="24" spans="1:18" ht="18.75" thickBot="1" x14ac:dyDescent="0.3">
      <c r="A24" s="121">
        <f>A23+1</f>
        <v>21</v>
      </c>
      <c r="B24" s="126"/>
      <c r="C24" s="212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124"/>
      <c r="P24" s="121">
        <f>P23+1</f>
        <v>21</v>
      </c>
    </row>
    <row r="26" spans="1:18" ht="18.75" thickBot="1" x14ac:dyDescent="0.3"/>
    <row r="27" spans="1:18" x14ac:dyDescent="0.25">
      <c r="A27" s="150" t="s">
        <v>8</v>
      </c>
      <c r="B27" s="986" t="s">
        <v>258</v>
      </c>
      <c r="C27" s="987"/>
      <c r="D27" s="987"/>
      <c r="E27" s="987"/>
      <c r="F27" s="987"/>
      <c r="G27" s="987"/>
      <c r="H27" s="987"/>
      <c r="I27" s="987"/>
      <c r="J27" s="987"/>
      <c r="K27" s="987"/>
      <c r="L27" s="987"/>
      <c r="M27" s="987"/>
      <c r="N27" s="987"/>
      <c r="O27" s="988"/>
      <c r="P27" s="150" t="s">
        <v>8</v>
      </c>
    </row>
    <row r="28" spans="1:18" ht="18.75" thickBot="1" x14ac:dyDescent="0.3">
      <c r="A28" s="121" t="s">
        <v>11</v>
      </c>
      <c r="B28" s="989" t="str">
        <f>B3</f>
        <v>Forecast Billing Determinants for the 12-Month Period: January 2026- December 2026</v>
      </c>
      <c r="C28" s="990"/>
      <c r="D28" s="990"/>
      <c r="E28" s="990"/>
      <c r="F28" s="990"/>
      <c r="G28" s="990"/>
      <c r="H28" s="990"/>
      <c r="I28" s="990"/>
      <c r="J28" s="990"/>
      <c r="K28" s="990"/>
      <c r="L28" s="990"/>
      <c r="M28" s="990"/>
      <c r="N28" s="990"/>
      <c r="O28" s="991"/>
      <c r="P28" s="121" t="s">
        <v>11</v>
      </c>
    </row>
    <row r="29" spans="1:18" x14ac:dyDescent="0.25">
      <c r="A29" s="120">
        <f>A24+1</f>
        <v>22</v>
      </c>
      <c r="B29" s="182" t="s">
        <v>244</v>
      </c>
      <c r="C29" s="224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22"/>
      <c r="P29" s="120">
        <f>P24+1</f>
        <v>22</v>
      </c>
    </row>
    <row r="30" spans="1:18" x14ac:dyDescent="0.25">
      <c r="A30" s="120">
        <f>A29+1</f>
        <v>23</v>
      </c>
      <c r="B30" s="184" t="s">
        <v>259</v>
      </c>
      <c r="C30" s="216">
        <f t="shared" ref="C30:N30" si="7">C5</f>
        <v>46023</v>
      </c>
      <c r="D30" s="217">
        <f t="shared" si="7"/>
        <v>46054</v>
      </c>
      <c r="E30" s="217">
        <f t="shared" si="7"/>
        <v>46082</v>
      </c>
      <c r="F30" s="217">
        <f t="shared" si="7"/>
        <v>46113</v>
      </c>
      <c r="G30" s="217">
        <f t="shared" si="7"/>
        <v>46143</v>
      </c>
      <c r="H30" s="217">
        <f t="shared" si="7"/>
        <v>46174</v>
      </c>
      <c r="I30" s="217">
        <f t="shared" si="7"/>
        <v>46204</v>
      </c>
      <c r="J30" s="217">
        <f t="shared" si="7"/>
        <v>46235</v>
      </c>
      <c r="K30" s="217">
        <f t="shared" si="7"/>
        <v>46266</v>
      </c>
      <c r="L30" s="217">
        <f t="shared" si="7"/>
        <v>46296</v>
      </c>
      <c r="M30" s="217">
        <f t="shared" si="7"/>
        <v>46327</v>
      </c>
      <c r="N30" s="217">
        <f t="shared" si="7"/>
        <v>46357</v>
      </c>
      <c r="O30" s="185" t="s">
        <v>18</v>
      </c>
      <c r="P30" s="120">
        <f>P29+1</f>
        <v>23</v>
      </c>
      <c r="Q30" s="761"/>
    </row>
    <row r="31" spans="1:18" x14ac:dyDescent="0.25">
      <c r="A31" s="120">
        <f>A30+1</f>
        <v>24</v>
      </c>
      <c r="B31" s="149" t="s">
        <v>246</v>
      </c>
      <c r="C31" s="198">
        <f t="shared" ref="C31:N31" si="8">C6*1000</f>
        <v>565866754.51673937</v>
      </c>
      <c r="D31" s="177">
        <f t="shared" si="8"/>
        <v>474945652.81434941</v>
      </c>
      <c r="E31" s="177">
        <f t="shared" si="8"/>
        <v>415713042.23156244</v>
      </c>
      <c r="F31" s="177">
        <f t="shared" si="8"/>
        <v>339697350.5922603</v>
      </c>
      <c r="G31" s="177">
        <f t="shared" si="8"/>
        <v>312119362.05995828</v>
      </c>
      <c r="H31" s="177">
        <f t="shared" si="8"/>
        <v>335919480.72164387</v>
      </c>
      <c r="I31" s="177">
        <f t="shared" si="8"/>
        <v>439256672.77409267</v>
      </c>
      <c r="J31" s="177">
        <f t="shared" si="8"/>
        <v>587388490.04375732</v>
      </c>
      <c r="K31" s="177">
        <f t="shared" si="8"/>
        <v>663180160.79624331</v>
      </c>
      <c r="L31" s="177">
        <f t="shared" si="8"/>
        <v>486365563.56523019</v>
      </c>
      <c r="M31" s="177">
        <f t="shared" si="8"/>
        <v>418337107.24210709</v>
      </c>
      <c r="N31" s="177">
        <f t="shared" si="8"/>
        <v>490455119.67941707</v>
      </c>
      <c r="O31" s="199">
        <f>SUM(C31:N31)</f>
        <v>5529244757.0373611</v>
      </c>
      <c r="P31" s="120">
        <f>P30+1</f>
        <v>24</v>
      </c>
      <c r="Q31" s="761"/>
      <c r="R31" s="762"/>
    </row>
    <row r="32" spans="1:18" x14ac:dyDescent="0.25">
      <c r="A32" s="120">
        <f t="shared" ref="A32:A48" si="9">A31+1</f>
        <v>25</v>
      </c>
      <c r="B32" s="149" t="s">
        <v>247</v>
      </c>
      <c r="C32" s="198">
        <f t="shared" ref="C32:N32" si="10">C7*1000</f>
        <v>201410884.6648258</v>
      </c>
      <c r="D32" s="177">
        <f t="shared" si="10"/>
        <v>193878034.3113372</v>
      </c>
      <c r="E32" s="177">
        <f t="shared" si="10"/>
        <v>189903298.63903418</v>
      </c>
      <c r="F32" s="177">
        <f t="shared" si="10"/>
        <v>188108260.87251216</v>
      </c>
      <c r="G32" s="177">
        <f t="shared" si="10"/>
        <v>187866125.35447705</v>
      </c>
      <c r="H32" s="177">
        <f t="shared" si="10"/>
        <v>194140303.01661658</v>
      </c>
      <c r="I32" s="177">
        <f t="shared" si="10"/>
        <v>217323569.30803531</v>
      </c>
      <c r="J32" s="177">
        <f t="shared" si="10"/>
        <v>229243879.39853665</v>
      </c>
      <c r="K32" s="177">
        <f t="shared" si="10"/>
        <v>239317965.71833527</v>
      </c>
      <c r="L32" s="177">
        <f t="shared" si="10"/>
        <v>211348576.79099375</v>
      </c>
      <c r="M32" s="177">
        <f t="shared" si="10"/>
        <v>195315561.0568178</v>
      </c>
      <c r="N32" s="177">
        <f t="shared" si="10"/>
        <v>194243997.91473109</v>
      </c>
      <c r="O32" s="199">
        <f>SUM(C32:N32)</f>
        <v>2442100457.0462527</v>
      </c>
      <c r="P32" s="120">
        <f t="shared" ref="P32:P48" si="11">P31+1</f>
        <v>25</v>
      </c>
    </row>
    <row r="33" spans="1:18" x14ac:dyDescent="0.25">
      <c r="A33" s="120">
        <f t="shared" si="9"/>
        <v>26</v>
      </c>
      <c r="B33" s="149" t="s">
        <v>248</v>
      </c>
      <c r="C33" s="200">
        <f>C48</f>
        <v>718797731.45195258</v>
      </c>
      <c r="D33" s="201">
        <f>D48</f>
        <v>680989309.74619102</v>
      </c>
      <c r="E33" s="201">
        <f t="shared" ref="E33:N33" si="12">E48</f>
        <v>682843723.33270204</v>
      </c>
      <c r="F33" s="201">
        <f t="shared" si="12"/>
        <v>686833634.3552947</v>
      </c>
      <c r="G33" s="201">
        <f t="shared" si="12"/>
        <v>693440612.41296268</v>
      </c>
      <c r="H33" s="201">
        <f t="shared" si="12"/>
        <v>723617546.56166649</v>
      </c>
      <c r="I33" s="201">
        <f t="shared" si="12"/>
        <v>806489656.84811842</v>
      </c>
      <c r="J33" s="201">
        <f t="shared" si="12"/>
        <v>833968518.35937238</v>
      </c>
      <c r="K33" s="201">
        <f t="shared" si="12"/>
        <v>867016873.16453326</v>
      </c>
      <c r="L33" s="201">
        <f t="shared" si="12"/>
        <v>796536574.47793376</v>
      </c>
      <c r="M33" s="201">
        <f t="shared" si="12"/>
        <v>728103253.38593173</v>
      </c>
      <c r="N33" s="201">
        <f t="shared" si="12"/>
        <v>763709820.81237137</v>
      </c>
      <c r="O33" s="199">
        <f>SUM(C33:N33)</f>
        <v>8982347254.9090309</v>
      </c>
      <c r="P33" s="120">
        <f t="shared" si="11"/>
        <v>26</v>
      </c>
    </row>
    <row r="34" spans="1:18" x14ac:dyDescent="0.25">
      <c r="A34" s="120">
        <f t="shared" si="9"/>
        <v>27</v>
      </c>
      <c r="B34" s="202" t="s">
        <v>474</v>
      </c>
      <c r="C34" s="198">
        <f t="shared" ref="C34:N35" si="13">C9*1000</f>
        <v>216720</v>
      </c>
      <c r="D34" s="201">
        <f t="shared" si="13"/>
        <v>453590</v>
      </c>
      <c r="E34" s="201">
        <f t="shared" si="13"/>
        <v>352390</v>
      </c>
      <c r="F34" s="201">
        <f t="shared" si="13"/>
        <v>1098010</v>
      </c>
      <c r="G34" s="201">
        <f t="shared" si="13"/>
        <v>195560</v>
      </c>
      <c r="H34" s="201">
        <f t="shared" si="13"/>
        <v>0</v>
      </c>
      <c r="I34" s="917">
        <f t="shared" si="13"/>
        <v>0</v>
      </c>
      <c r="J34" s="917">
        <f t="shared" si="13"/>
        <v>0</v>
      </c>
      <c r="K34" s="917">
        <f t="shared" si="13"/>
        <v>102320</v>
      </c>
      <c r="L34" s="917">
        <f t="shared" si="13"/>
        <v>747300</v>
      </c>
      <c r="M34" s="917">
        <f t="shared" si="13"/>
        <v>703620</v>
      </c>
      <c r="N34" s="917">
        <f t="shared" si="13"/>
        <v>339300</v>
      </c>
      <c r="O34" s="199">
        <f>SUM(C34:N34)</f>
        <v>4208810</v>
      </c>
      <c r="P34" s="120">
        <f t="shared" si="11"/>
        <v>27</v>
      </c>
    </row>
    <row r="35" spans="1:18" x14ac:dyDescent="0.25">
      <c r="A35" s="120">
        <f t="shared" si="9"/>
        <v>28</v>
      </c>
      <c r="B35" s="202" t="s">
        <v>249</v>
      </c>
      <c r="C35" s="198">
        <f t="shared" si="13"/>
        <v>8770898.1289841495</v>
      </c>
      <c r="D35" s="177">
        <f t="shared" si="13"/>
        <v>8598197.7953569908</v>
      </c>
      <c r="E35" s="177">
        <f t="shared" si="13"/>
        <v>8121460.1021894859</v>
      </c>
      <c r="F35" s="177">
        <f t="shared" si="13"/>
        <v>8972645.7992273159</v>
      </c>
      <c r="G35" s="177">
        <f t="shared" si="13"/>
        <v>13494394.209383002</v>
      </c>
      <c r="H35" s="177">
        <f t="shared" si="13"/>
        <v>15277102.085518412</v>
      </c>
      <c r="I35" s="177">
        <f t="shared" si="13"/>
        <v>17674212.425930995</v>
      </c>
      <c r="J35" s="177">
        <f t="shared" si="13"/>
        <v>19350930.552889984</v>
      </c>
      <c r="K35" s="177">
        <f t="shared" si="13"/>
        <v>18944800.132352281</v>
      </c>
      <c r="L35" s="177">
        <f t="shared" si="13"/>
        <v>17483777.143699218</v>
      </c>
      <c r="M35" s="177">
        <f t="shared" si="13"/>
        <v>14421116.292368243</v>
      </c>
      <c r="N35" s="177">
        <f t="shared" si="13"/>
        <v>13285180.217291201</v>
      </c>
      <c r="O35" s="199">
        <f t="shared" ref="O35:O36" si="14">SUM(C35:N35)</f>
        <v>164394714.88519129</v>
      </c>
      <c r="P35" s="120">
        <f t="shared" si="11"/>
        <v>28</v>
      </c>
    </row>
    <row r="36" spans="1:18" x14ac:dyDescent="0.25">
      <c r="A36" s="120">
        <f t="shared" si="9"/>
        <v>29</v>
      </c>
      <c r="B36" s="202" t="s">
        <v>105</v>
      </c>
      <c r="C36" s="198">
        <f t="shared" ref="C36:N36" si="15">C11*1000</f>
        <v>16096194.488099385</v>
      </c>
      <c r="D36" s="177">
        <f t="shared" si="15"/>
        <v>16324789.675258994</v>
      </c>
      <c r="E36" s="177">
        <f t="shared" si="15"/>
        <v>15210058.425003275</v>
      </c>
      <c r="F36" s="177">
        <f t="shared" si="15"/>
        <v>15790788.262185775</v>
      </c>
      <c r="G36" s="177">
        <f t="shared" si="15"/>
        <v>18980076.654593214</v>
      </c>
      <c r="H36" s="177">
        <f t="shared" si="15"/>
        <v>19791045.53676001</v>
      </c>
      <c r="I36" s="177">
        <f t="shared" si="15"/>
        <v>21824505.864378165</v>
      </c>
      <c r="J36" s="177">
        <f t="shared" si="15"/>
        <v>21947825.423344754</v>
      </c>
      <c r="K36" s="177">
        <f t="shared" si="15"/>
        <v>21857831.109899174</v>
      </c>
      <c r="L36" s="177">
        <f t="shared" si="15"/>
        <v>21118824.263870798</v>
      </c>
      <c r="M36" s="177">
        <f t="shared" si="15"/>
        <v>19755426.797113776</v>
      </c>
      <c r="N36" s="177">
        <f t="shared" si="15"/>
        <v>18182715.474677801</v>
      </c>
      <c r="O36" s="199">
        <f t="shared" si="14"/>
        <v>226880081.9751851</v>
      </c>
      <c r="P36" s="120">
        <f t="shared" si="11"/>
        <v>29</v>
      </c>
    </row>
    <row r="37" spans="1:18" x14ac:dyDescent="0.25">
      <c r="A37" s="120">
        <f t="shared" si="9"/>
        <v>30</v>
      </c>
      <c r="B37" s="149" t="s">
        <v>250</v>
      </c>
      <c r="C37" s="198">
        <f t="shared" ref="C37:N37" si="16">C12*1000</f>
        <v>7050041.3726688055</v>
      </c>
      <c r="D37" s="177">
        <f t="shared" si="16"/>
        <v>6963639.3231486995</v>
      </c>
      <c r="E37" s="177">
        <f t="shared" si="16"/>
        <v>6821384.377889757</v>
      </c>
      <c r="F37" s="177">
        <f t="shared" si="16"/>
        <v>6696433.9907789938</v>
      </c>
      <c r="G37" s="177">
        <f t="shared" si="16"/>
        <v>6687434.930758276</v>
      </c>
      <c r="H37" s="177">
        <f t="shared" si="16"/>
        <v>6721237.4505943088</v>
      </c>
      <c r="I37" s="177">
        <f t="shared" si="16"/>
        <v>6678722.3135911068</v>
      </c>
      <c r="J37" s="177">
        <f t="shared" si="16"/>
        <v>6838779.9659992624</v>
      </c>
      <c r="K37" s="177">
        <f t="shared" si="16"/>
        <v>6753591.5071859909</v>
      </c>
      <c r="L37" s="177">
        <f t="shared" si="16"/>
        <v>6782648.6053437786</v>
      </c>
      <c r="M37" s="177">
        <f t="shared" si="16"/>
        <v>7119936.6196114337</v>
      </c>
      <c r="N37" s="177">
        <f t="shared" si="16"/>
        <v>7138909.4377961857</v>
      </c>
      <c r="O37" s="199">
        <f>SUM(C37:N37)</f>
        <v>82252759.895366594</v>
      </c>
      <c r="P37" s="120">
        <f t="shared" si="11"/>
        <v>30</v>
      </c>
    </row>
    <row r="38" spans="1:18" x14ac:dyDescent="0.25">
      <c r="A38" s="120">
        <f t="shared" si="9"/>
        <v>31</v>
      </c>
      <c r="B38" s="203" t="s">
        <v>7</v>
      </c>
      <c r="C38" s="198">
        <f t="shared" ref="C38:N38" si="17">C13*1000</f>
        <v>7568.5555555555557</v>
      </c>
      <c r="D38" s="177">
        <f t="shared" si="17"/>
        <v>7568.5555555555557</v>
      </c>
      <c r="E38" s="177">
        <f t="shared" si="17"/>
        <v>7568.5555555555557</v>
      </c>
      <c r="F38" s="177">
        <f t="shared" si="17"/>
        <v>7568.5555555555557</v>
      </c>
      <c r="G38" s="177">
        <f t="shared" si="17"/>
        <v>7568.5555555555557</v>
      </c>
      <c r="H38" s="177">
        <f t="shared" si="17"/>
        <v>7568.5555555555557</v>
      </c>
      <c r="I38" s="177">
        <f t="shared" si="17"/>
        <v>7568.5555555555557</v>
      </c>
      <c r="J38" s="177">
        <f t="shared" si="17"/>
        <v>7568.5555555555557</v>
      </c>
      <c r="K38" s="177">
        <f t="shared" si="17"/>
        <v>7568.5555555555557</v>
      </c>
      <c r="L38" s="177">
        <f t="shared" si="17"/>
        <v>7568.5555555555557</v>
      </c>
      <c r="M38" s="177">
        <f t="shared" si="17"/>
        <v>7568.5555555555557</v>
      </c>
      <c r="N38" s="177">
        <f t="shared" si="17"/>
        <v>7568.5555555555557</v>
      </c>
      <c r="O38" s="199">
        <f>SUM(C38:N38)</f>
        <v>90822.666666666686</v>
      </c>
      <c r="P38" s="120">
        <f t="shared" si="11"/>
        <v>31</v>
      </c>
      <c r="Q38" s="763"/>
    </row>
    <row r="39" spans="1:18" ht="18.75" thickBot="1" x14ac:dyDescent="0.3">
      <c r="A39" s="120">
        <f t="shared" si="9"/>
        <v>32</v>
      </c>
      <c r="B39" s="204" t="s">
        <v>251</v>
      </c>
      <c r="C39" s="205">
        <f>SUM(C31:C38)</f>
        <v>1518216793.1788256</v>
      </c>
      <c r="D39" s="206">
        <f t="shared" ref="D39:N39" si="18">SUM(D31:D38)</f>
        <v>1382160782.2211978</v>
      </c>
      <c r="E39" s="206">
        <f t="shared" si="18"/>
        <v>1318972925.6639369</v>
      </c>
      <c r="F39" s="206">
        <f t="shared" si="18"/>
        <v>1247204692.4278147</v>
      </c>
      <c r="G39" s="206">
        <f t="shared" si="18"/>
        <v>1232791134.1776881</v>
      </c>
      <c r="H39" s="206">
        <f t="shared" si="18"/>
        <v>1295474283.9283555</v>
      </c>
      <c r="I39" s="206">
        <f t="shared" si="18"/>
        <v>1509254908.0897021</v>
      </c>
      <c r="J39" s="206">
        <f t="shared" si="18"/>
        <v>1698745992.2994561</v>
      </c>
      <c r="K39" s="206">
        <f t="shared" si="18"/>
        <v>1817181110.9841051</v>
      </c>
      <c r="L39" s="206">
        <f t="shared" si="18"/>
        <v>1540390833.402627</v>
      </c>
      <c r="M39" s="206">
        <f t="shared" si="18"/>
        <v>1383763589.9495058</v>
      </c>
      <c r="N39" s="206">
        <f t="shared" si="18"/>
        <v>1487362612.09184</v>
      </c>
      <c r="O39" s="207">
        <f>SUM(O31:O38)</f>
        <v>17431519658.415054</v>
      </c>
      <c r="P39" s="120">
        <f t="shared" si="11"/>
        <v>32</v>
      </c>
      <c r="Q39" s="763"/>
    </row>
    <row r="40" spans="1:18" ht="18.75" thickTop="1" x14ac:dyDescent="0.25">
      <c r="A40" s="120">
        <f t="shared" si="9"/>
        <v>33</v>
      </c>
      <c r="B40" s="208"/>
      <c r="C40" s="200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199"/>
      <c r="P40" s="120">
        <f t="shared" si="11"/>
        <v>33</v>
      </c>
      <c r="Q40" s="452"/>
    </row>
    <row r="41" spans="1:18" ht="18.75" thickBot="1" x14ac:dyDescent="0.3">
      <c r="A41" s="120">
        <f t="shared" si="9"/>
        <v>34</v>
      </c>
      <c r="B41" s="204" t="s">
        <v>252</v>
      </c>
      <c r="C41" s="209">
        <f>SUM(C31:C37)</f>
        <v>1518209224.62327</v>
      </c>
      <c r="D41" s="210">
        <f>SUM(D31:D37)</f>
        <v>1382153213.6656423</v>
      </c>
      <c r="E41" s="210">
        <f t="shared" ref="E41:O41" si="19">SUM(E31:E37)</f>
        <v>1318965357.1083813</v>
      </c>
      <c r="F41" s="210">
        <f t="shared" si="19"/>
        <v>1247197123.8722591</v>
      </c>
      <c r="G41" s="210">
        <f t="shared" si="19"/>
        <v>1232783565.6221325</v>
      </c>
      <c r="H41" s="210">
        <f t="shared" si="19"/>
        <v>1295466715.3727999</v>
      </c>
      <c r="I41" s="210">
        <f t="shared" si="19"/>
        <v>1509247339.5341465</v>
      </c>
      <c r="J41" s="210">
        <f t="shared" si="19"/>
        <v>1698738423.7439005</v>
      </c>
      <c r="K41" s="210">
        <f t="shared" si="19"/>
        <v>1817173542.4285495</v>
      </c>
      <c r="L41" s="210">
        <f t="shared" si="19"/>
        <v>1540383264.8470714</v>
      </c>
      <c r="M41" s="210">
        <f t="shared" si="19"/>
        <v>1383756021.3939502</v>
      </c>
      <c r="N41" s="210">
        <f t="shared" si="19"/>
        <v>1487355043.5362844</v>
      </c>
      <c r="O41" s="211">
        <f t="shared" si="19"/>
        <v>17431428835.748386</v>
      </c>
      <c r="P41" s="120">
        <f t="shared" si="11"/>
        <v>34</v>
      </c>
      <c r="Q41" s="763"/>
    </row>
    <row r="42" spans="1:18" ht="19.5" thickTop="1" thickBot="1" x14ac:dyDescent="0.3">
      <c r="A42" s="120">
        <f t="shared" si="9"/>
        <v>35</v>
      </c>
      <c r="B42" s="212"/>
      <c r="C42" s="212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213"/>
      <c r="O42" s="361"/>
      <c r="P42" s="120">
        <f t="shared" si="11"/>
        <v>35</v>
      </c>
      <c r="Q42" s="242"/>
      <c r="R42" s="880">
        <f>O41-'Stmnt BD - Forecast KWH'!E26</f>
        <v>0</v>
      </c>
    </row>
    <row r="43" spans="1:18" x14ac:dyDescent="0.25">
      <c r="A43" s="120">
        <f t="shared" si="9"/>
        <v>36</v>
      </c>
      <c r="B43" s="215" t="s">
        <v>262</v>
      </c>
      <c r="C43" s="216">
        <f>C30</f>
        <v>46023</v>
      </c>
      <c r="D43" s="217">
        <f t="shared" ref="D43:O43" si="20">D30</f>
        <v>46054</v>
      </c>
      <c r="E43" s="217">
        <f t="shared" si="20"/>
        <v>46082</v>
      </c>
      <c r="F43" s="217">
        <f t="shared" si="20"/>
        <v>46113</v>
      </c>
      <c r="G43" s="217">
        <f t="shared" si="20"/>
        <v>46143</v>
      </c>
      <c r="H43" s="217">
        <f t="shared" si="20"/>
        <v>46174</v>
      </c>
      <c r="I43" s="217">
        <f t="shared" si="20"/>
        <v>46204</v>
      </c>
      <c r="J43" s="217">
        <f t="shared" si="20"/>
        <v>46235</v>
      </c>
      <c r="K43" s="217">
        <f t="shared" si="20"/>
        <v>46266</v>
      </c>
      <c r="L43" s="217">
        <f t="shared" si="20"/>
        <v>46296</v>
      </c>
      <c r="M43" s="217">
        <f t="shared" si="20"/>
        <v>46327</v>
      </c>
      <c r="N43" s="217">
        <f t="shared" si="20"/>
        <v>46357</v>
      </c>
      <c r="O43" s="185" t="str">
        <f t="shared" si="20"/>
        <v>Total</v>
      </c>
      <c r="P43" s="120">
        <f t="shared" si="11"/>
        <v>36</v>
      </c>
    </row>
    <row r="44" spans="1:18" x14ac:dyDescent="0.25">
      <c r="A44" s="120">
        <f t="shared" si="9"/>
        <v>37</v>
      </c>
      <c r="B44" s="218" t="s">
        <v>260</v>
      </c>
      <c r="C44" s="219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23"/>
      <c r="P44" s="120">
        <f t="shared" si="11"/>
        <v>37</v>
      </c>
    </row>
    <row r="45" spans="1:18" x14ac:dyDescent="0.25">
      <c r="A45" s="120">
        <f t="shared" si="9"/>
        <v>38</v>
      </c>
      <c r="B45" s="125" t="s">
        <v>255</v>
      </c>
      <c r="C45" s="117">
        <f t="shared" ref="C45:N45" si="21">C20*1000</f>
        <v>0</v>
      </c>
      <c r="D45" s="197">
        <f t="shared" si="21"/>
        <v>0</v>
      </c>
      <c r="E45" s="197">
        <f t="shared" si="21"/>
        <v>0</v>
      </c>
      <c r="F45" s="197">
        <f t="shared" si="21"/>
        <v>0</v>
      </c>
      <c r="G45" s="197">
        <f t="shared" si="21"/>
        <v>0</v>
      </c>
      <c r="H45" s="197">
        <f t="shared" si="21"/>
        <v>0</v>
      </c>
      <c r="I45" s="197">
        <f t="shared" si="21"/>
        <v>0</v>
      </c>
      <c r="J45" s="197">
        <f t="shared" si="21"/>
        <v>0</v>
      </c>
      <c r="K45" s="197">
        <f t="shared" si="21"/>
        <v>0</v>
      </c>
      <c r="L45" s="197">
        <f t="shared" si="21"/>
        <v>0</v>
      </c>
      <c r="M45" s="197">
        <f t="shared" si="21"/>
        <v>0</v>
      </c>
      <c r="N45" s="197">
        <f t="shared" si="21"/>
        <v>0</v>
      </c>
      <c r="O45" s="849">
        <f>SUM(C45:N45)</f>
        <v>0</v>
      </c>
      <c r="P45" s="120">
        <f t="shared" si="11"/>
        <v>38</v>
      </c>
    </row>
    <row r="46" spans="1:18" x14ac:dyDescent="0.25">
      <c r="A46" s="120">
        <f t="shared" si="9"/>
        <v>39</v>
      </c>
      <c r="B46" s="125" t="s">
        <v>256</v>
      </c>
      <c r="C46" s="117">
        <f t="shared" ref="C46:N46" si="22">C21*1000</f>
        <v>624623343.96358681</v>
      </c>
      <c r="D46" s="197">
        <f t="shared" si="22"/>
        <v>598275540.00922787</v>
      </c>
      <c r="E46" s="197">
        <f t="shared" si="22"/>
        <v>591888338.11396468</v>
      </c>
      <c r="F46" s="197">
        <f t="shared" si="22"/>
        <v>593322406.94883645</v>
      </c>
      <c r="G46" s="197">
        <f t="shared" si="22"/>
        <v>603056336.49390173</v>
      </c>
      <c r="H46" s="197">
        <f t="shared" si="22"/>
        <v>633872269.14044893</v>
      </c>
      <c r="I46" s="197">
        <f t="shared" si="22"/>
        <v>704820310.9911139</v>
      </c>
      <c r="J46" s="197">
        <f t="shared" si="22"/>
        <v>732706689.19207835</v>
      </c>
      <c r="K46" s="197">
        <f t="shared" si="22"/>
        <v>765160866.00524247</v>
      </c>
      <c r="L46" s="197">
        <f t="shared" si="22"/>
        <v>700464736.3527205</v>
      </c>
      <c r="M46" s="197">
        <f t="shared" si="22"/>
        <v>635921146.28863835</v>
      </c>
      <c r="N46" s="197">
        <f t="shared" si="22"/>
        <v>657229986.12820029</v>
      </c>
      <c r="O46" s="849">
        <f>SUM(C46:N46)</f>
        <v>7841341969.6279602</v>
      </c>
      <c r="P46" s="120">
        <f t="shared" si="11"/>
        <v>39</v>
      </c>
    </row>
    <row r="47" spans="1:18" x14ac:dyDescent="0.25">
      <c r="A47" s="120">
        <f t="shared" si="9"/>
        <v>40</v>
      </c>
      <c r="B47" s="125" t="s">
        <v>257</v>
      </c>
      <c r="C47" s="117">
        <f t="shared" ref="C47:N47" si="23">C22*1000</f>
        <v>94174387.48836574</v>
      </c>
      <c r="D47" s="197">
        <f t="shared" si="23"/>
        <v>82713769.736963153</v>
      </c>
      <c r="E47" s="197">
        <f t="shared" si="23"/>
        <v>90955385.218737334</v>
      </c>
      <c r="F47" s="197">
        <f t="shared" si="23"/>
        <v>93511227.406458244</v>
      </c>
      <c r="G47" s="197">
        <f t="shared" si="23"/>
        <v>90384275.919060886</v>
      </c>
      <c r="H47" s="197">
        <f t="shared" si="23"/>
        <v>89745277.421217561</v>
      </c>
      <c r="I47" s="197">
        <f t="shared" si="23"/>
        <v>101669345.85700449</v>
      </c>
      <c r="J47" s="197">
        <f t="shared" si="23"/>
        <v>101261829.16729401</v>
      </c>
      <c r="K47" s="197">
        <f t="shared" si="23"/>
        <v>101856007.15929084</v>
      </c>
      <c r="L47" s="197">
        <f t="shared" si="23"/>
        <v>96071838.12521328</v>
      </c>
      <c r="M47" s="197">
        <f t="shared" si="23"/>
        <v>92182107.097293362</v>
      </c>
      <c r="N47" s="197">
        <f t="shared" si="23"/>
        <v>106479834.68417113</v>
      </c>
      <c r="O47" s="849">
        <f>SUM(C47:N47)</f>
        <v>1141005285.28107</v>
      </c>
      <c r="P47" s="120">
        <f t="shared" si="11"/>
        <v>40</v>
      </c>
    </row>
    <row r="48" spans="1:18" ht="18.75" thickBot="1" x14ac:dyDescent="0.3">
      <c r="A48" s="120">
        <f t="shared" si="9"/>
        <v>41</v>
      </c>
      <c r="B48" s="120" t="s">
        <v>18</v>
      </c>
      <c r="C48" s="221">
        <f>SUM(C45:C47)</f>
        <v>718797731.45195258</v>
      </c>
      <c r="D48" s="222">
        <f t="shared" ref="D48:O48" si="24">SUM(D45:D47)</f>
        <v>680989309.74619102</v>
      </c>
      <c r="E48" s="222">
        <f t="shared" si="24"/>
        <v>682843723.33270204</v>
      </c>
      <c r="F48" s="222">
        <f t="shared" si="24"/>
        <v>686833634.3552947</v>
      </c>
      <c r="G48" s="222">
        <f t="shared" si="24"/>
        <v>693440612.41296268</v>
      </c>
      <c r="H48" s="222">
        <f t="shared" si="24"/>
        <v>723617546.56166649</v>
      </c>
      <c r="I48" s="222">
        <f t="shared" si="24"/>
        <v>806489656.84811842</v>
      </c>
      <c r="J48" s="222">
        <f t="shared" si="24"/>
        <v>833968518.35937238</v>
      </c>
      <c r="K48" s="222">
        <f t="shared" si="24"/>
        <v>867016873.16453326</v>
      </c>
      <c r="L48" s="222">
        <f t="shared" si="24"/>
        <v>796536574.47793376</v>
      </c>
      <c r="M48" s="222">
        <f t="shared" si="24"/>
        <v>728103253.38593173</v>
      </c>
      <c r="N48" s="222">
        <f t="shared" si="24"/>
        <v>763709820.81237137</v>
      </c>
      <c r="O48" s="223">
        <f t="shared" si="24"/>
        <v>8982347254.9090309</v>
      </c>
      <c r="P48" s="120">
        <f t="shared" si="11"/>
        <v>41</v>
      </c>
    </row>
    <row r="49" spans="1:16" ht="19.5" thickTop="1" thickBot="1" x14ac:dyDescent="0.3">
      <c r="A49" s="121">
        <f>A48+1</f>
        <v>42</v>
      </c>
      <c r="B49" s="126"/>
      <c r="C49" s="212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124"/>
      <c r="P49" s="121">
        <f>P48+1</f>
        <v>42</v>
      </c>
    </row>
  </sheetData>
  <mergeCells count="4">
    <mergeCell ref="B2:O2"/>
    <mergeCell ref="B3:O3"/>
    <mergeCell ref="B27:O27"/>
    <mergeCell ref="B28:O28"/>
  </mergeCells>
  <printOptions horizontalCentered="1"/>
  <pageMargins left="0.25" right="0.25" top="0.5" bottom="0.5" header="0.25" footer="0.25"/>
  <pageSetup scale="50" orientation="landscape" r:id="rId1"/>
  <headerFooter scaleWithDoc="0" alignWithMargins="0">
    <oddFooter>&amp;L&amp;"Times New Roman,Regular"&amp;11&amp;F&amp;C&amp;"Times New Roman,Regular"&amp;11Page 1.2&amp;R&amp;"Times New Roman,Regular"&amp;11&amp;A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29"/>
  <sheetViews>
    <sheetView zoomScale="80" zoomScaleNormal="80" zoomScaleSheetLayoutView="100" workbookViewId="0">
      <selection activeCell="D16" sqref="D16"/>
    </sheetView>
  </sheetViews>
  <sheetFormatPr defaultColWidth="8.5703125" defaultRowHeight="12.75" x14ac:dyDescent="0.2"/>
  <cols>
    <col min="1" max="1" width="5.5703125" style="1" customWidth="1"/>
    <col min="2" max="2" width="52.5703125" style="2" customWidth="1"/>
    <col min="3" max="3" width="18.5703125" style="2" customWidth="1"/>
    <col min="4" max="4" width="21.42578125" style="1" bestFit="1" customWidth="1"/>
    <col min="5" max="5" width="20.5703125" style="1" bestFit="1" customWidth="1"/>
    <col min="6" max="6" width="18.5703125" style="1" customWidth="1"/>
    <col min="7" max="7" width="36.28515625" style="1" customWidth="1"/>
    <col min="8" max="8" width="5.5703125" style="1" customWidth="1"/>
    <col min="9" max="10" width="15.5703125" style="1" customWidth="1"/>
    <col min="11" max="16384" width="8.5703125" style="1"/>
  </cols>
  <sheetData>
    <row r="1" spans="1:8" ht="15.75" x14ac:dyDescent="0.2">
      <c r="B1" s="5"/>
      <c r="C1" s="5"/>
      <c r="D1" s="6"/>
      <c r="E1" s="6"/>
      <c r="F1" s="6"/>
      <c r="G1" s="6"/>
    </row>
    <row r="2" spans="1:8" ht="15.75" x14ac:dyDescent="0.2">
      <c r="B2" s="5" t="s">
        <v>1</v>
      </c>
      <c r="C2" s="5"/>
      <c r="D2" s="6"/>
      <c r="E2" s="6"/>
      <c r="F2" s="6"/>
      <c r="G2" s="6"/>
    </row>
    <row r="3" spans="1:8" ht="15.75" customHeight="1" x14ac:dyDescent="0.2">
      <c r="B3" s="977" t="str">
        <f>'Stmnt BD - Recorded KWH'!A4</f>
        <v>2026 - TRBAA Rate Filing</v>
      </c>
      <c r="C3" s="977"/>
      <c r="D3" s="977"/>
      <c r="E3" s="977"/>
      <c r="F3" s="977"/>
      <c r="G3" s="977"/>
    </row>
    <row r="4" spans="1:8" ht="15.75" x14ac:dyDescent="0.2">
      <c r="B4" s="5" t="s">
        <v>263</v>
      </c>
      <c r="C4" s="5"/>
      <c r="D4" s="6"/>
      <c r="E4" s="6"/>
      <c r="F4" s="6"/>
      <c r="G4" s="6"/>
    </row>
    <row r="5" spans="1:8" ht="16.5" thickBot="1" x14ac:dyDescent="0.25">
      <c r="B5" s="5"/>
      <c r="C5" s="5"/>
      <c r="D5" s="6"/>
      <c r="E5" s="6"/>
      <c r="F5" s="6"/>
      <c r="G5" s="6"/>
    </row>
    <row r="6" spans="1:8" ht="15.75" x14ac:dyDescent="0.25">
      <c r="A6" s="286"/>
      <c r="B6" s="585"/>
      <c r="C6" s="543" t="s">
        <v>3</v>
      </c>
      <c r="D6" s="543" t="s">
        <v>4</v>
      </c>
      <c r="E6" s="543" t="s">
        <v>113</v>
      </c>
      <c r="F6" s="543" t="s">
        <v>114</v>
      </c>
      <c r="G6" s="455"/>
      <c r="H6" s="544"/>
    </row>
    <row r="7" spans="1:8" ht="15.75" x14ac:dyDescent="0.25">
      <c r="A7" s="547" t="s">
        <v>8</v>
      </c>
      <c r="B7" s="75"/>
      <c r="C7" s="75" t="s">
        <v>264</v>
      </c>
      <c r="D7" s="583" t="s">
        <v>228</v>
      </c>
      <c r="E7" s="583" t="s">
        <v>229</v>
      </c>
      <c r="F7" s="75"/>
      <c r="G7" s="583"/>
      <c r="H7" s="548" t="s">
        <v>8</v>
      </c>
    </row>
    <row r="8" spans="1:8" ht="16.5" thickBot="1" x14ac:dyDescent="0.3">
      <c r="A8" s="565" t="s">
        <v>11</v>
      </c>
      <c r="B8" s="153" t="s">
        <v>173</v>
      </c>
      <c r="C8" s="153" t="s">
        <v>265</v>
      </c>
      <c r="D8" s="589" t="s">
        <v>266</v>
      </c>
      <c r="E8" s="589" t="s">
        <v>266</v>
      </c>
      <c r="F8" s="153" t="s">
        <v>18</v>
      </c>
      <c r="G8" s="589" t="s">
        <v>16</v>
      </c>
      <c r="H8" s="566" t="s">
        <v>11</v>
      </c>
    </row>
    <row r="9" spans="1:8" ht="15.75" x14ac:dyDescent="0.25">
      <c r="A9" s="332"/>
      <c r="B9" s="10"/>
      <c r="C9" s="75"/>
      <c r="D9" s="19"/>
      <c r="E9" s="19"/>
      <c r="F9" s="10"/>
      <c r="G9" s="23"/>
      <c r="H9" s="348"/>
    </row>
    <row r="10" spans="1:8" ht="16.5" thickBot="1" x14ac:dyDescent="0.3">
      <c r="A10" s="262">
        <v>1</v>
      </c>
      <c r="B10" s="18" t="s">
        <v>505</v>
      </c>
      <c r="C10" s="42">
        <f>'WP 4 Monthly TRBAA '!O38</f>
        <v>-5881073.1416210616</v>
      </c>
      <c r="D10" s="19"/>
      <c r="E10" s="19"/>
      <c r="F10" s="24"/>
      <c r="G10" s="23" t="s">
        <v>175</v>
      </c>
      <c r="H10" s="263">
        <v>1</v>
      </c>
    </row>
    <row r="11" spans="1:8" ht="16.5" thickTop="1" x14ac:dyDescent="0.25">
      <c r="A11" s="262">
        <f t="shared" ref="A11:A24" si="0">A10+1</f>
        <v>2</v>
      </c>
      <c r="B11" s="18"/>
      <c r="C11" s="18"/>
      <c r="D11" s="19"/>
      <c r="E11" s="19"/>
      <c r="F11" s="24"/>
      <c r="G11" s="23"/>
      <c r="H11" s="263">
        <f t="shared" ref="H11:H22" si="1">H10+1</f>
        <v>2</v>
      </c>
    </row>
    <row r="12" spans="1:8" ht="15.75" x14ac:dyDescent="0.25">
      <c r="A12" s="262">
        <f t="shared" si="0"/>
        <v>3</v>
      </c>
      <c r="B12" s="18" t="s">
        <v>267</v>
      </c>
      <c r="C12" s="814"/>
      <c r="D12" s="44">
        <f>'WP 6 HV LV Alloc Summary'!C26</f>
        <v>-38168829.390000001</v>
      </c>
      <c r="E12" s="44">
        <f>'WP 6 HV LV Alloc Summary'!D26</f>
        <v>0</v>
      </c>
      <c r="F12" s="398">
        <f>SUM(D12:E12)</f>
        <v>-38168829.390000001</v>
      </c>
      <c r="G12" s="739" t="s">
        <v>206</v>
      </c>
      <c r="H12" s="263">
        <f t="shared" si="1"/>
        <v>3</v>
      </c>
    </row>
    <row r="13" spans="1:8" ht="15.75" x14ac:dyDescent="0.25">
      <c r="A13" s="262">
        <f t="shared" si="0"/>
        <v>4</v>
      </c>
      <c r="B13" s="18"/>
      <c r="C13" s="814"/>
      <c r="D13" s="31"/>
      <c r="E13" s="31"/>
      <c r="F13" s="39"/>
      <c r="G13" s="23"/>
      <c r="H13" s="263">
        <f t="shared" si="1"/>
        <v>4</v>
      </c>
    </row>
    <row r="14" spans="1:8" ht="15.75" x14ac:dyDescent="0.25">
      <c r="A14" s="262">
        <f t="shared" si="0"/>
        <v>5</v>
      </c>
      <c r="B14" s="18" t="s">
        <v>268</v>
      </c>
      <c r="C14" s="814"/>
      <c r="D14" s="31">
        <f>'WP 6 HV LV Alloc Summary'!C33</f>
        <v>8289</v>
      </c>
      <c r="E14" s="31">
        <f>'WP 6 HV LV Alloc Summary'!D33</f>
        <v>9711</v>
      </c>
      <c r="F14" s="39">
        <f>SUM(D14:E14)</f>
        <v>18000</v>
      </c>
      <c r="G14" s="23" t="s">
        <v>208</v>
      </c>
      <c r="H14" s="263">
        <f t="shared" si="1"/>
        <v>5</v>
      </c>
    </row>
    <row r="15" spans="1:8" ht="15.75" x14ac:dyDescent="0.25">
      <c r="A15" s="262">
        <f t="shared" si="0"/>
        <v>6</v>
      </c>
      <c r="B15" s="65"/>
      <c r="C15" s="814"/>
      <c r="D15" s="31"/>
      <c r="E15" s="31"/>
      <c r="F15" s="237"/>
      <c r="G15" s="61"/>
      <c r="H15" s="263">
        <f t="shared" si="1"/>
        <v>6</v>
      </c>
    </row>
    <row r="16" spans="1:8" ht="15.75" x14ac:dyDescent="0.25">
      <c r="A16" s="262">
        <f t="shared" si="0"/>
        <v>7</v>
      </c>
      <c r="B16" s="65" t="s">
        <v>269</v>
      </c>
      <c r="C16" s="814"/>
      <c r="D16" s="31">
        <f>'WP 6 HV LV Alloc Summary'!C39</f>
        <v>-176133.47090244028</v>
      </c>
      <c r="E16" s="31">
        <f>'WP 6 HV LV Alloc Summary'!D39</f>
        <v>-206349.63637756029</v>
      </c>
      <c r="F16" s="237">
        <f>SUM(D16:E16)</f>
        <v>-382483.10728000058</v>
      </c>
      <c r="G16" s="61" t="s">
        <v>210</v>
      </c>
      <c r="H16" s="263">
        <f t="shared" si="1"/>
        <v>7</v>
      </c>
    </row>
    <row r="17" spans="1:8" ht="15.75" x14ac:dyDescent="0.25">
      <c r="A17" s="262">
        <f t="shared" si="0"/>
        <v>8</v>
      </c>
      <c r="B17" s="65"/>
      <c r="C17" s="815"/>
      <c r="D17" s="31"/>
      <c r="E17" s="31"/>
      <c r="F17" s="237"/>
      <c r="G17" s="61"/>
      <c r="H17" s="263">
        <f t="shared" si="1"/>
        <v>8</v>
      </c>
    </row>
    <row r="18" spans="1:8" ht="15.75" x14ac:dyDescent="0.25">
      <c r="A18" s="262">
        <f t="shared" si="0"/>
        <v>9</v>
      </c>
      <c r="B18" s="65" t="s">
        <v>270</v>
      </c>
      <c r="C18" s="815"/>
      <c r="D18" s="38">
        <f>'WP 6 HV LV Alloc Summary'!C49</f>
        <v>-2568088.5011375602</v>
      </c>
      <c r="E18" s="38">
        <f>'WP 6 HV LV Alloc Summary'!D49</f>
        <v>-3023372.7615824398</v>
      </c>
      <c r="F18" s="40">
        <f>SUM(D18:E18)</f>
        <v>-5591461.26272</v>
      </c>
      <c r="G18" s="61" t="s">
        <v>211</v>
      </c>
      <c r="H18" s="263">
        <f t="shared" si="1"/>
        <v>9</v>
      </c>
    </row>
    <row r="19" spans="1:8" ht="15.75" x14ac:dyDescent="0.25">
      <c r="A19" s="262">
        <f t="shared" si="0"/>
        <v>10</v>
      </c>
      <c r="B19" s="18"/>
      <c r="C19" s="18"/>
      <c r="D19" s="19"/>
      <c r="E19" s="19"/>
      <c r="F19" s="19"/>
      <c r="G19" s="23"/>
      <c r="H19" s="263">
        <f t="shared" si="1"/>
        <v>10</v>
      </c>
    </row>
    <row r="20" spans="1:8" ht="15.75" x14ac:dyDescent="0.25">
      <c r="A20" s="262">
        <f t="shared" si="0"/>
        <v>11</v>
      </c>
      <c r="B20" s="18" t="s">
        <v>506</v>
      </c>
      <c r="C20" s="18"/>
      <c r="D20" s="14">
        <f>SUM(D12:D18)</f>
        <v>-40904762.362040006</v>
      </c>
      <c r="E20" s="14">
        <f>SUM(E12:E18)</f>
        <v>-3220011.3979600002</v>
      </c>
      <c r="F20" s="14">
        <f>SUM(F12:F18)</f>
        <v>-44124773.760000005</v>
      </c>
      <c r="G20" s="23" t="s">
        <v>271</v>
      </c>
      <c r="H20" s="263">
        <f t="shared" si="1"/>
        <v>11</v>
      </c>
    </row>
    <row r="21" spans="1:8" ht="15.75" x14ac:dyDescent="0.25">
      <c r="A21" s="262">
        <f t="shared" si="0"/>
        <v>12</v>
      </c>
      <c r="B21" s="11"/>
      <c r="C21" s="11"/>
      <c r="D21" s="16"/>
      <c r="E21" s="16"/>
      <c r="F21" s="17"/>
      <c r="G21" s="10"/>
      <c r="H21" s="263">
        <f t="shared" si="1"/>
        <v>12</v>
      </c>
    </row>
    <row r="22" spans="1:8" ht="15.75" x14ac:dyDescent="0.25">
      <c r="A22" s="262">
        <f t="shared" si="0"/>
        <v>13</v>
      </c>
      <c r="B22" s="18" t="s">
        <v>272</v>
      </c>
      <c r="C22" s="18"/>
      <c r="D22" s="25">
        <f>D20/$F20</f>
        <v>0.92702486327807521</v>
      </c>
      <c r="E22" s="25">
        <f>E20/$F20</f>
        <v>7.2975136721924794E-2</v>
      </c>
      <c r="F22" s="30">
        <f>SUM(D22:E22)</f>
        <v>1</v>
      </c>
      <c r="G22" s="23" t="s">
        <v>273</v>
      </c>
      <c r="H22" s="263">
        <f t="shared" si="1"/>
        <v>13</v>
      </c>
    </row>
    <row r="23" spans="1:8" ht="15.75" x14ac:dyDescent="0.25">
      <c r="A23" s="262">
        <f t="shared" si="0"/>
        <v>14</v>
      </c>
      <c r="B23" s="18"/>
      <c r="C23" s="18"/>
      <c r="D23" s="21"/>
      <c r="E23" s="21"/>
      <c r="F23" s="21"/>
      <c r="G23" s="23"/>
      <c r="H23" s="263">
        <f>H22+1</f>
        <v>14</v>
      </c>
    </row>
    <row r="24" spans="1:8" ht="19.5" thickBot="1" x14ac:dyDescent="0.3">
      <c r="A24" s="262">
        <f t="shared" si="0"/>
        <v>15</v>
      </c>
      <c r="B24" s="11" t="s">
        <v>274</v>
      </c>
      <c r="C24" s="11"/>
      <c r="D24" s="232">
        <f>ROUND($C10*D22,0)</f>
        <v>-5451901</v>
      </c>
      <c r="E24" s="232">
        <f>ROUND($C10*E22,0)</f>
        <v>-429172</v>
      </c>
      <c r="F24" s="232">
        <f>SUM(D24:E24)</f>
        <v>-5881073</v>
      </c>
      <c r="G24" s="23" t="s">
        <v>275</v>
      </c>
      <c r="H24" s="263">
        <f>H23+1</f>
        <v>15</v>
      </c>
    </row>
    <row r="25" spans="1:8" ht="17.25" thickTop="1" thickBot="1" x14ac:dyDescent="0.3">
      <c r="A25" s="572"/>
      <c r="B25" s="81"/>
      <c r="C25" s="81"/>
      <c r="D25" s="471"/>
      <c r="E25" s="81"/>
      <c r="F25" s="81"/>
      <c r="G25" s="81"/>
      <c r="H25" s="406"/>
    </row>
    <row r="26" spans="1:8" ht="15.75" x14ac:dyDescent="0.25">
      <c r="A26" s="22"/>
      <c r="B26" s="22"/>
      <c r="C26" s="22"/>
      <c r="D26" s="22"/>
      <c r="E26" s="22"/>
      <c r="F26" s="22"/>
      <c r="G26" s="22"/>
      <c r="H26" s="22"/>
    </row>
    <row r="27" spans="1:8" ht="18.75" x14ac:dyDescent="0.25">
      <c r="A27" s="83">
        <v>1</v>
      </c>
      <c r="B27" s="22" t="s">
        <v>276</v>
      </c>
      <c r="C27" s="22"/>
      <c r="D27" s="22"/>
      <c r="E27" s="22"/>
      <c r="F27" s="22"/>
      <c r="G27" s="22"/>
      <c r="H27" s="22"/>
    </row>
    <row r="28" spans="1:8" ht="18.75" x14ac:dyDescent="0.25">
      <c r="A28" s="83"/>
      <c r="B28" s="22"/>
      <c r="C28" s="22"/>
      <c r="D28" s="22"/>
      <c r="E28" s="22"/>
      <c r="F28" s="22"/>
      <c r="G28" s="22"/>
      <c r="H28" s="22"/>
    </row>
    <row r="29" spans="1:8" ht="18.75" x14ac:dyDescent="0.25">
      <c r="A29" s="83"/>
      <c r="B29" s="22"/>
      <c r="C29" s="22"/>
      <c r="D29" s="22"/>
      <c r="E29" s="22"/>
      <c r="F29" s="22"/>
      <c r="G29" s="22"/>
      <c r="H29" s="22"/>
    </row>
  </sheetData>
  <mergeCells count="1">
    <mergeCell ref="B3:G3"/>
  </mergeCells>
  <phoneticPr fontId="0" type="noConversion"/>
  <printOptions horizontalCentered="1"/>
  <pageMargins left="0.5" right="0.5" top="0.5" bottom="0.5" header="0.25" footer="0.25"/>
  <pageSetup scale="72" orientation="landscape" r:id="rId1"/>
  <headerFooter scaleWithDoc="0" alignWithMargins="0">
    <oddFooter>&amp;L&amp;"Times New Roman,Regular"&amp;11&amp;F&amp;C&amp;"Times New Roman,Regular"&amp;11Page 2.1&amp;R&amp;"Times New Roman,Regular"&amp;11&amp;A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60"/>
  <sheetViews>
    <sheetView zoomScale="80" zoomScaleNormal="80" workbookViewId="0">
      <selection activeCell="L17" sqref="L17"/>
    </sheetView>
  </sheetViews>
  <sheetFormatPr defaultColWidth="8.5703125" defaultRowHeight="12.75" x14ac:dyDescent="0.2"/>
  <cols>
    <col min="1" max="1" width="5.5703125" style="1" customWidth="1"/>
    <col min="2" max="4" width="20.5703125" style="1" customWidth="1"/>
    <col min="5" max="5" width="22.28515625" style="1" bestFit="1" customWidth="1"/>
    <col min="6" max="6" width="40.5703125" style="1" customWidth="1"/>
    <col min="7" max="7" width="5.5703125" style="1" customWidth="1"/>
    <col min="8" max="8" width="8.5703125" style="1" customWidth="1"/>
    <col min="9" max="9" width="12.5703125" style="1" customWidth="1"/>
    <col min="10" max="10" width="8.42578125" style="1" customWidth="1"/>
    <col min="11" max="16384" width="8.5703125" style="1"/>
  </cols>
  <sheetData>
    <row r="2" spans="1:10" s="3" customFormat="1" ht="18" customHeight="1" x14ac:dyDescent="0.25">
      <c r="A2" s="5" t="s">
        <v>0</v>
      </c>
      <c r="B2" s="5"/>
      <c r="C2" s="5"/>
      <c r="D2" s="5"/>
      <c r="E2" s="5"/>
      <c r="F2" s="5"/>
      <c r="G2" s="41"/>
      <c r="H2" s="1"/>
      <c r="I2" s="1"/>
      <c r="J2" s="1"/>
    </row>
    <row r="3" spans="1:10" s="3" customFormat="1" ht="18" customHeight="1" x14ac:dyDescent="0.25">
      <c r="A3" s="5" t="s">
        <v>1</v>
      </c>
      <c r="B3" s="5"/>
      <c r="C3" s="5"/>
      <c r="D3" s="5"/>
      <c r="E3" s="5"/>
      <c r="F3" s="5"/>
      <c r="G3" s="41"/>
      <c r="H3" s="1"/>
      <c r="I3" s="1"/>
      <c r="J3" s="1"/>
    </row>
    <row r="4" spans="1:10" s="3" customFormat="1" ht="18" customHeight="1" x14ac:dyDescent="0.25">
      <c r="A4" s="5" t="str">
        <f>'Stmnt BD - Recorded KWH'!A4</f>
        <v>2026 - TRBAA Rate Filing</v>
      </c>
      <c r="B4" s="5"/>
      <c r="C4" s="5"/>
      <c r="D4" s="5"/>
      <c r="E4" s="5"/>
      <c r="F4" s="5"/>
      <c r="G4" s="41"/>
      <c r="H4" s="1"/>
      <c r="I4" s="1"/>
      <c r="J4" s="1"/>
    </row>
    <row r="5" spans="1:10" ht="15.75" x14ac:dyDescent="0.2">
      <c r="A5" s="5" t="s">
        <v>2</v>
      </c>
      <c r="B5" s="5"/>
      <c r="C5" s="5"/>
      <c r="D5" s="41"/>
      <c r="E5" s="41"/>
      <c r="F5" s="41"/>
      <c r="G5" s="41"/>
    </row>
    <row r="6" spans="1:10" ht="16.5" thickBot="1" x14ac:dyDescent="0.25">
      <c r="A6" s="5"/>
      <c r="B6" s="5"/>
      <c r="C6" s="5"/>
      <c r="D6" s="41"/>
      <c r="E6" s="41"/>
      <c r="F6" s="41"/>
      <c r="G6" s="41"/>
    </row>
    <row r="7" spans="1:10" ht="15.75" x14ac:dyDescent="0.25">
      <c r="A7" s="286"/>
      <c r="B7" s="542"/>
      <c r="C7" s="165" t="s">
        <v>3</v>
      </c>
      <c r="D7" s="165" t="s">
        <v>21</v>
      </c>
      <c r="E7" s="165" t="s">
        <v>5</v>
      </c>
      <c r="F7" s="543"/>
      <c r="G7" s="544"/>
    </row>
    <row r="8" spans="1:10" ht="15.75" x14ac:dyDescent="0.25">
      <c r="A8" s="545"/>
      <c r="B8" s="94"/>
      <c r="C8" s="75" t="s">
        <v>6</v>
      </c>
      <c r="D8" s="75" t="s">
        <v>7</v>
      </c>
      <c r="E8" s="75" t="s">
        <v>6</v>
      </c>
      <c r="F8" s="94"/>
      <c r="G8" s="546"/>
    </row>
    <row r="9" spans="1:10" ht="15.75" x14ac:dyDescent="0.25">
      <c r="A9" s="547" t="s">
        <v>8</v>
      </c>
      <c r="B9" s="75"/>
      <c r="C9" s="158" t="s">
        <v>9</v>
      </c>
      <c r="D9" s="75" t="s">
        <v>10</v>
      </c>
      <c r="E9" s="158" t="s">
        <v>9</v>
      </c>
      <c r="F9" s="75"/>
      <c r="G9" s="548" t="s">
        <v>8</v>
      </c>
    </row>
    <row r="10" spans="1:10" ht="19.5" thickBot="1" x14ac:dyDescent="0.3">
      <c r="A10" s="565" t="s">
        <v>11</v>
      </c>
      <c r="B10" s="153" t="s">
        <v>12</v>
      </c>
      <c r="C10" s="567" t="s">
        <v>13</v>
      </c>
      <c r="D10" s="153" t="s">
        <v>14</v>
      </c>
      <c r="E10" s="567" t="s">
        <v>15</v>
      </c>
      <c r="F10" s="153" t="s">
        <v>16</v>
      </c>
      <c r="G10" s="566" t="s">
        <v>11</v>
      </c>
    </row>
    <row r="11" spans="1:10" ht="15.75" x14ac:dyDescent="0.25">
      <c r="A11" s="262"/>
      <c r="B11" s="764"/>
      <c r="C11" s="188"/>
      <c r="D11" s="37"/>
      <c r="E11" s="188"/>
      <c r="F11" s="74"/>
      <c r="G11" s="263"/>
    </row>
    <row r="12" spans="1:10" ht="15.75" x14ac:dyDescent="0.25">
      <c r="A12" s="262">
        <v>1</v>
      </c>
      <c r="B12" s="477">
        <v>46023</v>
      </c>
      <c r="C12" s="44">
        <f>'WP 1.2 Forecast Sales'!C$39</f>
        <v>1518216793.1788256</v>
      </c>
      <c r="D12" s="177">
        <f>'WP 1.2 Forecast Sales'!C$38</f>
        <v>7568.5555555555557</v>
      </c>
      <c r="E12" s="45">
        <f>C12-D12</f>
        <v>1518209224.62327</v>
      </c>
      <c r="F12" s="240" t="s">
        <v>22</v>
      </c>
      <c r="G12" s="263">
        <v>1</v>
      </c>
    </row>
    <row r="13" spans="1:10" ht="15.75" x14ac:dyDescent="0.25">
      <c r="A13" s="262">
        <f t="shared" ref="A13:A26" si="0">A12+1</f>
        <v>2</v>
      </c>
      <c r="B13" s="477">
        <v>46054</v>
      </c>
      <c r="C13" s="44">
        <f>'WP 1.2 Forecast Sales'!D$39</f>
        <v>1382160782.2211978</v>
      </c>
      <c r="D13" s="177">
        <f>'WP 1.2 Forecast Sales'!D$38</f>
        <v>7568.5555555555557</v>
      </c>
      <c r="E13" s="45">
        <f>C13-D13</f>
        <v>1382153213.6656423</v>
      </c>
      <c r="F13" s="240" t="str">
        <f>$F$12</f>
        <v>Workpaper No. 1; Page 1.2; Lines 30; 29</v>
      </c>
      <c r="G13" s="263">
        <f t="shared" ref="G13:G26" si="1">G12+1</f>
        <v>2</v>
      </c>
    </row>
    <row r="14" spans="1:10" ht="15.75" x14ac:dyDescent="0.25">
      <c r="A14" s="262">
        <f t="shared" si="0"/>
        <v>3</v>
      </c>
      <c r="B14" s="477">
        <v>46082</v>
      </c>
      <c r="C14" s="44">
        <f>'WP 1.2 Forecast Sales'!E$39</f>
        <v>1318972925.6639369</v>
      </c>
      <c r="D14" s="177">
        <f>'WP 1.2 Forecast Sales'!E$38</f>
        <v>7568.5555555555557</v>
      </c>
      <c r="E14" s="45">
        <f>C14-D14</f>
        <v>1318965357.1083813</v>
      </c>
      <c r="F14" s="240" t="str">
        <f t="shared" ref="F14:F23" si="2">$F$12</f>
        <v>Workpaper No. 1; Page 1.2; Lines 30; 29</v>
      </c>
      <c r="G14" s="263">
        <f t="shared" si="1"/>
        <v>3</v>
      </c>
    </row>
    <row r="15" spans="1:10" ht="15.75" x14ac:dyDescent="0.25">
      <c r="A15" s="262">
        <f t="shared" si="0"/>
        <v>4</v>
      </c>
      <c r="B15" s="477">
        <v>46113</v>
      </c>
      <c r="C15" s="44">
        <f>'WP 1.2 Forecast Sales'!F$39</f>
        <v>1247204692.4278147</v>
      </c>
      <c r="D15" s="177">
        <f>'WP 1.2 Forecast Sales'!F$38</f>
        <v>7568.5555555555557</v>
      </c>
      <c r="E15" s="45">
        <f t="shared" ref="E15:E22" si="3">C15-D15</f>
        <v>1247197123.8722591</v>
      </c>
      <c r="F15" s="240" t="str">
        <f t="shared" si="2"/>
        <v>Workpaper No. 1; Page 1.2; Lines 30; 29</v>
      </c>
      <c r="G15" s="263">
        <f t="shared" si="1"/>
        <v>4</v>
      </c>
      <c r="J15" s="4"/>
    </row>
    <row r="16" spans="1:10" ht="15.75" x14ac:dyDescent="0.25">
      <c r="A16" s="262">
        <f t="shared" si="0"/>
        <v>5</v>
      </c>
      <c r="B16" s="477">
        <v>46143</v>
      </c>
      <c r="C16" s="44">
        <f>'WP 1.2 Forecast Sales'!G$39</f>
        <v>1232791134.1776881</v>
      </c>
      <c r="D16" s="177">
        <f>'WP 1.2 Forecast Sales'!G$38</f>
        <v>7568.5555555555557</v>
      </c>
      <c r="E16" s="45">
        <f t="shared" si="3"/>
        <v>1232783565.6221325</v>
      </c>
      <c r="F16" s="240" t="str">
        <f t="shared" si="2"/>
        <v>Workpaper No. 1; Page 1.2; Lines 30; 29</v>
      </c>
      <c r="G16" s="263">
        <f t="shared" si="1"/>
        <v>5</v>
      </c>
      <c r="J16" s="4"/>
    </row>
    <row r="17" spans="1:10" ht="15.75" x14ac:dyDescent="0.25">
      <c r="A17" s="262">
        <f t="shared" si="0"/>
        <v>6</v>
      </c>
      <c r="B17" s="477">
        <v>46174</v>
      </c>
      <c r="C17" s="44">
        <f>'WP 1.2 Forecast Sales'!H$39</f>
        <v>1295474283.9283555</v>
      </c>
      <c r="D17" s="177">
        <f>'WP 1.2 Forecast Sales'!H$38</f>
        <v>7568.5555555555557</v>
      </c>
      <c r="E17" s="45">
        <f t="shared" si="3"/>
        <v>1295466715.3727999</v>
      </c>
      <c r="F17" s="240" t="str">
        <f t="shared" si="2"/>
        <v>Workpaper No. 1; Page 1.2; Lines 30; 29</v>
      </c>
      <c r="G17" s="263">
        <f t="shared" si="1"/>
        <v>6</v>
      </c>
      <c r="J17" s="4"/>
    </row>
    <row r="18" spans="1:10" ht="15.75" x14ac:dyDescent="0.25">
      <c r="A18" s="262">
        <f t="shared" si="0"/>
        <v>7</v>
      </c>
      <c r="B18" s="477">
        <v>46204</v>
      </c>
      <c r="C18" s="44">
        <f>'WP 1.2 Forecast Sales'!I$39</f>
        <v>1509254908.0897021</v>
      </c>
      <c r="D18" s="177">
        <f>'WP 1.2 Forecast Sales'!I$38</f>
        <v>7568.5555555555557</v>
      </c>
      <c r="E18" s="45">
        <f t="shared" si="3"/>
        <v>1509247339.5341465</v>
      </c>
      <c r="F18" s="240" t="str">
        <f t="shared" si="2"/>
        <v>Workpaper No. 1; Page 1.2; Lines 30; 29</v>
      </c>
      <c r="G18" s="263">
        <f t="shared" si="1"/>
        <v>7</v>
      </c>
      <c r="J18" s="4"/>
    </row>
    <row r="19" spans="1:10" ht="15.75" x14ac:dyDescent="0.25">
      <c r="A19" s="262">
        <f t="shared" si="0"/>
        <v>8</v>
      </c>
      <c r="B19" s="477">
        <v>46235</v>
      </c>
      <c r="C19" s="44">
        <f>'WP 1.2 Forecast Sales'!J$39</f>
        <v>1698745992.2994561</v>
      </c>
      <c r="D19" s="177">
        <f>'WP 1.2 Forecast Sales'!J$38</f>
        <v>7568.5555555555557</v>
      </c>
      <c r="E19" s="45">
        <f t="shared" si="3"/>
        <v>1698738423.7439005</v>
      </c>
      <c r="F19" s="240" t="str">
        <f t="shared" si="2"/>
        <v>Workpaper No. 1; Page 1.2; Lines 30; 29</v>
      </c>
      <c r="G19" s="263">
        <f t="shared" si="1"/>
        <v>8</v>
      </c>
      <c r="J19" s="4"/>
    </row>
    <row r="20" spans="1:10" ht="15.75" x14ac:dyDescent="0.25">
      <c r="A20" s="262">
        <f t="shared" si="0"/>
        <v>9</v>
      </c>
      <c r="B20" s="477">
        <v>46266</v>
      </c>
      <c r="C20" s="44">
        <f>'WP 1.2 Forecast Sales'!K$39</f>
        <v>1817181110.9841051</v>
      </c>
      <c r="D20" s="177">
        <f>'WP 1.2 Forecast Sales'!K$38</f>
        <v>7568.5555555555557</v>
      </c>
      <c r="E20" s="45">
        <f t="shared" si="3"/>
        <v>1817173542.4285495</v>
      </c>
      <c r="F20" s="240" t="str">
        <f t="shared" si="2"/>
        <v>Workpaper No. 1; Page 1.2; Lines 30; 29</v>
      </c>
      <c r="G20" s="263">
        <f t="shared" si="1"/>
        <v>9</v>
      </c>
      <c r="J20" s="4"/>
    </row>
    <row r="21" spans="1:10" ht="15.75" x14ac:dyDescent="0.25">
      <c r="A21" s="262">
        <f t="shared" si="0"/>
        <v>10</v>
      </c>
      <c r="B21" s="477">
        <v>46296</v>
      </c>
      <c r="C21" s="44">
        <f>'WP 1.2 Forecast Sales'!L$39</f>
        <v>1540390833.402627</v>
      </c>
      <c r="D21" s="177">
        <f>'WP 1.2 Forecast Sales'!L$38</f>
        <v>7568.5555555555557</v>
      </c>
      <c r="E21" s="45">
        <f t="shared" si="3"/>
        <v>1540383264.8470714</v>
      </c>
      <c r="F21" s="240" t="str">
        <f t="shared" si="2"/>
        <v>Workpaper No. 1; Page 1.2; Lines 30; 29</v>
      </c>
      <c r="G21" s="263">
        <f t="shared" si="1"/>
        <v>10</v>
      </c>
      <c r="J21" s="4"/>
    </row>
    <row r="22" spans="1:10" ht="15.75" x14ac:dyDescent="0.25">
      <c r="A22" s="262">
        <f t="shared" si="0"/>
        <v>11</v>
      </c>
      <c r="B22" s="477">
        <v>46327</v>
      </c>
      <c r="C22" s="44">
        <f>'WP 1.2 Forecast Sales'!M$39</f>
        <v>1383763589.9495058</v>
      </c>
      <c r="D22" s="177">
        <f>'WP 1.2 Forecast Sales'!M$38</f>
        <v>7568.5555555555557</v>
      </c>
      <c r="E22" s="45">
        <f t="shared" si="3"/>
        <v>1383756021.3939502</v>
      </c>
      <c r="F22" s="240" t="str">
        <f t="shared" si="2"/>
        <v>Workpaper No. 1; Page 1.2; Lines 30; 29</v>
      </c>
      <c r="G22" s="263">
        <f t="shared" si="1"/>
        <v>11</v>
      </c>
      <c r="J22" s="4"/>
    </row>
    <row r="23" spans="1:10" ht="15.75" x14ac:dyDescent="0.25">
      <c r="A23" s="262">
        <f t="shared" si="0"/>
        <v>12</v>
      </c>
      <c r="B23" s="477">
        <v>46357</v>
      </c>
      <c r="C23" s="44">
        <f>'WP 1.2 Forecast Sales'!N$39</f>
        <v>1487362612.09184</v>
      </c>
      <c r="D23" s="177">
        <f>'WP 1.2 Forecast Sales'!N$38</f>
        <v>7568.5555555555557</v>
      </c>
      <c r="E23" s="45">
        <f>C23-D23</f>
        <v>1487355043.5362844</v>
      </c>
      <c r="F23" s="240" t="str">
        <f t="shared" si="2"/>
        <v>Workpaper No. 1; Page 1.2; Lines 30; 29</v>
      </c>
      <c r="G23" s="263">
        <f t="shared" si="1"/>
        <v>12</v>
      </c>
      <c r="J23" s="4"/>
    </row>
    <row r="24" spans="1:10" ht="15.75" x14ac:dyDescent="0.25">
      <c r="A24" s="262">
        <f t="shared" si="0"/>
        <v>13</v>
      </c>
      <c r="B24" s="189"/>
      <c r="C24" s="51"/>
      <c r="D24" s="178"/>
      <c r="E24" s="46"/>
      <c r="F24" s="49"/>
      <c r="G24" s="263">
        <f t="shared" si="1"/>
        <v>13</v>
      </c>
      <c r="J24" s="4"/>
    </row>
    <row r="25" spans="1:10" ht="15.75" x14ac:dyDescent="0.25">
      <c r="A25" s="262">
        <f t="shared" si="0"/>
        <v>14</v>
      </c>
      <c r="B25" s="22"/>
      <c r="C25" s="45"/>
      <c r="D25" s="45"/>
      <c r="E25" s="45"/>
      <c r="F25" s="49"/>
      <c r="G25" s="263">
        <f t="shared" si="1"/>
        <v>14</v>
      </c>
    </row>
    <row r="26" spans="1:10" ht="16.5" thickBot="1" x14ac:dyDescent="0.3">
      <c r="A26" s="262">
        <f t="shared" si="0"/>
        <v>15</v>
      </c>
      <c r="B26" s="43" t="s">
        <v>18</v>
      </c>
      <c r="C26" s="47">
        <f>SUM(C12:C23)</f>
        <v>17431519658.415051</v>
      </c>
      <c r="D26" s="47">
        <f>SUM(D12:D23)</f>
        <v>90822.666666666686</v>
      </c>
      <c r="E26" s="47">
        <f>SUM(E12:E23)</f>
        <v>17431428835.748386</v>
      </c>
      <c r="F26" s="49" t="s">
        <v>19</v>
      </c>
      <c r="G26" s="263">
        <f t="shared" si="1"/>
        <v>15</v>
      </c>
      <c r="I26" s="4"/>
    </row>
    <row r="27" spans="1:10" ht="17.25" thickTop="1" thickBot="1" x14ac:dyDescent="0.3">
      <c r="A27" s="300"/>
      <c r="B27" s="80"/>
      <c r="C27" s="549"/>
      <c r="D27" s="550"/>
      <c r="E27" s="81"/>
      <c r="F27" s="57"/>
      <c r="G27" s="301"/>
    </row>
    <row r="28" spans="1:10" ht="15.75" x14ac:dyDescent="0.25">
      <c r="A28" s="22"/>
      <c r="B28" s="22"/>
      <c r="C28" s="22"/>
      <c r="D28" s="22"/>
      <c r="E28" s="22"/>
      <c r="F28" s="22"/>
      <c r="G28" s="22"/>
    </row>
    <row r="29" spans="1:10" ht="18.75" x14ac:dyDescent="0.25">
      <c r="A29" s="413">
        <v>1</v>
      </c>
      <c r="B29" s="22" t="s">
        <v>23</v>
      </c>
      <c r="C29" s="22"/>
      <c r="D29" s="22"/>
      <c r="E29" s="48"/>
      <c r="F29" s="48"/>
      <c r="G29" s="22"/>
    </row>
    <row r="30" spans="1:10" ht="15.75" x14ac:dyDescent="0.25">
      <c r="A30" s="22"/>
      <c r="B30" s="22" t="s">
        <v>24</v>
      </c>
      <c r="C30" s="22"/>
      <c r="D30" s="22"/>
      <c r="E30" s="48"/>
      <c r="F30" s="48"/>
      <c r="G30" s="22"/>
    </row>
    <row r="31" spans="1:10" ht="15.75" x14ac:dyDescent="0.25">
      <c r="A31" s="22"/>
      <c r="B31" s="22"/>
      <c r="C31" s="22"/>
      <c r="D31" s="22"/>
      <c r="E31" s="48"/>
      <c r="F31" s="48"/>
      <c r="G31" s="22"/>
    </row>
    <row r="32" spans="1:10" ht="15.75" x14ac:dyDescent="0.25">
      <c r="A32" s="22"/>
      <c r="B32" s="22"/>
      <c r="C32" s="22"/>
      <c r="D32" s="22"/>
      <c r="E32" s="48"/>
      <c r="F32" s="48"/>
      <c r="G32" s="22"/>
    </row>
    <row r="33" spans="1:7" ht="15.75" x14ac:dyDescent="0.25">
      <c r="A33" s="22"/>
      <c r="B33" s="22"/>
      <c r="C33" s="22"/>
      <c r="D33" s="22"/>
      <c r="E33" s="22"/>
      <c r="F33" s="22"/>
      <c r="G33" s="22"/>
    </row>
    <row r="34" spans="1:7" ht="15.75" x14ac:dyDescent="0.25">
      <c r="A34" s="22"/>
      <c r="B34" s="22"/>
      <c r="C34" s="22"/>
      <c r="D34" s="22"/>
      <c r="E34" s="22"/>
      <c r="F34" s="22"/>
      <c r="G34" s="22"/>
    </row>
    <row r="35" spans="1:7" ht="15.75" x14ac:dyDescent="0.25">
      <c r="A35" s="22"/>
      <c r="B35" s="22"/>
      <c r="C35" s="22"/>
      <c r="D35" s="22"/>
      <c r="E35" s="22"/>
      <c r="F35" s="22"/>
      <c r="G35" s="22"/>
    </row>
    <row r="36" spans="1:7" ht="15.75" x14ac:dyDescent="0.25">
      <c r="A36" s="22"/>
      <c r="B36" s="22"/>
      <c r="C36" s="22"/>
      <c r="D36" s="22"/>
      <c r="E36" s="22"/>
      <c r="F36" s="22"/>
      <c r="G36" s="22"/>
    </row>
    <row r="37" spans="1:7" ht="15.75" x14ac:dyDescent="0.25">
      <c r="A37" s="22"/>
      <c r="B37" s="22"/>
      <c r="C37" s="22"/>
      <c r="D37" s="22"/>
      <c r="E37" s="22"/>
      <c r="F37" s="22"/>
      <c r="G37" s="22"/>
    </row>
    <row r="38" spans="1:7" ht="15.75" x14ac:dyDescent="0.25">
      <c r="A38" s="22"/>
      <c r="B38" s="22"/>
      <c r="C38" s="22"/>
      <c r="D38" s="22"/>
      <c r="E38" s="22"/>
      <c r="F38" s="22"/>
      <c r="G38" s="22"/>
    </row>
    <row r="39" spans="1:7" ht="15.75" x14ac:dyDescent="0.25">
      <c r="A39" s="22"/>
      <c r="B39" s="22"/>
      <c r="C39" s="22"/>
      <c r="D39" s="22"/>
      <c r="E39" s="22"/>
      <c r="F39" s="22"/>
      <c r="G39" s="22"/>
    </row>
    <row r="40" spans="1:7" ht="15.75" x14ac:dyDescent="0.25">
      <c r="A40" s="22"/>
      <c r="B40" s="22"/>
      <c r="C40" s="22"/>
      <c r="D40" s="22"/>
      <c r="E40" s="22"/>
      <c r="F40" s="22"/>
      <c r="G40" s="22"/>
    </row>
    <row r="41" spans="1:7" ht="15.75" x14ac:dyDescent="0.25">
      <c r="A41" s="22"/>
      <c r="B41" s="22"/>
      <c r="C41" s="22"/>
      <c r="D41" s="22"/>
      <c r="E41" s="22"/>
      <c r="F41" s="22"/>
      <c r="G41" s="22"/>
    </row>
    <row r="42" spans="1:7" ht="15.75" x14ac:dyDescent="0.25">
      <c r="A42" s="22"/>
      <c r="B42" s="22"/>
      <c r="C42" s="22"/>
      <c r="D42" s="22"/>
      <c r="E42" s="22"/>
      <c r="F42" s="22"/>
      <c r="G42" s="22"/>
    </row>
    <row r="43" spans="1:7" ht="15.75" x14ac:dyDescent="0.25">
      <c r="A43" s="22"/>
      <c r="B43" s="22"/>
      <c r="C43" s="22"/>
      <c r="D43" s="22"/>
      <c r="E43" s="22"/>
      <c r="F43" s="22"/>
      <c r="G43" s="22"/>
    </row>
    <row r="44" spans="1:7" ht="15.75" x14ac:dyDescent="0.25">
      <c r="A44" s="22"/>
      <c r="B44" s="22"/>
      <c r="C44" s="22"/>
      <c r="D44" s="22"/>
      <c r="E44" s="22"/>
      <c r="F44" s="22"/>
      <c r="G44" s="22"/>
    </row>
    <row r="45" spans="1:7" ht="15.75" x14ac:dyDescent="0.25">
      <c r="A45" s="22"/>
      <c r="B45" s="22"/>
      <c r="C45" s="22"/>
      <c r="D45" s="22"/>
      <c r="E45" s="22"/>
      <c r="F45" s="22"/>
      <c r="G45" s="22"/>
    </row>
    <row r="46" spans="1:7" ht="15.75" x14ac:dyDescent="0.25">
      <c r="A46" s="22"/>
      <c r="B46" s="22"/>
      <c r="C46" s="22"/>
      <c r="D46" s="22"/>
      <c r="E46" s="22"/>
      <c r="F46" s="22"/>
      <c r="G46" s="22"/>
    </row>
    <row r="47" spans="1:7" ht="15.75" x14ac:dyDescent="0.25">
      <c r="A47" s="22"/>
      <c r="B47" s="22"/>
      <c r="C47" s="22"/>
      <c r="D47" s="22"/>
      <c r="E47" s="22"/>
      <c r="F47" s="22"/>
      <c r="G47" s="22"/>
    </row>
    <row r="48" spans="1:7" ht="15.75" x14ac:dyDescent="0.25">
      <c r="A48" s="22"/>
      <c r="B48" s="22"/>
      <c r="C48" s="22"/>
      <c r="D48" s="22"/>
      <c r="E48" s="22"/>
      <c r="F48" s="22"/>
      <c r="G48" s="22"/>
    </row>
    <row r="49" spans="1:7" ht="15.75" x14ac:dyDescent="0.25">
      <c r="A49" s="22"/>
      <c r="B49" s="22"/>
      <c r="C49" s="22"/>
      <c r="D49" s="22"/>
      <c r="E49" s="22"/>
      <c r="F49" s="22"/>
      <c r="G49" s="22"/>
    </row>
    <row r="50" spans="1:7" ht="15.75" x14ac:dyDescent="0.25">
      <c r="A50" s="22"/>
      <c r="B50" s="22"/>
      <c r="C50" s="22"/>
      <c r="D50" s="22"/>
      <c r="E50" s="22"/>
      <c r="F50" s="22"/>
      <c r="G50" s="22"/>
    </row>
    <row r="51" spans="1:7" ht="15.75" x14ac:dyDescent="0.25">
      <c r="A51" s="22"/>
      <c r="B51" s="22"/>
      <c r="C51" s="22"/>
      <c r="D51" s="22"/>
      <c r="E51" s="22"/>
      <c r="F51" s="22"/>
      <c r="G51" s="22"/>
    </row>
    <row r="52" spans="1:7" ht="15.75" x14ac:dyDescent="0.25">
      <c r="A52" s="22"/>
      <c r="B52" s="22"/>
      <c r="C52" s="22"/>
      <c r="D52" s="22"/>
      <c r="E52" s="22"/>
      <c r="F52" s="22"/>
      <c r="G52" s="22"/>
    </row>
    <row r="53" spans="1:7" ht="15.75" x14ac:dyDescent="0.25">
      <c r="A53" s="22"/>
      <c r="B53" s="22"/>
      <c r="C53" s="22"/>
      <c r="D53" s="22"/>
      <c r="E53" s="22"/>
      <c r="F53" s="22"/>
      <c r="G53" s="22"/>
    </row>
    <row r="54" spans="1:7" ht="15.75" x14ac:dyDescent="0.25">
      <c r="A54" s="22"/>
      <c r="B54" s="22"/>
      <c r="C54" s="22"/>
      <c r="D54" s="22"/>
      <c r="E54" s="22"/>
      <c r="F54" s="22"/>
      <c r="G54" s="22"/>
    </row>
    <row r="55" spans="1:7" ht="15.75" x14ac:dyDescent="0.25">
      <c r="A55" s="22"/>
      <c r="B55" s="22"/>
      <c r="C55" s="22"/>
      <c r="D55" s="22"/>
      <c r="E55" s="22"/>
      <c r="F55" s="22"/>
      <c r="G55" s="22"/>
    </row>
    <row r="56" spans="1:7" ht="15.75" x14ac:dyDescent="0.25">
      <c r="A56" s="22"/>
      <c r="B56" s="22"/>
      <c r="C56" s="22"/>
      <c r="D56" s="22"/>
      <c r="E56" s="22"/>
      <c r="F56" s="22"/>
      <c r="G56" s="22"/>
    </row>
    <row r="57" spans="1:7" ht="15.75" x14ac:dyDescent="0.25">
      <c r="A57" s="22"/>
      <c r="B57" s="22"/>
      <c r="C57" s="22"/>
      <c r="D57" s="22"/>
      <c r="E57" s="22"/>
      <c r="F57" s="22"/>
      <c r="G57" s="22"/>
    </row>
    <row r="58" spans="1:7" ht="15.75" x14ac:dyDescent="0.25">
      <c r="A58" s="22"/>
      <c r="B58" s="22"/>
      <c r="C58" s="22"/>
      <c r="D58" s="22"/>
      <c r="E58" s="22"/>
      <c r="F58" s="22"/>
      <c r="G58" s="22"/>
    </row>
    <row r="59" spans="1:7" ht="15.75" x14ac:dyDescent="0.25">
      <c r="A59" s="22"/>
      <c r="B59" s="22"/>
      <c r="C59" s="22"/>
      <c r="D59" s="22"/>
      <c r="E59" s="22"/>
      <c r="F59" s="22"/>
      <c r="G59" s="22"/>
    </row>
    <row r="60" spans="1:7" ht="15.75" x14ac:dyDescent="0.25">
      <c r="A60" s="22"/>
      <c r="B60" s="22"/>
      <c r="C60" s="22"/>
      <c r="D60" s="22"/>
      <c r="E60" s="22"/>
      <c r="F60" s="22"/>
      <c r="G60" s="22"/>
    </row>
  </sheetData>
  <phoneticPr fontId="15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2 of 5&amp;R&amp;"Times New Roman,Regular"&amp;12&amp;A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17E2-3CF5-42BB-A5C6-39DBD5ACCBFA}">
  <sheetPr>
    <pageSetUpPr fitToPage="1"/>
  </sheetPr>
  <dimension ref="A1:G26"/>
  <sheetViews>
    <sheetView zoomScale="80" zoomScaleNormal="80" workbookViewId="0">
      <selection activeCell="C13" sqref="C13"/>
    </sheetView>
  </sheetViews>
  <sheetFormatPr defaultColWidth="8.5703125" defaultRowHeight="15.75" x14ac:dyDescent="0.25"/>
  <cols>
    <col min="1" max="1" width="5.5703125" style="22" customWidth="1"/>
    <col min="2" max="2" width="60.5703125" style="50" customWidth="1"/>
    <col min="3" max="5" width="18.5703125" style="22" customWidth="1"/>
    <col min="6" max="6" width="40.5703125" style="22" customWidth="1"/>
    <col min="7" max="7" width="5.5703125" style="22" customWidth="1"/>
    <col min="8" max="9" width="15.5703125" style="22" customWidth="1"/>
    <col min="10" max="16384" width="8.5703125" style="22"/>
  </cols>
  <sheetData>
    <row r="1" spans="1:7" x14ac:dyDescent="0.25">
      <c r="B1" s="5"/>
      <c r="C1" s="5"/>
      <c r="D1" s="5"/>
      <c r="E1" s="5"/>
      <c r="F1" s="5"/>
    </row>
    <row r="2" spans="1:7" x14ac:dyDescent="0.25">
      <c r="B2" s="5" t="s">
        <v>1</v>
      </c>
      <c r="C2" s="5"/>
      <c r="D2" s="5"/>
      <c r="E2" s="5"/>
      <c r="F2" s="5"/>
    </row>
    <row r="3" spans="1:7" x14ac:dyDescent="0.25">
      <c r="B3" s="5" t="str">
        <f>'Stmnt BK1 - TRBAA'!B4</f>
        <v>2026 - TRBAA Rate Filing</v>
      </c>
      <c r="C3" s="5"/>
      <c r="D3" s="5"/>
      <c r="E3" s="5"/>
      <c r="F3" s="5"/>
    </row>
    <row r="4" spans="1:7" x14ac:dyDescent="0.25">
      <c r="B4" s="5" t="s">
        <v>277</v>
      </c>
      <c r="C4" s="5"/>
      <c r="D4" s="5"/>
      <c r="E4" s="5"/>
      <c r="F4" s="5"/>
    </row>
    <row r="5" spans="1:7" ht="16.5" thickBot="1" x14ac:dyDescent="0.3">
      <c r="B5" s="5"/>
      <c r="C5" s="5"/>
      <c r="D5" s="5"/>
      <c r="E5" s="5"/>
      <c r="F5" s="5"/>
    </row>
    <row r="6" spans="1:7" x14ac:dyDescent="0.25">
      <c r="A6" s="593" t="s">
        <v>8</v>
      </c>
      <c r="B6" s="987" t="s">
        <v>173</v>
      </c>
      <c r="C6" s="594" t="s">
        <v>278</v>
      </c>
      <c r="D6" s="595" t="s">
        <v>279</v>
      </c>
      <c r="E6" s="594" t="s">
        <v>280</v>
      </c>
      <c r="F6" s="596"/>
      <c r="G6" s="555" t="s">
        <v>8</v>
      </c>
    </row>
    <row r="7" spans="1:7" ht="16.5" thickBot="1" x14ac:dyDescent="0.3">
      <c r="A7" s="181" t="s">
        <v>11</v>
      </c>
      <c r="B7" s="992"/>
      <c r="C7" s="589" t="s">
        <v>228</v>
      </c>
      <c r="D7" s="580" t="s">
        <v>229</v>
      </c>
      <c r="E7" s="589" t="s">
        <v>281</v>
      </c>
      <c r="F7" s="589" t="s">
        <v>16</v>
      </c>
      <c r="G7" s="566" t="s">
        <v>11</v>
      </c>
    </row>
    <row r="8" spans="1:7" x14ac:dyDescent="0.25">
      <c r="A8" s="246"/>
      <c r="C8" s="166"/>
      <c r="D8" s="183"/>
      <c r="E8" s="166"/>
      <c r="F8" s="249"/>
      <c r="G8" s="123"/>
    </row>
    <row r="9" spans="1:7" ht="16.5" thickBot="1" x14ac:dyDescent="0.3">
      <c r="A9" s="120">
        <v>1</v>
      </c>
      <c r="B9" s="50" t="s">
        <v>282</v>
      </c>
      <c r="C9" s="17"/>
      <c r="D9" s="813"/>
      <c r="E9" s="232">
        <v>-12796728</v>
      </c>
      <c r="F9" s="33" t="s">
        <v>203</v>
      </c>
      <c r="G9" s="349">
        <v>1</v>
      </c>
    </row>
    <row r="10" spans="1:7" ht="16.5" thickTop="1" x14ac:dyDescent="0.25">
      <c r="A10" s="120">
        <f>A9+1</f>
        <v>2</v>
      </c>
      <c r="C10" s="17"/>
      <c r="E10" s="17"/>
      <c r="F10" s="91"/>
      <c r="G10" s="349">
        <f>G9+1</f>
        <v>2</v>
      </c>
    </row>
    <row r="11" spans="1:7" x14ac:dyDescent="0.25">
      <c r="A11" s="120">
        <f t="shared" ref="A11:A15" si="0">A10+1</f>
        <v>3</v>
      </c>
      <c r="B11" s="50" t="s">
        <v>502</v>
      </c>
      <c r="C11" s="141">
        <f>'Stmnt BK2 - TRBAA'!C13</f>
        <v>599326002.61051977</v>
      </c>
      <c r="D11" s="327">
        <f>'Stmnt BK2 - TRBAA'!D13</f>
        <v>638200046.4431566</v>
      </c>
      <c r="E11" s="141">
        <f>SUM(C11:D11)</f>
        <v>1237526049.0536764</v>
      </c>
      <c r="F11" s="509" t="s">
        <v>283</v>
      </c>
      <c r="G11" s="349">
        <f t="shared" ref="G11:G15" si="1">G10+1</f>
        <v>3</v>
      </c>
    </row>
    <row r="12" spans="1:7" x14ac:dyDescent="0.25">
      <c r="A12" s="120">
        <f t="shared" si="0"/>
        <v>4</v>
      </c>
      <c r="C12" s="19"/>
      <c r="D12" s="28"/>
      <c r="E12" s="19"/>
      <c r="F12" s="33"/>
      <c r="G12" s="349">
        <f t="shared" si="1"/>
        <v>4</v>
      </c>
    </row>
    <row r="13" spans="1:7" x14ac:dyDescent="0.25">
      <c r="A13" s="120">
        <f t="shared" si="0"/>
        <v>5</v>
      </c>
      <c r="B13" s="50" t="s">
        <v>284</v>
      </c>
      <c r="C13" s="738">
        <f>C11/$E11</f>
        <v>0.48429364623784549</v>
      </c>
      <c r="D13" s="950">
        <f>D11/$E11</f>
        <v>0.51570635376215446</v>
      </c>
      <c r="E13" s="738">
        <f>SUM(C13:D13)</f>
        <v>1</v>
      </c>
      <c r="F13" s="33" t="s">
        <v>285</v>
      </c>
      <c r="G13" s="349">
        <f t="shared" si="1"/>
        <v>5</v>
      </c>
    </row>
    <row r="14" spans="1:7" x14ac:dyDescent="0.25">
      <c r="A14" s="120">
        <f t="shared" si="0"/>
        <v>6</v>
      </c>
      <c r="B14" s="508"/>
      <c r="C14" s="31"/>
      <c r="D14" s="54"/>
      <c r="E14" s="19"/>
      <c r="F14" s="33"/>
      <c r="G14" s="349">
        <f t="shared" si="1"/>
        <v>6</v>
      </c>
    </row>
    <row r="15" spans="1:7" ht="16.5" thickBot="1" x14ac:dyDescent="0.3">
      <c r="A15" s="120">
        <f t="shared" si="0"/>
        <v>7</v>
      </c>
      <c r="B15" s="50" t="s">
        <v>286</v>
      </c>
      <c r="C15" s="232">
        <f>ROUND($E$9*C13,0)</f>
        <v>-6197374</v>
      </c>
      <c r="D15" s="520">
        <f>ROUND($E$9*D13,0)</f>
        <v>-6599354</v>
      </c>
      <c r="E15" s="232">
        <f>SUM(C15:D15)</f>
        <v>-12796728</v>
      </c>
      <c r="F15" s="33" t="s">
        <v>287</v>
      </c>
      <c r="G15" s="349">
        <f t="shared" si="1"/>
        <v>7</v>
      </c>
    </row>
    <row r="16" spans="1:7" ht="17.25" thickTop="1" thickBot="1" x14ac:dyDescent="0.3">
      <c r="A16" s="121"/>
      <c r="B16" s="76"/>
      <c r="C16" s="81"/>
      <c r="D16" s="80"/>
      <c r="E16" s="81"/>
      <c r="F16" s="77"/>
      <c r="G16" s="301"/>
    </row>
    <row r="17" spans="1:7" x14ac:dyDescent="0.25">
      <c r="A17" s="37"/>
      <c r="B17" s="92"/>
      <c r="G17" s="37"/>
    </row>
    <row r="18" spans="1:7" ht="18.75" x14ac:dyDescent="0.25">
      <c r="A18" s="83">
        <v>1</v>
      </c>
      <c r="B18" s="50" t="s">
        <v>503</v>
      </c>
    </row>
    <row r="19" spans="1:7" ht="18.75" x14ac:dyDescent="0.25">
      <c r="A19" s="83">
        <v>2</v>
      </c>
      <c r="B19" s="50" t="s">
        <v>504</v>
      </c>
    </row>
    <row r="22" spans="1:7" x14ac:dyDescent="0.25">
      <c r="C22" s="850"/>
      <c r="D22" s="850"/>
      <c r="E22" s="851"/>
    </row>
    <row r="24" spans="1:7" x14ac:dyDescent="0.25">
      <c r="C24" s="143"/>
      <c r="D24" s="143"/>
      <c r="E24" s="143"/>
    </row>
    <row r="26" spans="1:7" x14ac:dyDescent="0.25">
      <c r="C26" s="143"/>
      <c r="D26" s="143"/>
      <c r="E26" s="143"/>
    </row>
  </sheetData>
  <mergeCells count="1">
    <mergeCell ref="B6:B7"/>
  </mergeCells>
  <printOptions horizontalCentered="1"/>
  <pageMargins left="0.5" right="0.5" top="0.5" bottom="0.5" header="0.25" footer="0.25"/>
  <pageSetup scale="76" orientation="landscape" r:id="rId1"/>
  <headerFooter alignWithMargins="0">
    <oddFooter>&amp;L&amp;"Times New Roman,Regular"&amp;12&amp;F&amp;C&amp;"Times New Roman,Regular"&amp;12Page 3.1&amp;R&amp;"Times New Roman,Regular"&amp;12&amp;A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72"/>
  <sheetViews>
    <sheetView zoomScale="80" zoomScaleNormal="80" workbookViewId="0">
      <pane xSplit="2" ySplit="5" topLeftCell="C34" activePane="bottomRight" state="frozen"/>
      <selection pane="topRight"/>
      <selection pane="bottomLeft"/>
      <selection pane="bottomRight" activeCell="H51" sqref="H51"/>
    </sheetView>
  </sheetViews>
  <sheetFormatPr defaultColWidth="9.28515625" defaultRowHeight="12.75" x14ac:dyDescent="0.2"/>
  <cols>
    <col min="1" max="1" width="5.5703125" style="242" customWidth="1"/>
    <col min="2" max="2" width="66.5703125" style="242" customWidth="1"/>
    <col min="3" max="4" width="16.5703125" style="242" customWidth="1"/>
    <col min="5" max="5" width="17.28515625" style="242" customWidth="1"/>
    <col min="6" max="7" width="16.5703125" style="242" customWidth="1"/>
    <col min="8" max="8" width="17.5703125" style="242" customWidth="1"/>
    <col min="9" max="11" width="16.5703125" style="242" customWidth="1"/>
    <col min="12" max="12" width="15.5703125" style="242" bestFit="1" customWidth="1"/>
    <col min="13" max="15" width="16.5703125" style="242" customWidth="1"/>
    <col min="16" max="16" width="37.42578125" style="242" bestFit="1" customWidth="1"/>
    <col min="17" max="17" width="5.5703125" style="242" customWidth="1"/>
    <col min="18" max="18" width="9.28515625" style="242"/>
    <col min="19" max="19" width="2.5703125" style="242" bestFit="1" customWidth="1"/>
    <col min="20" max="16384" width="9.28515625" style="242"/>
  </cols>
  <sheetData>
    <row r="1" spans="1:17" ht="15.75" x14ac:dyDescent="0.25">
      <c r="A1" s="22"/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22"/>
    </row>
    <row r="2" spans="1:17" ht="16.5" thickBot="1" x14ac:dyDescent="0.3">
      <c r="A2" s="22"/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22"/>
    </row>
    <row r="3" spans="1:17" ht="15.75" x14ac:dyDescent="0.25">
      <c r="A3" s="597"/>
      <c r="B3" s="597"/>
      <c r="C3" s="286"/>
      <c r="D3" s="542"/>
      <c r="E3" s="599"/>
      <c r="F3" s="700"/>
      <c r="G3" s="286"/>
      <c r="H3" s="542"/>
      <c r="I3" s="599"/>
      <c r="J3" s="544"/>
      <c r="K3" s="286"/>
      <c r="L3" s="599"/>
      <c r="M3" s="542"/>
      <c r="N3" s="555"/>
      <c r="O3" s="598"/>
      <c r="P3" s="597"/>
      <c r="Q3" s="700"/>
    </row>
    <row r="4" spans="1:17" ht="15.75" x14ac:dyDescent="0.25">
      <c r="A4" s="186" t="s">
        <v>8</v>
      </c>
      <c r="B4" s="353"/>
      <c r="C4" s="547" t="s">
        <v>288</v>
      </c>
      <c r="D4" s="75" t="s">
        <v>289</v>
      </c>
      <c r="E4" s="574" t="s">
        <v>290</v>
      </c>
      <c r="F4" s="701" t="s">
        <v>291</v>
      </c>
      <c r="G4" s="547" t="s">
        <v>292</v>
      </c>
      <c r="H4" s="75" t="s">
        <v>293</v>
      </c>
      <c r="I4" s="574" t="s">
        <v>294</v>
      </c>
      <c r="J4" s="548" t="s">
        <v>57</v>
      </c>
      <c r="K4" s="547" t="s">
        <v>58</v>
      </c>
      <c r="L4" s="574" t="s">
        <v>59</v>
      </c>
      <c r="M4" s="75" t="s">
        <v>295</v>
      </c>
      <c r="N4" s="548" t="s">
        <v>296</v>
      </c>
      <c r="O4" s="90"/>
      <c r="P4" s="186"/>
      <c r="Q4" s="701" t="s">
        <v>8</v>
      </c>
    </row>
    <row r="5" spans="1:17" ht="16.5" thickBot="1" x14ac:dyDescent="0.3">
      <c r="A5" s="181" t="s">
        <v>11</v>
      </c>
      <c r="B5" s="181" t="s">
        <v>70</v>
      </c>
      <c r="C5" s="565">
        <v>2024</v>
      </c>
      <c r="D5" s="153">
        <f>C5</f>
        <v>2024</v>
      </c>
      <c r="E5" s="579">
        <f>C5</f>
        <v>2024</v>
      </c>
      <c r="F5" s="568">
        <f>E5+1</f>
        <v>2025</v>
      </c>
      <c r="G5" s="565">
        <f>$F$5</f>
        <v>2025</v>
      </c>
      <c r="H5" s="153">
        <f>$F$5</f>
        <v>2025</v>
      </c>
      <c r="I5" s="579">
        <f t="shared" ref="I5:N5" si="0">$F$5</f>
        <v>2025</v>
      </c>
      <c r="J5" s="566">
        <f t="shared" si="0"/>
        <v>2025</v>
      </c>
      <c r="K5" s="565">
        <f t="shared" si="0"/>
        <v>2025</v>
      </c>
      <c r="L5" s="579">
        <f t="shared" si="0"/>
        <v>2025</v>
      </c>
      <c r="M5" s="153">
        <f t="shared" si="0"/>
        <v>2025</v>
      </c>
      <c r="N5" s="566">
        <f t="shared" si="0"/>
        <v>2025</v>
      </c>
      <c r="O5" s="600" t="s">
        <v>18</v>
      </c>
      <c r="P5" s="181" t="s">
        <v>16</v>
      </c>
      <c r="Q5" s="568" t="s">
        <v>11</v>
      </c>
    </row>
    <row r="6" spans="1:17" ht="15.75" x14ac:dyDescent="0.25">
      <c r="A6" s="125"/>
      <c r="B6" s="798"/>
      <c r="C6" s="547"/>
      <c r="D6" s="75"/>
      <c r="E6" s="574"/>
      <c r="F6" s="701"/>
      <c r="G6" s="547"/>
      <c r="H6" s="75"/>
      <c r="I6" s="574"/>
      <c r="J6" s="548"/>
      <c r="K6" s="547"/>
      <c r="L6" s="574"/>
      <c r="M6" s="75"/>
      <c r="N6" s="548"/>
      <c r="O6" s="90"/>
      <c r="P6" s="593"/>
      <c r="Q6" s="123"/>
    </row>
    <row r="7" spans="1:17" ht="15.75" x14ac:dyDescent="0.25">
      <c r="A7" s="120">
        <v>1</v>
      </c>
      <c r="B7" s="125" t="s">
        <v>297</v>
      </c>
      <c r="C7" s="265">
        <v>-4388350</v>
      </c>
      <c r="D7" s="19">
        <f t="shared" ref="D7:K7" si="1">C38</f>
        <v>-2484880.103494518</v>
      </c>
      <c r="E7" s="239">
        <f t="shared" si="1"/>
        <v>-1643975.3949620211</v>
      </c>
      <c r="F7" s="702">
        <f t="shared" si="1"/>
        <v>1137526.9363108766</v>
      </c>
      <c r="G7" s="265">
        <f t="shared" si="1"/>
        <v>4781828.5789938858</v>
      </c>
      <c r="H7" s="19">
        <f t="shared" si="1"/>
        <v>5629258.3807008546</v>
      </c>
      <c r="I7" s="239">
        <f t="shared" si="1"/>
        <v>6049812.9696936924</v>
      </c>
      <c r="J7" s="277">
        <f t="shared" si="1"/>
        <v>5834980.7263686117</v>
      </c>
      <c r="K7" s="280">
        <f t="shared" si="1"/>
        <v>4330434.7395055685</v>
      </c>
      <c r="L7" s="239">
        <f>K38</f>
        <v>3608315.7775760209</v>
      </c>
      <c r="M7" s="19">
        <f>L38</f>
        <v>2785387.1567463023</v>
      </c>
      <c r="N7" s="277">
        <f>M38</f>
        <v>781613.61063604383</v>
      </c>
      <c r="O7" s="28">
        <f>C7</f>
        <v>-4388350</v>
      </c>
      <c r="P7" s="875" t="s">
        <v>298</v>
      </c>
      <c r="Q7" s="349">
        <v>1</v>
      </c>
    </row>
    <row r="8" spans="1:17" ht="15.75" x14ac:dyDescent="0.25">
      <c r="A8" s="120">
        <f>A7+1</f>
        <v>2</v>
      </c>
      <c r="B8" s="125"/>
      <c r="C8" s="267"/>
      <c r="D8" s="79"/>
      <c r="E8" s="251"/>
      <c r="F8" s="703"/>
      <c r="G8" s="267"/>
      <c r="H8" s="79"/>
      <c r="I8" s="251"/>
      <c r="J8" s="287"/>
      <c r="K8" s="267"/>
      <c r="L8" s="251"/>
      <c r="M8" s="79"/>
      <c r="N8" s="287"/>
      <c r="O8" s="862"/>
      <c r="P8" s="876"/>
      <c r="Q8" s="349">
        <f>Q7+1</f>
        <v>2</v>
      </c>
    </row>
    <row r="9" spans="1:17" ht="15.75" x14ac:dyDescent="0.25">
      <c r="A9" s="120">
        <f t="shared" ref="A9:A44" si="2">A8+1</f>
        <v>3</v>
      </c>
      <c r="B9" s="125" t="s">
        <v>299</v>
      </c>
      <c r="C9" s="267"/>
      <c r="D9" s="79"/>
      <c r="E9" s="251"/>
      <c r="F9" s="703"/>
      <c r="G9" s="267"/>
      <c r="H9" s="79"/>
      <c r="I9" s="251"/>
      <c r="J9" s="287"/>
      <c r="K9" s="267"/>
      <c r="L9" s="251"/>
      <c r="M9" s="79"/>
      <c r="N9" s="287"/>
      <c r="O9" s="862"/>
      <c r="P9" s="876"/>
      <c r="Q9" s="349">
        <f t="shared" ref="Q9:Q37" si="3">Q8+1</f>
        <v>3</v>
      </c>
    </row>
    <row r="10" spans="1:17" ht="15.75" x14ac:dyDescent="0.25">
      <c r="A10" s="120">
        <f t="shared" si="2"/>
        <v>4</v>
      </c>
      <c r="B10" s="125" t="s">
        <v>300</v>
      </c>
      <c r="C10" s="267">
        <f>'WP 1.1 Recorded Sales'!C41</f>
        <v>1584704501</v>
      </c>
      <c r="D10" s="79">
        <f>'WP 1.1 Recorded Sales'!D41</f>
        <v>1222763064</v>
      </c>
      <c r="E10" s="251">
        <f>'WP 1.1 Recorded Sales'!E41</f>
        <v>1408558671</v>
      </c>
      <c r="F10" s="287">
        <f>'WP 1.1 Recorded Sales'!F41</f>
        <v>1604737276</v>
      </c>
      <c r="G10" s="267">
        <f>'WP 1.1 Recorded Sales'!G41</f>
        <v>1227773745</v>
      </c>
      <c r="H10" s="79">
        <f>'WP 1.1 Recorded Sales'!H41</f>
        <v>1314770662</v>
      </c>
      <c r="I10" s="79">
        <f>'WP 1.1 Recorded Sales'!I41</f>
        <v>1204320725</v>
      </c>
      <c r="J10" s="287">
        <f>'WP 1.1 Recorded Sales'!J41</f>
        <v>1198102431</v>
      </c>
      <c r="K10" s="267">
        <f>'WP 1.1 Recorded Sales'!K41</f>
        <v>1310899910</v>
      </c>
      <c r="L10" s="79">
        <f>'WP 1.1 Recorded Sales'!L41</f>
        <v>1454664439</v>
      </c>
      <c r="M10" s="79">
        <f>'WP 1.1 Recorded Sales'!M41</f>
        <v>1469852984</v>
      </c>
      <c r="N10" s="287">
        <f>'WP 1.1 Recorded Sales'!N41</f>
        <v>1647514504</v>
      </c>
      <c r="O10" s="54">
        <f>SUM(C10:N10)</f>
        <v>16648662912</v>
      </c>
      <c r="P10" s="875" t="s">
        <v>301</v>
      </c>
      <c r="Q10" s="349">
        <f t="shared" si="3"/>
        <v>4</v>
      </c>
    </row>
    <row r="11" spans="1:17" ht="32.85" customHeight="1" x14ac:dyDescent="0.25">
      <c r="A11" s="120">
        <f t="shared" si="2"/>
        <v>5</v>
      </c>
      <c r="B11" s="125" t="s">
        <v>302</v>
      </c>
      <c r="C11" s="270">
        <f>C48</f>
        <v>-2.8900000000000002E-3</v>
      </c>
      <c r="D11" s="102">
        <f>C11</f>
        <v>-2.8900000000000002E-3</v>
      </c>
      <c r="E11" s="307">
        <f>D11</f>
        <v>-2.8900000000000002E-3</v>
      </c>
      <c r="F11" s="954">
        <f>C51</f>
        <v>-2.6700000000000001E-3</v>
      </c>
      <c r="G11" s="270">
        <f>C49</f>
        <v>-2.4499999999999999E-3</v>
      </c>
      <c r="H11" s="102">
        <f>C49</f>
        <v>-2.4499999999999999E-3</v>
      </c>
      <c r="I11" s="307">
        <f t="shared" ref="I11:N11" si="4">H11</f>
        <v>-2.4499999999999999E-3</v>
      </c>
      <c r="J11" s="271">
        <f t="shared" si="4"/>
        <v>-2.4499999999999999E-3</v>
      </c>
      <c r="K11" s="270">
        <f t="shared" si="4"/>
        <v>-2.4499999999999999E-3</v>
      </c>
      <c r="L11" s="307">
        <f t="shared" si="4"/>
        <v>-2.4499999999999999E-3</v>
      </c>
      <c r="M11" s="102">
        <f t="shared" si="4"/>
        <v>-2.4499999999999999E-3</v>
      </c>
      <c r="N11" s="271">
        <f t="shared" si="4"/>
        <v>-2.4499999999999999E-3</v>
      </c>
      <c r="O11" s="863"/>
      <c r="P11" s="955" t="s">
        <v>497</v>
      </c>
      <c r="Q11" s="349">
        <f t="shared" si="3"/>
        <v>5</v>
      </c>
    </row>
    <row r="12" spans="1:17" ht="15.75" x14ac:dyDescent="0.25">
      <c r="A12" s="120">
        <f t="shared" si="2"/>
        <v>6</v>
      </c>
      <c r="B12" s="125" t="s">
        <v>303</v>
      </c>
      <c r="C12" s="272">
        <f>C10*C11</f>
        <v>-4579796.00789</v>
      </c>
      <c r="D12" s="21">
        <f t="shared" ref="D12:M12" si="5">D10*D11</f>
        <v>-3533785.25496</v>
      </c>
      <c r="E12" s="134">
        <f t="shared" si="5"/>
        <v>-4070734.5591900004</v>
      </c>
      <c r="F12" s="704">
        <f t="shared" si="5"/>
        <v>-4284648.5269200001</v>
      </c>
      <c r="G12" s="272">
        <f t="shared" si="5"/>
        <v>-3008045.6752499999</v>
      </c>
      <c r="H12" s="21">
        <f t="shared" si="5"/>
        <v>-3221188.1218999997</v>
      </c>
      <c r="I12" s="134">
        <f t="shared" si="5"/>
        <v>-2950585.7762500001</v>
      </c>
      <c r="J12" s="288">
        <f t="shared" si="5"/>
        <v>-2935350.9559499999</v>
      </c>
      <c r="K12" s="688">
        <f t="shared" si="5"/>
        <v>-3211704.7794999997</v>
      </c>
      <c r="L12" s="134">
        <f t="shared" si="5"/>
        <v>-3563927.87555</v>
      </c>
      <c r="M12" s="21">
        <f t="shared" si="5"/>
        <v>-3601139.8108000001</v>
      </c>
      <c r="N12" s="288">
        <f>(N10*N11)</f>
        <v>-4036410.5348</v>
      </c>
      <c r="O12" s="864">
        <f>SUM(C12:N12)</f>
        <v>-42997317.878959998</v>
      </c>
      <c r="P12" s="875" t="s">
        <v>304</v>
      </c>
      <c r="Q12" s="349">
        <f t="shared" si="3"/>
        <v>6</v>
      </c>
    </row>
    <row r="13" spans="1:17" ht="15.75" x14ac:dyDescent="0.25">
      <c r="A13" s="120">
        <f t="shared" si="2"/>
        <v>7</v>
      </c>
      <c r="B13" s="125" t="s">
        <v>305</v>
      </c>
      <c r="C13" s="602">
        <f>(+C12/(1+C44)*C$44)</f>
        <v>-54328.240546953268</v>
      </c>
      <c r="D13" s="601">
        <f t="shared" ref="D13:M13" si="6">(+D12/(1+D44)*D$44)</f>
        <v>-41919.844255507436</v>
      </c>
      <c r="E13" s="878">
        <f t="shared" si="6"/>
        <v>-48289.453493881905</v>
      </c>
      <c r="F13" s="603">
        <f t="shared" si="6"/>
        <v>-50827.027105275767</v>
      </c>
      <c r="G13" s="602">
        <f t="shared" si="6"/>
        <v>-37479.631770579836</v>
      </c>
      <c r="H13" s="601">
        <f t="shared" si="6"/>
        <v>-40135.342912485459</v>
      </c>
      <c r="I13" s="601">
        <f t="shared" si="6"/>
        <v>-36763.693221569702</v>
      </c>
      <c r="J13" s="603">
        <f t="shared" si="6"/>
        <v>-36573.870487283093</v>
      </c>
      <c r="K13" s="602">
        <f t="shared" si="6"/>
        <v>-40017.182412453563</v>
      </c>
      <c r="L13" s="601">
        <f t="shared" si="6"/>
        <v>-44405.809902277309</v>
      </c>
      <c r="M13" s="601">
        <f t="shared" si="6"/>
        <v>-44869.462978464311</v>
      </c>
      <c r="N13" s="689">
        <f>(+N12/(1+N44)*N$44)</f>
        <v>-50292.846868630091</v>
      </c>
      <c r="O13" s="331">
        <f>SUM(C13:N13)</f>
        <v>-525902.40595536178</v>
      </c>
      <c r="P13" s="875" t="s">
        <v>306</v>
      </c>
      <c r="Q13" s="349">
        <f t="shared" si="3"/>
        <v>7</v>
      </c>
    </row>
    <row r="14" spans="1:17" ht="15.75" x14ac:dyDescent="0.25">
      <c r="A14" s="120">
        <f t="shared" si="2"/>
        <v>8</v>
      </c>
      <c r="B14" s="125" t="s">
        <v>307</v>
      </c>
      <c r="C14" s="274">
        <f t="shared" ref="C14:N14" si="7">C12-C13</f>
        <v>-4525467.7673430471</v>
      </c>
      <c r="D14" s="97">
        <f t="shared" si="7"/>
        <v>-3491865.4107044926</v>
      </c>
      <c r="E14" s="253">
        <f t="shared" si="7"/>
        <v>-4022445.1056961184</v>
      </c>
      <c r="F14" s="705">
        <f t="shared" si="7"/>
        <v>-4233821.4998147245</v>
      </c>
      <c r="G14" s="274">
        <f t="shared" si="7"/>
        <v>-2970566.0434794202</v>
      </c>
      <c r="H14" s="97">
        <f t="shared" si="7"/>
        <v>-3181052.7789875143</v>
      </c>
      <c r="I14" s="253">
        <f t="shared" si="7"/>
        <v>-2913822.0830284306</v>
      </c>
      <c r="J14" s="275">
        <f t="shared" si="7"/>
        <v>-2898777.0854627169</v>
      </c>
      <c r="K14" s="274">
        <f t="shared" si="7"/>
        <v>-3171687.5970875463</v>
      </c>
      <c r="L14" s="253">
        <f t="shared" si="7"/>
        <v>-3519522.0656477227</v>
      </c>
      <c r="M14" s="97">
        <f t="shared" si="7"/>
        <v>-3556270.347821536</v>
      </c>
      <c r="N14" s="275">
        <f t="shared" si="7"/>
        <v>-3986117.68793137</v>
      </c>
      <c r="O14" s="865">
        <f>SUM(C14:N14)</f>
        <v>-42471415.473004639</v>
      </c>
      <c r="P14" s="875" t="s">
        <v>308</v>
      </c>
      <c r="Q14" s="349">
        <f t="shared" si="3"/>
        <v>8</v>
      </c>
    </row>
    <row r="15" spans="1:17" ht="15.75" x14ac:dyDescent="0.25">
      <c r="A15" s="120">
        <f t="shared" si="2"/>
        <v>9</v>
      </c>
      <c r="B15" s="125"/>
      <c r="C15" s="267"/>
      <c r="D15" s="79"/>
      <c r="E15" s="251"/>
      <c r="F15" s="703"/>
      <c r="G15" s="267"/>
      <c r="H15" s="79"/>
      <c r="I15" s="251"/>
      <c r="J15" s="287"/>
      <c r="K15" s="267"/>
      <c r="L15" s="251"/>
      <c r="M15" s="79"/>
      <c r="N15" s="344"/>
      <c r="O15" s="862"/>
      <c r="P15" s="876"/>
      <c r="Q15" s="349">
        <f t="shared" si="3"/>
        <v>9</v>
      </c>
    </row>
    <row r="16" spans="1:17" ht="15.75" x14ac:dyDescent="0.25">
      <c r="A16" s="120">
        <f t="shared" si="2"/>
        <v>10</v>
      </c>
      <c r="B16" s="125" t="s">
        <v>309</v>
      </c>
      <c r="C16" s="267"/>
      <c r="D16" s="79"/>
      <c r="E16" s="251"/>
      <c r="F16" s="703"/>
      <c r="G16" s="267"/>
      <c r="H16" s="79"/>
      <c r="I16" s="251"/>
      <c r="J16" s="287"/>
      <c r="K16" s="267"/>
      <c r="L16" s="251"/>
      <c r="M16" s="79"/>
      <c r="N16" s="287"/>
      <c r="O16" s="862"/>
      <c r="P16" s="876"/>
      <c r="Q16" s="349">
        <f t="shared" si="3"/>
        <v>10</v>
      </c>
    </row>
    <row r="17" spans="1:17" ht="15.75" x14ac:dyDescent="0.25">
      <c r="A17" s="120">
        <f t="shared" si="2"/>
        <v>11</v>
      </c>
      <c r="B17" s="125" t="s">
        <v>310</v>
      </c>
      <c r="C17" s="268">
        <f>'WP 5 CAISO Charges'!C10</f>
        <v>-2561196.5</v>
      </c>
      <c r="D17" s="31">
        <f>'WP 5 CAISO Charges'!D10</f>
        <v>-2637922.4</v>
      </c>
      <c r="E17" s="238">
        <f>'WP 5 CAISO Charges'!E10</f>
        <v>-1210483.97</v>
      </c>
      <c r="F17" s="118">
        <f>'WP 5 CAISO Charges'!F10</f>
        <v>-596143.61</v>
      </c>
      <c r="G17" s="268">
        <f>'WP 5 CAISO Charges'!G10</f>
        <v>-2707756.0199999996</v>
      </c>
      <c r="H17" s="31">
        <f>'WP 5 CAISO Charges'!H10</f>
        <v>-2549781.0499999998</v>
      </c>
      <c r="I17" s="238">
        <f>'WP 5 CAISO Charges'!I10</f>
        <v>-2469522.23</v>
      </c>
      <c r="J17" s="269">
        <f>'WP 5 CAISO Charges'!J10</f>
        <v>-4030191.92</v>
      </c>
      <c r="K17" s="268">
        <f>'WP 5 CAISO Charges'!K10</f>
        <v>-3500894.65</v>
      </c>
      <c r="L17" s="238">
        <f>'WP 5 CAISO Charges'!L10</f>
        <v>-3883492.1800000006</v>
      </c>
      <c r="M17" s="31">
        <f>'WP 5 CAISO Charges'!M10</f>
        <v>-5527772.5</v>
      </c>
      <c r="N17" s="269">
        <f>'WP 5 CAISO Charges'!N10</f>
        <v>-6493672.3600000003</v>
      </c>
      <c r="O17" s="54">
        <f>SUM(C17:N17)</f>
        <v>-38168829.390000001</v>
      </c>
      <c r="P17" s="875" t="s">
        <v>311</v>
      </c>
      <c r="Q17" s="349">
        <f t="shared" si="3"/>
        <v>11</v>
      </c>
    </row>
    <row r="18" spans="1:17" ht="15.75" x14ac:dyDescent="0.25">
      <c r="A18" s="120">
        <f t="shared" si="2"/>
        <v>12</v>
      </c>
      <c r="B18" s="125" t="s">
        <v>312</v>
      </c>
      <c r="C18" s="268">
        <f>'WP 5 CAISO Charges'!C13</f>
        <v>1500</v>
      </c>
      <c r="D18" s="31">
        <f>'WP 5 CAISO Charges'!D13</f>
        <v>1500</v>
      </c>
      <c r="E18" s="238">
        <f>'WP 5 CAISO Charges'!E13</f>
        <v>1500</v>
      </c>
      <c r="F18" s="118">
        <f>'WP 5 CAISO Charges'!F13</f>
        <v>1500</v>
      </c>
      <c r="G18" s="268">
        <f>'WP 5 CAISO Charges'!G13</f>
        <v>1500</v>
      </c>
      <c r="H18" s="31">
        <f>'WP 5 CAISO Charges'!H13</f>
        <v>1500</v>
      </c>
      <c r="I18" s="238">
        <f>'WP 5 CAISO Charges'!I13</f>
        <v>1500</v>
      </c>
      <c r="J18" s="269">
        <f>'WP 5 CAISO Charges'!J13</f>
        <v>1500</v>
      </c>
      <c r="K18" s="268">
        <f>'WP 5 CAISO Charges'!K13</f>
        <v>1500</v>
      </c>
      <c r="L18" s="238">
        <f>'WP 5 CAISO Charges'!L13</f>
        <v>1500</v>
      </c>
      <c r="M18" s="31">
        <f>'WP 5 CAISO Charges'!M13</f>
        <v>1500</v>
      </c>
      <c r="N18" s="269">
        <f>'WP 5 CAISO Charges'!N13</f>
        <v>1500</v>
      </c>
      <c r="O18" s="54">
        <f>SUM(C18:N18)</f>
        <v>18000</v>
      </c>
      <c r="P18" s="875" t="s">
        <v>313</v>
      </c>
      <c r="Q18" s="349">
        <f t="shared" si="3"/>
        <v>12</v>
      </c>
    </row>
    <row r="19" spans="1:17" ht="15.75" x14ac:dyDescent="0.25">
      <c r="A19" s="120">
        <f>A18+1</f>
        <v>13</v>
      </c>
      <c r="B19" s="125" t="s">
        <v>314</v>
      </c>
      <c r="C19" s="116">
        <f>'WP 5 CAISO Charges'!C16</f>
        <v>-37691.936400000006</v>
      </c>
      <c r="D19" s="31">
        <f>'WP 5 CAISO Charges'!D16</f>
        <v>1547.0199999999745</v>
      </c>
      <c r="E19" s="238">
        <f>'WP 5 CAISO Charges'!E16</f>
        <v>-39959.269999999997</v>
      </c>
      <c r="F19" s="118">
        <f>'WP 5 CAISO Charges'!F16</f>
        <v>-20206.699999999993</v>
      </c>
      <c r="G19" s="268">
        <f>'WP 5 CAISO Charges'!G16</f>
        <v>-33290.790000000095</v>
      </c>
      <c r="H19" s="238">
        <f>'WP 5 CAISO Charges'!H16</f>
        <v>-8321.7699999999622</v>
      </c>
      <c r="I19" s="54">
        <f>'WP 5 CAISO Charges'!I16</f>
        <v>11176.389999999938</v>
      </c>
      <c r="J19" s="269">
        <f>'WP 5 CAISO Charges'!J16</f>
        <v>13199.319999999963</v>
      </c>
      <c r="K19" s="268">
        <f>'WP 5 CAISO Charges'!K16</f>
        <v>-9473.9899999999834</v>
      </c>
      <c r="L19" s="54">
        <f>'WP 5 CAISO Charges'!L16</f>
        <v>-98229.600730000078</v>
      </c>
      <c r="M19" s="31">
        <f>'WP 5 CAISO Charges'!M16</f>
        <v>-77236.260000000024</v>
      </c>
      <c r="N19" s="118">
        <f>'WP 5 CAISO Charges'!N16</f>
        <v>-83995.520150000259</v>
      </c>
      <c r="O19" s="54">
        <f>SUM(C19:N19)</f>
        <v>-382483.10728000058</v>
      </c>
      <c r="P19" s="875" t="s">
        <v>315</v>
      </c>
      <c r="Q19" s="349">
        <f>Q18+1</f>
        <v>13</v>
      </c>
    </row>
    <row r="20" spans="1:17" ht="15.75" x14ac:dyDescent="0.25">
      <c r="A20" s="120">
        <f t="shared" ref="A20:A21" si="8">A19+1</f>
        <v>14</v>
      </c>
      <c r="B20" s="125" t="s">
        <v>316</v>
      </c>
      <c r="C20" s="329">
        <f>'WP 5 CAISO Charges'!C19</f>
        <v>45.436400000000006</v>
      </c>
      <c r="D20" s="38">
        <f>'WP 5 CAISO Charges'!D19</f>
        <v>-1684.73</v>
      </c>
      <c r="E20" s="252">
        <f>'WP 5 CAISO Charges'!E19</f>
        <v>9817.14</v>
      </c>
      <c r="F20" s="330">
        <f>'WP 5 CAISO Charges'!F19</f>
        <v>5272.84</v>
      </c>
      <c r="G20" s="273">
        <f>'WP 5 CAISO Charges'!G19</f>
        <v>584235.94000000006</v>
      </c>
      <c r="H20" s="252">
        <f>'WP 5 CAISO Charges'!H19</f>
        <v>-243469.66000000003</v>
      </c>
      <c r="I20" s="331">
        <f>'WP 5 CAISO Charges'!I19</f>
        <v>-708536.49</v>
      </c>
      <c r="J20" s="276">
        <f>'WP 5 CAISO Charges'!J19</f>
        <v>-420256.04</v>
      </c>
      <c r="K20" s="273">
        <f>'WP 5 CAISO Charges'!K19</f>
        <v>-409471.99</v>
      </c>
      <c r="L20" s="331">
        <f>'WP 5 CAISO Charges'!L19</f>
        <v>-382624.48926999996</v>
      </c>
      <c r="M20" s="38">
        <f>'WP 5 CAISO Charges'!M19</f>
        <v>32087.87</v>
      </c>
      <c r="N20" s="330">
        <f>'WP 5 CAISO Charges'!N19</f>
        <v>-4056877.0898500001</v>
      </c>
      <c r="O20" s="331">
        <f>SUM(C20:N20)</f>
        <v>-5591461.26272</v>
      </c>
      <c r="P20" s="875" t="s">
        <v>317</v>
      </c>
      <c r="Q20" s="349">
        <f t="shared" ref="Q20:Q22" si="9">Q19+1</f>
        <v>14</v>
      </c>
    </row>
    <row r="21" spans="1:17" ht="15.75" x14ac:dyDescent="0.25">
      <c r="A21" s="120">
        <f t="shared" si="8"/>
        <v>15</v>
      </c>
      <c r="B21" s="149" t="s">
        <v>318</v>
      </c>
      <c r="C21" s="265">
        <f t="shared" ref="C21:O21" si="10">SUM(C17:C20)</f>
        <v>-2597343</v>
      </c>
      <c r="D21" s="19">
        <f t="shared" si="10"/>
        <v>-2636560.11</v>
      </c>
      <c r="E21" s="239">
        <f t="shared" si="10"/>
        <v>-1239126.1000000001</v>
      </c>
      <c r="F21" s="702">
        <f t="shared" si="10"/>
        <v>-609577.47</v>
      </c>
      <c r="G21" s="265">
        <f t="shared" si="10"/>
        <v>-2155310.8699999996</v>
      </c>
      <c r="H21" s="19">
        <f t="shared" si="10"/>
        <v>-2800072.48</v>
      </c>
      <c r="I21" s="239">
        <f t="shared" si="10"/>
        <v>-3165382.33</v>
      </c>
      <c r="J21" s="277">
        <f t="shared" si="10"/>
        <v>-4435748.6399999997</v>
      </c>
      <c r="K21" s="265">
        <f t="shared" si="10"/>
        <v>-3918340.63</v>
      </c>
      <c r="L21" s="239">
        <f t="shared" si="10"/>
        <v>-4362846.2700000005</v>
      </c>
      <c r="M21" s="19">
        <f t="shared" si="10"/>
        <v>-5571420.8899999997</v>
      </c>
      <c r="N21" s="277">
        <f t="shared" si="10"/>
        <v>-10633044.970000001</v>
      </c>
      <c r="O21" s="28">
        <f t="shared" si="10"/>
        <v>-44124773.760000005</v>
      </c>
      <c r="P21" s="875" t="s">
        <v>319</v>
      </c>
      <c r="Q21" s="349">
        <f t="shared" si="9"/>
        <v>15</v>
      </c>
    </row>
    <row r="22" spans="1:17" ht="15.75" x14ac:dyDescent="0.25">
      <c r="A22" s="120">
        <f t="shared" si="2"/>
        <v>16</v>
      </c>
      <c r="B22" s="149"/>
      <c r="C22" s="268"/>
      <c r="D22" s="31"/>
      <c r="E22" s="238"/>
      <c r="F22" s="118"/>
      <c r="G22" s="268"/>
      <c r="H22" s="31"/>
      <c r="I22" s="238"/>
      <c r="J22" s="269"/>
      <c r="K22" s="289"/>
      <c r="L22" s="238"/>
      <c r="M22" s="31"/>
      <c r="N22" s="269"/>
      <c r="O22" s="54"/>
      <c r="P22" s="875"/>
      <c r="Q22" s="349">
        <f t="shared" si="9"/>
        <v>16</v>
      </c>
    </row>
    <row r="23" spans="1:17" ht="15.75" x14ac:dyDescent="0.25">
      <c r="A23" s="120">
        <f t="shared" si="2"/>
        <v>17</v>
      </c>
      <c r="B23" s="149" t="s">
        <v>320</v>
      </c>
      <c r="C23" s="289">
        <v>0</v>
      </c>
      <c r="D23" s="31">
        <v>0</v>
      </c>
      <c r="E23" s="238">
        <v>0</v>
      </c>
      <c r="F23" s="118">
        <v>0</v>
      </c>
      <c r="G23" s="379">
        <v>0</v>
      </c>
      <c r="H23" s="163">
        <v>0</v>
      </c>
      <c r="I23" s="238">
        <v>0</v>
      </c>
      <c r="J23" s="269">
        <v>0</v>
      </c>
      <c r="K23" s="289">
        <v>0</v>
      </c>
      <c r="L23" s="238">
        <v>0</v>
      </c>
      <c r="M23" s="31">
        <v>0</v>
      </c>
      <c r="N23" s="276">
        <v>0</v>
      </c>
      <c r="O23" s="54">
        <f>SUM(C23:N23)</f>
        <v>0</v>
      </c>
      <c r="P23" s="875" t="str">
        <f>B23</f>
        <v>Other CAISO Adjustment</v>
      </c>
      <c r="Q23" s="349">
        <f t="shared" si="3"/>
        <v>17</v>
      </c>
    </row>
    <row r="24" spans="1:17" ht="15.75" x14ac:dyDescent="0.25">
      <c r="A24" s="120">
        <f t="shared" si="2"/>
        <v>18</v>
      </c>
      <c r="B24" s="125" t="s">
        <v>321</v>
      </c>
      <c r="C24" s="274">
        <f t="shared" ref="C24:O24" si="11">SUM(C23:C23)</f>
        <v>0</v>
      </c>
      <c r="D24" s="97">
        <f>SUM(D23:D23)</f>
        <v>0</v>
      </c>
      <c r="E24" s="253">
        <f t="shared" si="11"/>
        <v>0</v>
      </c>
      <c r="F24" s="705">
        <f t="shared" si="11"/>
        <v>0</v>
      </c>
      <c r="G24" s="274">
        <f t="shared" si="11"/>
        <v>0</v>
      </c>
      <c r="H24" s="97">
        <f t="shared" si="11"/>
        <v>0</v>
      </c>
      <c r="I24" s="253">
        <f t="shared" si="11"/>
        <v>0</v>
      </c>
      <c r="J24" s="275">
        <f t="shared" si="11"/>
        <v>0</v>
      </c>
      <c r="K24" s="274">
        <f t="shared" si="11"/>
        <v>0</v>
      </c>
      <c r="L24" s="253">
        <f t="shared" si="11"/>
        <v>0</v>
      </c>
      <c r="M24" s="97">
        <f t="shared" si="11"/>
        <v>0</v>
      </c>
      <c r="N24" s="275">
        <f t="shared" si="11"/>
        <v>0</v>
      </c>
      <c r="O24" s="865">
        <f t="shared" si="11"/>
        <v>0</v>
      </c>
      <c r="P24" s="875" t="s">
        <v>322</v>
      </c>
      <c r="Q24" s="349">
        <f t="shared" si="3"/>
        <v>18</v>
      </c>
    </row>
    <row r="25" spans="1:17" ht="15.75" x14ac:dyDescent="0.25">
      <c r="A25" s="120">
        <f t="shared" si="2"/>
        <v>19</v>
      </c>
      <c r="B25" s="149" t="s">
        <v>323</v>
      </c>
      <c r="C25" s="274">
        <f>C21+C24</f>
        <v>-2597343</v>
      </c>
      <c r="D25" s="97">
        <f>D21+D24</f>
        <v>-2636560.11</v>
      </c>
      <c r="E25" s="253">
        <f t="shared" ref="E25:N25" si="12">E21+E24</f>
        <v>-1239126.1000000001</v>
      </c>
      <c r="F25" s="705">
        <f t="shared" si="12"/>
        <v>-609577.47</v>
      </c>
      <c r="G25" s="274">
        <f t="shared" si="12"/>
        <v>-2155310.8699999996</v>
      </c>
      <c r="H25" s="97">
        <f t="shared" si="12"/>
        <v>-2800072.48</v>
      </c>
      <c r="I25" s="253">
        <f t="shared" si="12"/>
        <v>-3165382.33</v>
      </c>
      <c r="J25" s="275">
        <f t="shared" si="12"/>
        <v>-4435748.6399999997</v>
      </c>
      <c r="K25" s="274">
        <f t="shared" si="12"/>
        <v>-3918340.63</v>
      </c>
      <c r="L25" s="253">
        <f t="shared" si="12"/>
        <v>-4362846.2700000005</v>
      </c>
      <c r="M25" s="97">
        <f t="shared" si="12"/>
        <v>-5571420.8899999997</v>
      </c>
      <c r="N25" s="275">
        <f t="shared" si="12"/>
        <v>-10633044.970000001</v>
      </c>
      <c r="O25" s="865">
        <f>O24+O21</f>
        <v>-44124773.760000005</v>
      </c>
      <c r="P25" s="875" t="s">
        <v>324</v>
      </c>
      <c r="Q25" s="349">
        <f t="shared" si="3"/>
        <v>19</v>
      </c>
    </row>
    <row r="26" spans="1:17" ht="15.75" x14ac:dyDescent="0.25">
      <c r="A26" s="120">
        <f t="shared" si="2"/>
        <v>20</v>
      </c>
      <c r="B26" s="149"/>
      <c r="C26" s="265"/>
      <c r="D26" s="19"/>
      <c r="E26" s="239"/>
      <c r="F26" s="702"/>
      <c r="G26" s="265"/>
      <c r="H26" s="19"/>
      <c r="I26" s="239"/>
      <c r="J26" s="277"/>
      <c r="K26" s="280"/>
      <c r="L26" s="239"/>
      <c r="M26" s="19"/>
      <c r="N26" s="277"/>
      <c r="O26" s="28"/>
      <c r="P26" s="875"/>
      <c r="Q26" s="349">
        <f t="shared" si="3"/>
        <v>20</v>
      </c>
    </row>
    <row r="27" spans="1:17" ht="15.75" x14ac:dyDescent="0.25">
      <c r="A27" s="120">
        <f t="shared" si="2"/>
        <v>21</v>
      </c>
      <c r="B27" s="149" t="s">
        <v>325</v>
      </c>
      <c r="C27" s="278">
        <f t="shared" ref="C27:O27" si="13">-C14+C25</f>
        <v>1928124.7673430471</v>
      </c>
      <c r="D27" s="14">
        <f t="shared" si="13"/>
        <v>855305.30070449272</v>
      </c>
      <c r="E27" s="254">
        <f t="shared" si="13"/>
        <v>2783319.0056961183</v>
      </c>
      <c r="F27" s="706">
        <f t="shared" si="13"/>
        <v>3624244.0298147248</v>
      </c>
      <c r="G27" s="278">
        <f t="shared" si="13"/>
        <v>815255.1734794206</v>
      </c>
      <c r="H27" s="14">
        <f t="shared" si="13"/>
        <v>380980.29898751434</v>
      </c>
      <c r="I27" s="254">
        <f t="shared" si="13"/>
        <v>-251560.24697156949</v>
      </c>
      <c r="J27" s="290">
        <f t="shared" si="13"/>
        <v>-1536971.5545372828</v>
      </c>
      <c r="K27" s="690">
        <f t="shared" si="13"/>
        <v>-746653.03291245364</v>
      </c>
      <c r="L27" s="254">
        <f t="shared" si="13"/>
        <v>-843324.2043522778</v>
      </c>
      <c r="M27" s="14">
        <f t="shared" si="13"/>
        <v>-2015150.5421784637</v>
      </c>
      <c r="N27" s="290">
        <f t="shared" si="13"/>
        <v>-6646927.2820686307</v>
      </c>
      <c r="O27" s="866">
        <f t="shared" si="13"/>
        <v>-1653358.2869953662</v>
      </c>
      <c r="P27" s="875" t="s">
        <v>476</v>
      </c>
      <c r="Q27" s="349">
        <f t="shared" si="3"/>
        <v>21</v>
      </c>
    </row>
    <row r="28" spans="1:17" ht="15.75" x14ac:dyDescent="0.25">
      <c r="A28" s="120">
        <f t="shared" si="2"/>
        <v>22</v>
      </c>
      <c r="B28" s="125"/>
      <c r="C28" s="279"/>
      <c r="D28" s="95"/>
      <c r="E28" s="255"/>
      <c r="F28" s="707"/>
      <c r="G28" s="279"/>
      <c r="H28" s="95"/>
      <c r="I28" s="255"/>
      <c r="J28" s="291"/>
      <c r="K28" s="279"/>
      <c r="L28" s="255"/>
      <c r="M28" s="95"/>
      <c r="N28" s="291"/>
      <c r="O28" s="867"/>
      <c r="P28" s="877"/>
      <c r="Q28" s="349">
        <f t="shared" si="3"/>
        <v>22</v>
      </c>
    </row>
    <row r="29" spans="1:17" ht="15.75" x14ac:dyDescent="0.25">
      <c r="A29" s="120">
        <f t="shared" si="2"/>
        <v>23</v>
      </c>
      <c r="B29" s="125" t="s">
        <v>326</v>
      </c>
      <c r="C29" s="279"/>
      <c r="D29" s="95"/>
      <c r="E29" s="255"/>
      <c r="F29" s="707"/>
      <c r="G29" s="279"/>
      <c r="H29" s="95"/>
      <c r="I29" s="255"/>
      <c r="J29" s="291"/>
      <c r="K29" s="279"/>
      <c r="L29" s="255"/>
      <c r="M29" s="95"/>
      <c r="N29" s="291"/>
      <c r="O29" s="867"/>
      <c r="P29" s="877"/>
      <c r="Q29" s="349">
        <f t="shared" si="3"/>
        <v>23</v>
      </c>
    </row>
    <row r="30" spans="1:17" ht="15.75" x14ac:dyDescent="0.25">
      <c r="A30" s="120">
        <f t="shared" si="2"/>
        <v>24</v>
      </c>
      <c r="B30" s="125" t="s">
        <v>327</v>
      </c>
      <c r="C30" s="280">
        <f>C7</f>
        <v>-4388350</v>
      </c>
      <c r="D30" s="141">
        <f>D7</f>
        <v>-2484880.103494518</v>
      </c>
      <c r="E30" s="256">
        <f>E7</f>
        <v>-1643975.3949620211</v>
      </c>
      <c r="F30" s="328">
        <f>F7</f>
        <v>1137526.9363108766</v>
      </c>
      <c r="G30" s="280">
        <f t="shared" ref="G30:N30" si="14">G7</f>
        <v>4781828.5789938858</v>
      </c>
      <c r="H30" s="141">
        <f t="shared" si="14"/>
        <v>5629258.3807008546</v>
      </c>
      <c r="I30" s="256">
        <f t="shared" si="14"/>
        <v>6049812.9696936924</v>
      </c>
      <c r="J30" s="266">
        <f t="shared" si="14"/>
        <v>5834980.7263686117</v>
      </c>
      <c r="K30" s="280">
        <f t="shared" si="14"/>
        <v>4330434.7395055685</v>
      </c>
      <c r="L30" s="256">
        <f t="shared" si="14"/>
        <v>3608315.7775760209</v>
      </c>
      <c r="M30" s="141">
        <f t="shared" si="14"/>
        <v>2785387.1567463023</v>
      </c>
      <c r="N30" s="266">
        <f t="shared" si="14"/>
        <v>781613.61063604383</v>
      </c>
      <c r="O30" s="867"/>
      <c r="P30" s="877" t="s">
        <v>475</v>
      </c>
      <c r="Q30" s="349">
        <f t="shared" si="3"/>
        <v>24</v>
      </c>
    </row>
    <row r="31" spans="1:17" ht="15.75" x14ac:dyDescent="0.25">
      <c r="A31" s="120">
        <f t="shared" si="2"/>
        <v>25</v>
      </c>
      <c r="B31" s="125" t="s">
        <v>328</v>
      </c>
      <c r="C31" s="281">
        <f>C27/2</f>
        <v>964062.38367152354</v>
      </c>
      <c r="D31" s="96">
        <f>D27/2</f>
        <v>427652.65035224636</v>
      </c>
      <c r="E31" s="257">
        <f>E27/2</f>
        <v>1391659.5028480592</v>
      </c>
      <c r="F31" s="708">
        <f t="shared" ref="F31:N31" si="15">F27/2</f>
        <v>1812122.0149073624</v>
      </c>
      <c r="G31" s="281">
        <f t="shared" si="15"/>
        <v>407627.5867397103</v>
      </c>
      <c r="H31" s="96">
        <f t="shared" si="15"/>
        <v>190490.14949375717</v>
      </c>
      <c r="I31" s="257">
        <f t="shared" si="15"/>
        <v>-125780.12348578474</v>
      </c>
      <c r="J31" s="282">
        <f t="shared" si="15"/>
        <v>-768485.7772686414</v>
      </c>
      <c r="K31" s="281">
        <f t="shared" si="15"/>
        <v>-373326.51645622682</v>
      </c>
      <c r="L31" s="257">
        <f t="shared" si="15"/>
        <v>-421662.1021761389</v>
      </c>
      <c r="M31" s="96">
        <f t="shared" si="15"/>
        <v>-1007575.2710892318</v>
      </c>
      <c r="N31" s="282">
        <f t="shared" si="15"/>
        <v>-3323463.6410343153</v>
      </c>
      <c r="O31" s="867"/>
      <c r="P31" s="877" t="s">
        <v>329</v>
      </c>
      <c r="Q31" s="349">
        <f t="shared" si="3"/>
        <v>25</v>
      </c>
    </row>
    <row r="32" spans="1:17" ht="15.75" x14ac:dyDescent="0.25">
      <c r="A32" s="120">
        <f t="shared" si="2"/>
        <v>26</v>
      </c>
      <c r="B32" s="125" t="s">
        <v>330</v>
      </c>
      <c r="C32" s="279">
        <f t="shared" ref="C32:L32" si="16">C30+C31</f>
        <v>-3424287.6163284765</v>
      </c>
      <c r="D32" s="95">
        <f t="shared" si="16"/>
        <v>-2057227.4531422716</v>
      </c>
      <c r="E32" s="255">
        <f t="shared" si="16"/>
        <v>-252315.89211396198</v>
      </c>
      <c r="F32" s="707">
        <f t="shared" si="16"/>
        <v>2949648.951218239</v>
      </c>
      <c r="G32" s="279">
        <f t="shared" si="16"/>
        <v>5189456.1657335963</v>
      </c>
      <c r="H32" s="95">
        <f t="shared" si="16"/>
        <v>5819748.5301946122</v>
      </c>
      <c r="I32" s="255">
        <f>I30+I31</f>
        <v>5924032.8462079074</v>
      </c>
      <c r="J32" s="291">
        <f t="shared" si="16"/>
        <v>5066494.9490999701</v>
      </c>
      <c r="K32" s="279">
        <f t="shared" si="16"/>
        <v>3957108.2230493417</v>
      </c>
      <c r="L32" s="255">
        <f t="shared" si="16"/>
        <v>3186653.6753998818</v>
      </c>
      <c r="M32" s="95">
        <f>M30+M31</f>
        <v>1777811.8856570704</v>
      </c>
      <c r="N32" s="291">
        <f>N30+N31</f>
        <v>-2541850.0303982715</v>
      </c>
      <c r="O32" s="867"/>
      <c r="P32" s="877" t="s">
        <v>331</v>
      </c>
      <c r="Q32" s="349">
        <f t="shared" si="3"/>
        <v>26</v>
      </c>
    </row>
    <row r="33" spans="1:17" ht="15.75" x14ac:dyDescent="0.25">
      <c r="A33" s="120">
        <f t="shared" si="2"/>
        <v>27</v>
      </c>
      <c r="B33" s="125" t="s">
        <v>332</v>
      </c>
      <c r="C33" s="283">
        <f>C62</f>
        <v>7.1999999999999998E-3</v>
      </c>
      <c r="D33" s="152">
        <f t="shared" ref="D33:N33" si="17">D62</f>
        <v>7.0000000000000001E-3</v>
      </c>
      <c r="E33" s="258">
        <f t="shared" si="17"/>
        <v>7.1999999999999998E-3</v>
      </c>
      <c r="F33" s="709">
        <f t="shared" si="17"/>
        <v>6.7999999999999996E-3</v>
      </c>
      <c r="G33" s="283">
        <f t="shared" si="17"/>
        <v>6.1999999999999998E-3</v>
      </c>
      <c r="H33" s="152">
        <f t="shared" si="17"/>
        <v>6.7999999999999996E-3</v>
      </c>
      <c r="I33" s="258">
        <f t="shared" si="17"/>
        <v>6.1999999999999998E-3</v>
      </c>
      <c r="J33" s="284">
        <f t="shared" si="17"/>
        <v>6.4000000000000003E-3</v>
      </c>
      <c r="K33" s="283">
        <f t="shared" si="17"/>
        <v>6.1999999999999998E-3</v>
      </c>
      <c r="L33" s="258">
        <f t="shared" si="17"/>
        <v>6.4000000000000003E-3</v>
      </c>
      <c r="M33" s="152">
        <f t="shared" si="17"/>
        <v>6.4000000000000003E-3</v>
      </c>
      <c r="N33" s="284">
        <f t="shared" si="17"/>
        <v>6.1999999999999998E-3</v>
      </c>
      <c r="O33" s="868"/>
      <c r="P33" s="877" t="s">
        <v>333</v>
      </c>
      <c r="Q33" s="349">
        <f t="shared" si="3"/>
        <v>27</v>
      </c>
    </row>
    <row r="34" spans="1:17" ht="15.75" x14ac:dyDescent="0.25">
      <c r="A34" s="120">
        <f t="shared" si="2"/>
        <v>28</v>
      </c>
      <c r="B34" s="125" t="s">
        <v>334</v>
      </c>
      <c r="C34" s="274">
        <f>C32*C33</f>
        <v>-24654.870837565031</v>
      </c>
      <c r="D34" s="97">
        <f t="shared" ref="D34:M34" si="18">D32*D33</f>
        <v>-14400.592171995902</v>
      </c>
      <c r="E34" s="253">
        <f t="shared" si="18"/>
        <v>-1816.6744232205263</v>
      </c>
      <c r="F34" s="710">
        <f t="shared" si="18"/>
        <v>20057.612868284024</v>
      </c>
      <c r="G34" s="274">
        <f t="shared" si="18"/>
        <v>32174.628227548295</v>
      </c>
      <c r="H34" s="97">
        <f t="shared" si="18"/>
        <v>39574.290005323361</v>
      </c>
      <c r="I34" s="522">
        <f t="shared" si="18"/>
        <v>36729.003646489022</v>
      </c>
      <c r="J34" s="523">
        <f t="shared" si="18"/>
        <v>32425.56767423981</v>
      </c>
      <c r="K34" s="691">
        <f t="shared" si="18"/>
        <v>24534.070982905916</v>
      </c>
      <c r="L34" s="522">
        <f t="shared" si="18"/>
        <v>20394.583522559245</v>
      </c>
      <c r="M34" s="97">
        <f t="shared" si="18"/>
        <v>11377.996068205252</v>
      </c>
      <c r="N34" s="275">
        <f>N32*N33</f>
        <v>-15759.470188469282</v>
      </c>
      <c r="O34" s="865">
        <f>SUM(C34:N34)</f>
        <v>160636.14537430418</v>
      </c>
      <c r="P34" s="877" t="s">
        <v>335</v>
      </c>
      <c r="Q34" s="349">
        <f t="shared" si="3"/>
        <v>28</v>
      </c>
    </row>
    <row r="35" spans="1:17" ht="18.75" x14ac:dyDescent="0.25">
      <c r="A35" s="120">
        <f t="shared" si="2"/>
        <v>29</v>
      </c>
      <c r="B35" s="125"/>
      <c r="C35" s="265"/>
      <c r="D35" s="19"/>
      <c r="E35" s="239"/>
      <c r="F35" s="328"/>
      <c r="G35" s="265"/>
      <c r="H35" s="19"/>
      <c r="I35" s="256"/>
      <c r="J35" s="266"/>
      <c r="K35" s="280"/>
      <c r="L35" s="256"/>
      <c r="M35" s="19"/>
      <c r="N35" s="944"/>
      <c r="O35" s="28"/>
      <c r="P35" s="877"/>
      <c r="Q35" s="349">
        <f t="shared" si="3"/>
        <v>29</v>
      </c>
    </row>
    <row r="36" spans="1:17" ht="15.75" x14ac:dyDescent="0.25">
      <c r="A36" s="120">
        <f t="shared" si="2"/>
        <v>30</v>
      </c>
      <c r="B36" s="149" t="s">
        <v>336</v>
      </c>
      <c r="C36" s="278"/>
      <c r="D36" s="14"/>
      <c r="E36" s="252">
        <v>0</v>
      </c>
      <c r="F36" s="706">
        <v>0</v>
      </c>
      <c r="G36" s="278">
        <v>0</v>
      </c>
      <c r="H36" s="191">
        <v>0</v>
      </c>
      <c r="I36" s="259">
        <v>-1</v>
      </c>
      <c r="J36" s="325">
        <v>0</v>
      </c>
      <c r="K36" s="692">
        <v>0</v>
      </c>
      <c r="L36" s="259">
        <v>1</v>
      </c>
      <c r="M36" s="103">
        <v>-1</v>
      </c>
      <c r="N36" s="325"/>
      <c r="O36" s="331">
        <f>SUM(C36:N36)</f>
        <v>-1</v>
      </c>
      <c r="P36" s="875"/>
      <c r="Q36" s="349">
        <f t="shared" si="3"/>
        <v>30</v>
      </c>
    </row>
    <row r="37" spans="1:17" ht="15.75" x14ac:dyDescent="0.25">
      <c r="A37" s="120">
        <f t="shared" si="2"/>
        <v>31</v>
      </c>
      <c r="B37" s="125"/>
      <c r="C37" s="265"/>
      <c r="D37" s="19"/>
      <c r="E37" s="239"/>
      <c r="F37" s="702"/>
      <c r="G37" s="265"/>
      <c r="H37" s="19"/>
      <c r="I37" s="239"/>
      <c r="J37" s="277"/>
      <c r="K37" s="280"/>
      <c r="L37" s="239"/>
      <c r="M37" s="19"/>
      <c r="N37" s="277"/>
      <c r="O37" s="28"/>
      <c r="P37" s="877"/>
      <c r="Q37" s="349">
        <f t="shared" si="3"/>
        <v>31</v>
      </c>
    </row>
    <row r="38" spans="1:17" ht="16.5" thickBot="1" x14ac:dyDescent="0.3">
      <c r="A38" s="120">
        <f t="shared" si="2"/>
        <v>32</v>
      </c>
      <c r="B38" s="353" t="s">
        <v>337</v>
      </c>
      <c r="C38" s="514">
        <f>C7+C27+C34+C36</f>
        <v>-2484880.103494518</v>
      </c>
      <c r="D38" s="73">
        <f>D7+D27+D34+D36</f>
        <v>-1643975.3949620211</v>
      </c>
      <c r="E38" s="715">
        <f>E7+E27+E34+E36</f>
        <v>1137526.9363108766</v>
      </c>
      <c r="F38" s="711">
        <f t="shared" ref="F38:I38" si="19">F7+F27+F34+F36</f>
        <v>4781828.5789938858</v>
      </c>
      <c r="G38" s="972">
        <f>G7+G27+G34+G36</f>
        <v>5629258.3807008546</v>
      </c>
      <c r="H38" s="192">
        <f t="shared" si="19"/>
        <v>6049812.9696936924</v>
      </c>
      <c r="I38" s="715">
        <f t="shared" si="19"/>
        <v>5834980.7263686117</v>
      </c>
      <c r="J38" s="973">
        <f t="shared" ref="J38:M38" si="20">J7+J27+J34+J36</f>
        <v>4330434.7395055685</v>
      </c>
      <c r="K38" s="972">
        <f t="shared" si="20"/>
        <v>3608315.7775760209</v>
      </c>
      <c r="L38" s="715">
        <f t="shared" si="20"/>
        <v>2785387.1567463023</v>
      </c>
      <c r="M38" s="192">
        <f t="shared" si="20"/>
        <v>781613.61063604383</v>
      </c>
      <c r="N38" s="973">
        <f>N7+N27+N34+N36</f>
        <v>-5881073.141621056</v>
      </c>
      <c r="O38" s="485">
        <f>O7+O27+O34+O36</f>
        <v>-5881073.1416210616</v>
      </c>
      <c r="P38" s="875" t="s">
        <v>338</v>
      </c>
      <c r="Q38" s="349">
        <f>Q37+1</f>
        <v>32</v>
      </c>
    </row>
    <row r="39" spans="1:17" ht="18.75" thickTop="1" thickBot="1" x14ac:dyDescent="0.35">
      <c r="A39" s="120">
        <f>A38+1</f>
        <v>33</v>
      </c>
      <c r="B39" s="354"/>
      <c r="C39" s="292"/>
      <c r="D39" s="100"/>
      <c r="E39" s="260"/>
      <c r="F39" s="712"/>
      <c r="G39" s="292"/>
      <c r="H39" s="100"/>
      <c r="I39" s="260"/>
      <c r="J39" s="293"/>
      <c r="K39" s="693"/>
      <c r="L39" s="100"/>
      <c r="M39" s="100"/>
      <c r="N39" s="293"/>
      <c r="O39" s="861"/>
      <c r="P39" s="126"/>
      <c r="Q39" s="463">
        <f>Q38+1</f>
        <v>33</v>
      </c>
    </row>
    <row r="40" spans="1:17" ht="17.25" x14ac:dyDescent="0.3">
      <c r="A40" s="150">
        <f t="shared" si="2"/>
        <v>34</v>
      </c>
      <c r="B40" s="490"/>
      <c r="C40" s="294"/>
      <c r="D40" s="243"/>
      <c r="E40" s="342"/>
      <c r="F40" s="695"/>
      <c r="G40" s="346"/>
      <c r="H40" s="342"/>
      <c r="I40" s="340"/>
      <c r="J40" s="347"/>
      <c r="K40" s="694"/>
      <c r="L40" s="244"/>
      <c r="M40" s="245"/>
      <c r="N40" s="695"/>
      <c r="O40" s="869"/>
      <c r="P40" s="246"/>
      <c r="Q40" s="459">
        <f>Q39+1</f>
        <v>34</v>
      </c>
    </row>
    <row r="41" spans="1:17" ht="15.75" x14ac:dyDescent="0.25">
      <c r="A41" s="120">
        <f t="shared" si="2"/>
        <v>35</v>
      </c>
      <c r="B41" s="218" t="s">
        <v>339</v>
      </c>
      <c r="C41" s="285"/>
      <c r="D41" s="114"/>
      <c r="E41" s="91"/>
      <c r="F41" s="713"/>
      <c r="G41" s="332"/>
      <c r="H41" s="91"/>
      <c r="I41" s="22"/>
      <c r="J41" s="348"/>
      <c r="K41" s="219"/>
      <c r="L41" s="94"/>
      <c r="M41" s="91"/>
      <c r="N41" s="123"/>
      <c r="O41" s="22"/>
      <c r="P41" s="125"/>
      <c r="Q41" s="349">
        <f t="shared" ref="Q41:Q44" si="21">Q40+1</f>
        <v>35</v>
      </c>
    </row>
    <row r="42" spans="1:17" ht="15.75" x14ac:dyDescent="0.25">
      <c r="A42" s="120">
        <f t="shared" si="2"/>
        <v>36</v>
      </c>
      <c r="B42" s="125" t="s">
        <v>340</v>
      </c>
      <c r="C42" s="799">
        <f>F48</f>
        <v>1.0274999999999999E-2</v>
      </c>
      <c r="D42" s="421">
        <f>$C$42</f>
        <v>1.0274999999999999E-2</v>
      </c>
      <c r="E42" s="422">
        <f>$C$42</f>
        <v>1.0274999999999999E-2</v>
      </c>
      <c r="F42" s="697">
        <f>$C$42</f>
        <v>1.0274999999999999E-2</v>
      </c>
      <c r="G42" s="295">
        <f>I48</f>
        <v>1.0207000000000001E-2</v>
      </c>
      <c r="H42" s="341">
        <f t="shared" ref="H42:N42" si="22">$G$42</f>
        <v>1.0207000000000001E-2</v>
      </c>
      <c r="I42" s="345">
        <f t="shared" si="22"/>
        <v>1.0207000000000001E-2</v>
      </c>
      <c r="J42" s="296">
        <f t="shared" si="22"/>
        <v>1.0207000000000001E-2</v>
      </c>
      <c r="K42" s="696">
        <f t="shared" si="22"/>
        <v>1.0207000000000001E-2</v>
      </c>
      <c r="L42" s="115">
        <f t="shared" si="22"/>
        <v>1.0207000000000001E-2</v>
      </c>
      <c r="M42" s="341">
        <f t="shared" si="22"/>
        <v>1.0207000000000001E-2</v>
      </c>
      <c r="N42" s="697">
        <f t="shared" si="22"/>
        <v>1.0207000000000001E-2</v>
      </c>
      <c r="O42" s="22"/>
      <c r="P42" s="120" t="s">
        <v>340</v>
      </c>
      <c r="Q42" s="349">
        <f t="shared" si="21"/>
        <v>36</v>
      </c>
    </row>
    <row r="43" spans="1:17" ht="15.75" x14ac:dyDescent="0.25">
      <c r="A43" s="120">
        <f t="shared" si="2"/>
        <v>37</v>
      </c>
      <c r="B43" s="125" t="s">
        <v>341</v>
      </c>
      <c r="C43" s="800">
        <f>F49</f>
        <v>1.73E-3</v>
      </c>
      <c r="D43" s="423">
        <f>$C$43</f>
        <v>1.73E-3</v>
      </c>
      <c r="E43" s="424">
        <f>$C$43</f>
        <v>1.73E-3</v>
      </c>
      <c r="F43" s="699">
        <f>$C$43</f>
        <v>1.73E-3</v>
      </c>
      <c r="G43" s="426">
        <f>I49</f>
        <v>2.4099999999999998E-3</v>
      </c>
      <c r="H43" s="427">
        <f t="shared" ref="H43" si="23">$G$43</f>
        <v>2.4099999999999998E-3</v>
      </c>
      <c r="I43" s="425">
        <f t="shared" ref="I43:N43" si="24">$G$43</f>
        <v>2.4099999999999998E-3</v>
      </c>
      <c r="J43" s="428">
        <f t="shared" si="24"/>
        <v>2.4099999999999998E-3</v>
      </c>
      <c r="K43" s="698">
        <f t="shared" si="24"/>
        <v>2.4099999999999998E-3</v>
      </c>
      <c r="L43" s="429">
        <f t="shared" si="24"/>
        <v>2.4099999999999998E-3</v>
      </c>
      <c r="M43" s="427">
        <f t="shared" si="24"/>
        <v>2.4099999999999998E-3</v>
      </c>
      <c r="N43" s="699">
        <f t="shared" si="24"/>
        <v>2.4099999999999998E-3</v>
      </c>
      <c r="O43" s="22"/>
      <c r="P43" s="120" t="s">
        <v>341</v>
      </c>
      <c r="Q43" s="349">
        <f t="shared" si="21"/>
        <v>37</v>
      </c>
    </row>
    <row r="44" spans="1:17" ht="16.5" thickBot="1" x14ac:dyDescent="0.3">
      <c r="A44" s="121">
        <f t="shared" si="2"/>
        <v>38</v>
      </c>
      <c r="B44" s="126" t="s">
        <v>342</v>
      </c>
      <c r="C44" s="605">
        <f t="shared" ref="C44:N44" si="25">C42+C43</f>
        <v>1.2005E-2</v>
      </c>
      <c r="D44" s="606">
        <f t="shared" si="25"/>
        <v>1.2005E-2</v>
      </c>
      <c r="E44" s="607">
        <f t="shared" si="25"/>
        <v>1.2005E-2</v>
      </c>
      <c r="F44" s="714">
        <f t="shared" si="25"/>
        <v>1.2005E-2</v>
      </c>
      <c r="G44" s="609">
        <f t="shared" si="25"/>
        <v>1.2617E-2</v>
      </c>
      <c r="H44" s="606">
        <f t="shared" si="25"/>
        <v>1.2617E-2</v>
      </c>
      <c r="I44" s="608">
        <f t="shared" si="25"/>
        <v>1.2617E-2</v>
      </c>
      <c r="J44" s="610">
        <f t="shared" si="25"/>
        <v>1.2617E-2</v>
      </c>
      <c r="K44" s="605">
        <f t="shared" si="25"/>
        <v>1.2617E-2</v>
      </c>
      <c r="L44" s="606">
        <f t="shared" si="25"/>
        <v>1.2617E-2</v>
      </c>
      <c r="M44" s="606">
        <f t="shared" si="25"/>
        <v>1.2617E-2</v>
      </c>
      <c r="N44" s="610">
        <f t="shared" si="25"/>
        <v>1.2617E-2</v>
      </c>
      <c r="O44" s="80"/>
      <c r="P44" s="121" t="s">
        <v>343</v>
      </c>
      <c r="Q44" s="463">
        <f t="shared" si="21"/>
        <v>38</v>
      </c>
    </row>
    <row r="45" spans="1:17" ht="15.75" x14ac:dyDescent="0.25">
      <c r="A45" s="22"/>
      <c r="B45" s="343"/>
      <c r="C45" s="604"/>
      <c r="D45" s="19"/>
      <c r="E45" s="28"/>
      <c r="F45" s="702"/>
      <c r="G45" s="855"/>
      <c r="H45" s="28"/>
      <c r="I45" s="28"/>
      <c r="J45" s="702"/>
      <c r="K45" s="855"/>
      <c r="L45" s="345"/>
      <c r="M45" s="28"/>
      <c r="N45" s="702"/>
      <c r="O45" s="22"/>
      <c r="P45" s="120"/>
      <c r="Q45" s="33"/>
    </row>
    <row r="46" spans="1:17" ht="16.5" thickBot="1" x14ac:dyDescent="0.3">
      <c r="A46" s="80"/>
      <c r="B46" s="729"/>
      <c r="C46" s="604"/>
      <c r="D46" s="19"/>
      <c r="E46" s="28"/>
      <c r="F46" s="702"/>
      <c r="G46" s="855"/>
      <c r="H46" s="28"/>
      <c r="I46" s="28"/>
      <c r="J46" s="702"/>
      <c r="K46" s="855"/>
      <c r="L46" s="28"/>
      <c r="M46" s="28"/>
      <c r="N46" s="702"/>
      <c r="O46" s="22"/>
      <c r="P46" s="120"/>
      <c r="Q46" s="33"/>
    </row>
    <row r="47" spans="1:17" ht="19.5" x14ac:dyDescent="0.25">
      <c r="A47" s="168"/>
      <c r="B47" s="728" t="s">
        <v>498</v>
      </c>
      <c r="C47" s="171"/>
      <c r="D47" s="114"/>
      <c r="E47" s="390" t="s">
        <v>527</v>
      </c>
      <c r="F47" s="123"/>
      <c r="G47" s="219"/>
      <c r="H47" s="390" t="s">
        <v>528</v>
      </c>
      <c r="I47" s="390"/>
      <c r="J47" s="123"/>
      <c r="K47" s="974"/>
      <c r="L47" s="22"/>
      <c r="M47" s="945"/>
      <c r="N47" s="123"/>
      <c r="O47" s="22"/>
      <c r="P47" s="125"/>
      <c r="Q47" s="91"/>
    </row>
    <row r="48" spans="1:17" ht="15.75" x14ac:dyDescent="0.25">
      <c r="A48" s="66"/>
      <c r="B48" s="146" t="s">
        <v>499</v>
      </c>
      <c r="C48" s="801">
        <v>-2.8900000000000002E-3</v>
      </c>
      <c r="D48" s="114"/>
      <c r="E48" s="22" t="s">
        <v>344</v>
      </c>
      <c r="F48" s="697">
        <v>1.0274999999999999E-2</v>
      </c>
      <c r="G48" s="219"/>
      <c r="H48" s="22" t="s">
        <v>344</v>
      </c>
      <c r="I48" s="953">
        <v>1.0207000000000001E-2</v>
      </c>
      <c r="J48" s="123"/>
      <c r="K48" s="219"/>
      <c r="L48" s="22"/>
      <c r="M48" s="22"/>
      <c r="N48" s="123"/>
      <c r="O48" s="22"/>
      <c r="P48" s="125"/>
      <c r="Q48" s="91"/>
    </row>
    <row r="49" spans="1:17" ht="15.75" x14ac:dyDescent="0.25">
      <c r="A49" s="66"/>
      <c r="B49" s="146" t="s">
        <v>500</v>
      </c>
      <c r="C49" s="801">
        <v>-2.4499999999999999E-3</v>
      </c>
      <c r="D49" s="114"/>
      <c r="E49" s="22" t="s">
        <v>345</v>
      </c>
      <c r="F49" s="697">
        <v>1.73E-3</v>
      </c>
      <c r="G49" s="916"/>
      <c r="H49" s="22" t="s">
        <v>345</v>
      </c>
      <c r="I49" s="953">
        <v>2.4099999999999998E-3</v>
      </c>
      <c r="J49" s="916"/>
      <c r="K49" s="219"/>
      <c r="L49" s="22"/>
      <c r="M49" s="22"/>
      <c r="N49" s="123"/>
      <c r="O49" s="22"/>
      <c r="P49" s="125"/>
      <c r="Q49" s="91"/>
    </row>
    <row r="50" spans="1:17" ht="16.5" thickBot="1" x14ac:dyDescent="0.3">
      <c r="A50" s="66"/>
      <c r="B50" s="146" t="s">
        <v>346</v>
      </c>
      <c r="C50" s="172">
        <f>C48+C49</f>
        <v>-5.3400000000000001E-3</v>
      </c>
      <c r="D50" s="114"/>
      <c r="E50" s="22" t="s">
        <v>347</v>
      </c>
      <c r="F50" s="856">
        <f>SUM(F48:F49)</f>
        <v>1.2005E-2</v>
      </c>
      <c r="G50" s="219"/>
      <c r="H50" s="22" t="s">
        <v>347</v>
      </c>
      <c r="I50" s="881">
        <f>SUM(I48:I49)</f>
        <v>1.2617E-2</v>
      </c>
      <c r="J50" s="123"/>
      <c r="K50" s="219"/>
      <c r="L50" s="22"/>
      <c r="M50" s="22"/>
      <c r="N50" s="123"/>
      <c r="O50" s="22"/>
      <c r="P50" s="125"/>
      <c r="Q50" s="91"/>
    </row>
    <row r="51" spans="1:17" ht="17.25" thickTop="1" thickBot="1" x14ac:dyDescent="0.3">
      <c r="A51" s="66"/>
      <c r="B51" s="146" t="s">
        <v>501</v>
      </c>
      <c r="C51" s="901">
        <f>C50/2</f>
        <v>-2.6700000000000001E-3</v>
      </c>
      <c r="D51" s="114"/>
      <c r="E51" s="22"/>
      <c r="F51" s="123"/>
      <c r="G51" s="219"/>
      <c r="H51" s="22"/>
      <c r="I51" s="22"/>
      <c r="J51" s="123"/>
      <c r="K51" s="219"/>
      <c r="L51" s="22"/>
      <c r="M51" s="22"/>
      <c r="N51" s="123"/>
      <c r="O51" s="22"/>
      <c r="P51" s="125"/>
      <c r="Q51" s="91"/>
    </row>
    <row r="52" spans="1:17" ht="16.5" thickTop="1" x14ac:dyDescent="0.25">
      <c r="A52" s="27"/>
      <c r="B52" s="169"/>
      <c r="C52" s="173"/>
      <c r="D52" s="971"/>
      <c r="E52" s="22"/>
      <c r="F52" s="123"/>
      <c r="G52" s="219"/>
      <c r="H52" s="22"/>
      <c r="I52" s="22"/>
      <c r="J52" s="123"/>
      <c r="K52" s="219"/>
      <c r="L52" s="22"/>
      <c r="M52" s="22"/>
      <c r="N52" s="123"/>
      <c r="O52" s="22"/>
      <c r="P52" s="125"/>
      <c r="Q52" s="91"/>
    </row>
    <row r="53" spans="1:17" ht="20.25" thickBot="1" x14ac:dyDescent="0.3">
      <c r="A53" s="167"/>
      <c r="B53" s="147"/>
      <c r="C53" s="174"/>
      <c r="D53" s="879"/>
      <c r="E53" s="80"/>
      <c r="F53" s="124"/>
      <c r="G53" s="212"/>
      <c r="H53" s="80"/>
      <c r="I53" s="80"/>
      <c r="J53" s="124"/>
      <c r="K53" s="212"/>
      <c r="L53" s="80"/>
      <c r="M53" s="80"/>
      <c r="N53" s="124"/>
      <c r="O53" s="80"/>
      <c r="P53" s="126"/>
      <c r="Q53" s="552"/>
    </row>
    <row r="54" spans="1:17" ht="15.75" x14ac:dyDescent="0.25">
      <c r="A54" s="66"/>
      <c r="B54" s="146"/>
      <c r="C54" s="175"/>
      <c r="D54" s="17"/>
      <c r="E54" s="249"/>
      <c r="F54" s="122"/>
      <c r="G54" s="324"/>
      <c r="H54" s="166"/>
      <c r="I54" s="249"/>
      <c r="J54" s="261"/>
      <c r="K54" s="324"/>
      <c r="L54" s="249"/>
      <c r="M54" s="166"/>
      <c r="N54" s="261"/>
      <c r="O54" s="183"/>
      <c r="P54" s="125"/>
      <c r="Q54" s="122"/>
    </row>
    <row r="55" spans="1:17" ht="15.75" x14ac:dyDescent="0.25">
      <c r="A55" s="32"/>
      <c r="B55" s="170"/>
      <c r="C55" s="135" t="s">
        <v>288</v>
      </c>
      <c r="D55" s="10" t="s">
        <v>289</v>
      </c>
      <c r="E55" s="33" t="s">
        <v>290</v>
      </c>
      <c r="F55" s="349" t="s">
        <v>291</v>
      </c>
      <c r="G55" s="262" t="s">
        <v>292</v>
      </c>
      <c r="H55" s="10" t="s">
        <v>293</v>
      </c>
      <c r="I55" s="33" t="s">
        <v>294</v>
      </c>
      <c r="J55" s="263" t="s">
        <v>57</v>
      </c>
      <c r="K55" s="262" t="s">
        <v>58</v>
      </c>
      <c r="L55" s="33" t="s">
        <v>59</v>
      </c>
      <c r="M55" s="10" t="s">
        <v>295</v>
      </c>
      <c r="N55" s="263" t="s">
        <v>296</v>
      </c>
      <c r="O55" s="37"/>
      <c r="P55" s="120"/>
      <c r="Q55" s="349" t="s">
        <v>8</v>
      </c>
    </row>
    <row r="56" spans="1:17" ht="19.5" x14ac:dyDescent="0.25">
      <c r="A56" s="168"/>
      <c r="B56" s="139" t="s">
        <v>348</v>
      </c>
      <c r="C56" s="136">
        <f>C5</f>
        <v>2024</v>
      </c>
      <c r="D56" s="13">
        <f t="shared" ref="D56:N56" si="26">D5</f>
        <v>2024</v>
      </c>
      <c r="E56" s="64">
        <f t="shared" si="26"/>
        <v>2024</v>
      </c>
      <c r="F56" s="854">
        <f t="shared" si="26"/>
        <v>2025</v>
      </c>
      <c r="G56" s="308">
        <f t="shared" si="26"/>
        <v>2025</v>
      </c>
      <c r="H56" s="13">
        <f t="shared" si="26"/>
        <v>2025</v>
      </c>
      <c r="I56" s="64">
        <f t="shared" si="26"/>
        <v>2025</v>
      </c>
      <c r="J56" s="264">
        <f t="shared" si="26"/>
        <v>2025</v>
      </c>
      <c r="K56" s="308">
        <f t="shared" si="26"/>
        <v>2025</v>
      </c>
      <c r="L56" s="64">
        <f t="shared" si="26"/>
        <v>2025</v>
      </c>
      <c r="M56" s="13">
        <f t="shared" si="26"/>
        <v>2025</v>
      </c>
      <c r="N56" s="264">
        <f t="shared" si="26"/>
        <v>2025</v>
      </c>
      <c r="O56" s="176" t="s">
        <v>18</v>
      </c>
      <c r="P56" s="250" t="s">
        <v>16</v>
      </c>
      <c r="Q56" s="854" t="s">
        <v>11</v>
      </c>
    </row>
    <row r="57" spans="1:17" ht="15.75" x14ac:dyDescent="0.25">
      <c r="A57" s="66"/>
      <c r="B57" s="146"/>
      <c r="C57" s="137"/>
      <c r="D57" s="7"/>
      <c r="E57" s="60"/>
      <c r="F57" s="857"/>
      <c r="G57" s="351"/>
      <c r="H57" s="7"/>
      <c r="I57" s="60"/>
      <c r="J57" s="352"/>
      <c r="K57" s="351"/>
      <c r="L57" s="60"/>
      <c r="M57" s="7"/>
      <c r="N57" s="352"/>
      <c r="O57" s="87"/>
      <c r="P57" s="326"/>
      <c r="Q57" s="857"/>
    </row>
    <row r="58" spans="1:17" ht="15.75" x14ac:dyDescent="0.25">
      <c r="A58" s="66"/>
      <c r="B58" s="146" t="s">
        <v>349</v>
      </c>
      <c r="C58" s="531">
        <v>8.5000000000000006E-2</v>
      </c>
      <c r="D58" s="25">
        <f>C58</f>
        <v>8.5000000000000006E-2</v>
      </c>
      <c r="E58" s="521">
        <f>C58</f>
        <v>8.5000000000000006E-2</v>
      </c>
      <c r="F58" s="858">
        <v>8.0399999999999999E-2</v>
      </c>
      <c r="G58" s="435">
        <f>F58</f>
        <v>8.0399999999999999E-2</v>
      </c>
      <c r="H58" s="25">
        <f>F58</f>
        <v>8.0399999999999999E-2</v>
      </c>
      <c r="I58" s="521">
        <v>7.5499999999999998E-2</v>
      </c>
      <c r="J58" s="432">
        <f>I58</f>
        <v>7.5499999999999998E-2</v>
      </c>
      <c r="K58" s="433">
        <f>I58</f>
        <v>7.5499999999999998E-2</v>
      </c>
      <c r="L58" s="802">
        <v>7.4999999999999997E-2</v>
      </c>
      <c r="M58" s="436">
        <f>L58</f>
        <v>7.4999999999999997E-2</v>
      </c>
      <c r="N58" s="437">
        <f>L58</f>
        <v>7.4999999999999997E-2</v>
      </c>
      <c r="O58" s="22"/>
      <c r="P58" s="125"/>
      <c r="Q58" s="123"/>
    </row>
    <row r="59" spans="1:17" ht="15.75" x14ac:dyDescent="0.25">
      <c r="A59" s="66"/>
      <c r="B59" s="146" t="s">
        <v>350</v>
      </c>
      <c r="C59" s="803">
        <v>366</v>
      </c>
      <c r="D59" s="17">
        <f>C59</f>
        <v>366</v>
      </c>
      <c r="E59" s="91">
        <f>C59</f>
        <v>366</v>
      </c>
      <c r="F59" s="123">
        <v>365</v>
      </c>
      <c r="G59" s="332">
        <f>F59</f>
        <v>365</v>
      </c>
      <c r="H59" s="17">
        <f>F59</f>
        <v>365</v>
      </c>
      <c r="I59" s="91">
        <f>F59</f>
        <v>365</v>
      </c>
      <c r="J59" s="348">
        <f>F59</f>
        <v>365</v>
      </c>
      <c r="K59" s="332">
        <f>F59</f>
        <v>365</v>
      </c>
      <c r="L59" s="91">
        <f>G59</f>
        <v>365</v>
      </c>
      <c r="M59" s="17">
        <f>F59</f>
        <v>365</v>
      </c>
      <c r="N59" s="348">
        <f>F59</f>
        <v>365</v>
      </c>
      <c r="O59" s="22">
        <f>N59</f>
        <v>365</v>
      </c>
      <c r="P59" s="125"/>
      <c r="Q59" s="123"/>
    </row>
    <row r="60" spans="1:17" ht="15.75" x14ac:dyDescent="0.25">
      <c r="A60" s="66"/>
      <c r="B60" s="146" t="s">
        <v>351</v>
      </c>
      <c r="C60" s="803">
        <v>31</v>
      </c>
      <c r="D60" s="17">
        <v>30</v>
      </c>
      <c r="E60" s="91">
        <v>31</v>
      </c>
      <c r="F60" s="123">
        <v>31</v>
      </c>
      <c r="G60" s="332">
        <v>28</v>
      </c>
      <c r="H60" s="17">
        <v>31</v>
      </c>
      <c r="I60" s="91">
        <v>30</v>
      </c>
      <c r="J60" s="348">
        <v>31</v>
      </c>
      <c r="K60" s="332">
        <v>30</v>
      </c>
      <c r="L60" s="91">
        <v>31</v>
      </c>
      <c r="M60" s="17">
        <v>31</v>
      </c>
      <c r="N60" s="348">
        <v>30</v>
      </c>
      <c r="O60" s="22">
        <f>SUM(C60:N60)</f>
        <v>365</v>
      </c>
      <c r="P60" s="125"/>
      <c r="Q60" s="123"/>
    </row>
    <row r="61" spans="1:17" ht="15.75" x14ac:dyDescent="0.25">
      <c r="A61" s="66"/>
      <c r="B61" s="146" t="s">
        <v>352</v>
      </c>
      <c r="C61" s="531">
        <f>(C58/C59)*C60</f>
        <v>7.1994535519125692E-3</v>
      </c>
      <c r="D61" s="25">
        <f t="shared" ref="D61:N61" si="27">(D58/D59)*D60</f>
        <v>6.9672131147540993E-3</v>
      </c>
      <c r="E61" s="521">
        <f t="shared" si="27"/>
        <v>7.1994535519125692E-3</v>
      </c>
      <c r="F61" s="858">
        <f t="shared" si="27"/>
        <v>6.8284931506849313E-3</v>
      </c>
      <c r="G61" s="435">
        <f t="shared" si="27"/>
        <v>6.1676712328767123E-3</v>
      </c>
      <c r="H61" s="25">
        <f t="shared" si="27"/>
        <v>6.8284931506849313E-3</v>
      </c>
      <c r="I61" s="521">
        <f t="shared" si="27"/>
        <v>6.2054794520547945E-3</v>
      </c>
      <c r="J61" s="432">
        <f t="shared" si="27"/>
        <v>6.4123287671232878E-3</v>
      </c>
      <c r="K61" s="433">
        <f t="shared" si="27"/>
        <v>6.2054794520547945E-3</v>
      </c>
      <c r="L61" s="521">
        <f t="shared" si="27"/>
        <v>6.3698630136986298E-3</v>
      </c>
      <c r="M61" s="25">
        <f t="shared" si="27"/>
        <v>6.3698630136986298E-3</v>
      </c>
      <c r="N61" s="432">
        <f t="shared" si="27"/>
        <v>6.1643835616438354E-3</v>
      </c>
      <c r="O61" s="870">
        <f>SUM(C61:N61)</f>
        <v>7.8918175013099792E-2</v>
      </c>
      <c r="P61" s="125"/>
      <c r="Q61" s="123"/>
    </row>
    <row r="62" spans="1:17" ht="15.75" x14ac:dyDescent="0.25">
      <c r="A62" s="804"/>
      <c r="B62" s="146" t="s">
        <v>353</v>
      </c>
      <c r="C62" s="805">
        <v>7.1999999999999998E-3</v>
      </c>
      <c r="D62" s="738">
        <v>7.0000000000000001E-3</v>
      </c>
      <c r="E62" s="807">
        <v>7.1999999999999998E-3</v>
      </c>
      <c r="F62" s="859">
        <v>6.7999999999999996E-3</v>
      </c>
      <c r="G62" s="806">
        <v>6.1999999999999998E-3</v>
      </c>
      <c r="H62" s="738">
        <v>6.7999999999999996E-3</v>
      </c>
      <c r="I62" s="807">
        <v>6.1999999999999998E-3</v>
      </c>
      <c r="J62" s="808">
        <v>6.4000000000000003E-3</v>
      </c>
      <c r="K62" s="809">
        <v>6.1999999999999998E-3</v>
      </c>
      <c r="L62" s="807">
        <v>6.4000000000000003E-3</v>
      </c>
      <c r="M62" s="738">
        <v>6.4000000000000003E-3</v>
      </c>
      <c r="N62" s="808">
        <v>6.1999999999999998E-3</v>
      </c>
      <c r="O62" s="871">
        <f>SUM(C62:N62)</f>
        <v>7.9000000000000001E-2</v>
      </c>
      <c r="P62" s="810"/>
      <c r="Q62" s="873"/>
    </row>
    <row r="63" spans="1:17" ht="16.5" thickBot="1" x14ac:dyDescent="0.3">
      <c r="A63" s="811"/>
      <c r="B63" s="147" t="s">
        <v>75</v>
      </c>
      <c r="C63" s="532">
        <f>C61-C62</f>
        <v>-5.464480874305816E-7</v>
      </c>
      <c r="D63" s="533">
        <f t="shared" ref="D63:N63" si="28">D61-D62</f>
        <v>-3.2786885245900815E-5</v>
      </c>
      <c r="E63" s="535">
        <f t="shared" si="28"/>
        <v>-5.464480874305816E-7</v>
      </c>
      <c r="F63" s="860">
        <f t="shared" si="28"/>
        <v>2.8493150684931641E-5</v>
      </c>
      <c r="G63" s="534">
        <f t="shared" si="28"/>
        <v>-3.2328767123287507E-5</v>
      </c>
      <c r="H63" s="533">
        <f t="shared" si="28"/>
        <v>2.8493150684931641E-5</v>
      </c>
      <c r="I63" s="535">
        <f t="shared" si="28"/>
        <v>5.4794520547947131E-6</v>
      </c>
      <c r="J63" s="536">
        <f t="shared" si="28"/>
        <v>1.2328767123287454E-5</v>
      </c>
      <c r="K63" s="534">
        <f t="shared" si="28"/>
        <v>5.4794520547947131E-6</v>
      </c>
      <c r="L63" s="535">
        <f t="shared" si="28"/>
        <v>-3.0136986301370489E-5</v>
      </c>
      <c r="M63" s="533">
        <f t="shared" si="28"/>
        <v>-3.0136986301370489E-5</v>
      </c>
      <c r="N63" s="536">
        <f t="shared" si="28"/>
        <v>-3.5616438356164334E-5</v>
      </c>
      <c r="O63" s="872">
        <f>SUM(C63:N63)</f>
        <v>-8.1824986900214634E-5</v>
      </c>
      <c r="P63" s="812"/>
      <c r="Q63" s="874"/>
    </row>
    <row r="65" spans="1:17" ht="15.75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143"/>
      <c r="L65" s="22"/>
      <c r="M65" s="22"/>
      <c r="N65" s="22"/>
      <c r="O65" s="22"/>
      <c r="P65" s="22"/>
      <c r="Q65" s="22"/>
    </row>
    <row r="66" spans="1:17" ht="15.75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 ht="15.75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 ht="15.75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 ht="15.75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 ht="15.75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 ht="15.75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 ht="15.75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</sheetData>
  <printOptions horizontalCentered="1"/>
  <pageMargins left="0" right="0" top="1" bottom="0.5" header="0.5" footer="0.25"/>
  <pageSetup scale="73" orientation="portrait" r:id="rId1"/>
  <headerFooter alignWithMargins="0">
    <oddHeader>&amp;C&amp;"Times New Roman,Bold"&amp;14San Diego Gas &amp; Electric Co.
TRBAA Monthly Activities Applicable to BK1 and BK2 
For the 12-Month Period Ending September 30,&amp;KFF0000 &amp;K0000002025
2026 Annual TRBAA Rate Filing</oddHeader>
    <oddFooter>&amp;L&amp;"Times New Roman,Regular"&amp;12&amp;F&amp;C&amp;"Times New Roman,Regular"&amp;12Page 4.&amp;P&amp;R&amp;"Times New Roman,Regular"&amp;12&amp;A</oddFooter>
  </headerFooter>
  <colBreaks count="3" manualBreakCount="3">
    <brk id="6" max="43" man="1"/>
    <brk id="10" max="43" man="1"/>
    <brk id="14" max="43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D12"/>
  <sheetViews>
    <sheetView zoomScale="80" zoomScaleNormal="80" workbookViewId="0">
      <selection activeCell="B32" sqref="B32"/>
    </sheetView>
  </sheetViews>
  <sheetFormatPr defaultColWidth="9.28515625" defaultRowHeight="12.75" x14ac:dyDescent="0.2"/>
  <cols>
    <col min="1" max="1" width="5.5703125" style="782" bestFit="1" customWidth="1"/>
    <col min="2" max="2" width="135.5703125" style="242" customWidth="1"/>
    <col min="3" max="3" width="5.5703125" style="782" customWidth="1"/>
    <col min="4" max="4" width="5.5703125" style="242" hidden="1" customWidth="1"/>
    <col min="5" max="5" width="11.5703125" style="242" customWidth="1"/>
    <col min="6" max="7" width="9.28515625" style="242"/>
    <col min="8" max="8" width="12.5703125" style="242" bestFit="1" customWidth="1"/>
    <col min="9" max="16384" width="9.28515625" style="242"/>
  </cols>
  <sheetData>
    <row r="1" spans="1:4" ht="16.5" thickBot="1" x14ac:dyDescent="0.3">
      <c r="A1" s="371"/>
      <c r="B1" s="88"/>
      <c r="C1" s="466"/>
      <c r="D1" s="22"/>
    </row>
    <row r="2" spans="1:4" ht="15.75" x14ac:dyDescent="0.25">
      <c r="A2" s="616" t="s">
        <v>8</v>
      </c>
      <c r="B2" s="611"/>
      <c r="C2" s="617" t="s">
        <v>8</v>
      </c>
      <c r="D2" s="59"/>
    </row>
    <row r="3" spans="1:4" ht="16.5" x14ac:dyDescent="0.25">
      <c r="A3" s="618" t="s">
        <v>11</v>
      </c>
      <c r="B3" s="620" t="s">
        <v>354</v>
      </c>
      <c r="C3" s="619" t="s">
        <v>11</v>
      </c>
      <c r="D3" s="64"/>
    </row>
    <row r="4" spans="1:4" ht="22.5" x14ac:dyDescent="0.3">
      <c r="A4" s="612"/>
      <c r="B4" s="145"/>
      <c r="C4" s="613"/>
      <c r="D4" s="144"/>
    </row>
    <row r="5" spans="1:4" ht="35.25" x14ac:dyDescent="0.3">
      <c r="A5" s="355">
        <v>1</v>
      </c>
      <c r="B5" s="882" t="s">
        <v>355</v>
      </c>
      <c r="C5" s="359">
        <v>1</v>
      </c>
      <c r="D5" s="144"/>
    </row>
    <row r="6" spans="1:4" ht="22.5" x14ac:dyDescent="0.3">
      <c r="A6" s="355">
        <f>A5+1</f>
        <v>2</v>
      </c>
      <c r="B6" s="145"/>
      <c r="C6" s="359">
        <f>C5+1</f>
        <v>2</v>
      </c>
      <c r="D6" s="144"/>
    </row>
    <row r="7" spans="1:4" ht="35.25" x14ac:dyDescent="0.3">
      <c r="A7" s="355">
        <f t="shared" ref="A7:A9" si="0">A6+1</f>
        <v>3</v>
      </c>
      <c r="B7" s="882" t="s">
        <v>356</v>
      </c>
      <c r="C7" s="359">
        <f t="shared" ref="C7" si="1">C6+1</f>
        <v>3</v>
      </c>
      <c r="D7" s="144"/>
    </row>
    <row r="8" spans="1:4" ht="22.5" x14ac:dyDescent="0.3">
      <c r="A8" s="355">
        <f t="shared" si="0"/>
        <v>4</v>
      </c>
      <c r="B8" s="22"/>
      <c r="C8" s="359">
        <f t="shared" ref="C8:C9" si="2">C7+1</f>
        <v>4</v>
      </c>
      <c r="D8" s="144"/>
    </row>
    <row r="9" spans="1:4" ht="50.25" x14ac:dyDescent="0.3">
      <c r="A9" s="355">
        <f t="shared" si="0"/>
        <v>5</v>
      </c>
      <c r="B9" s="883" t="s">
        <v>357</v>
      </c>
      <c r="C9" s="359">
        <f t="shared" si="2"/>
        <v>5</v>
      </c>
      <c r="D9" s="144"/>
    </row>
    <row r="10" spans="1:4" ht="16.5" thickBot="1" x14ac:dyDescent="0.25">
      <c r="A10" s="614"/>
      <c r="B10" s="55"/>
      <c r="C10" s="615"/>
      <c r="D10" s="142"/>
    </row>
    <row r="11" spans="1:4" x14ac:dyDescent="0.2">
      <c r="A11" s="360"/>
      <c r="B11" s="1"/>
      <c r="C11" s="360"/>
      <c r="D11" s="1"/>
    </row>
    <row r="12" spans="1:4" x14ac:dyDescent="0.2">
      <c r="A12" s="360"/>
      <c r="B12" s="1"/>
      <c r="C12" s="360"/>
      <c r="D12" s="1"/>
    </row>
  </sheetData>
  <phoneticPr fontId="15" type="noConversion"/>
  <printOptions horizontalCentered="1"/>
  <pageMargins left="0.5" right="0.5" top="1.25" bottom="0.5" header="0.5" footer="0.25"/>
  <pageSetup scale="90" orientation="landscape" r:id="rId1"/>
  <headerFooter alignWithMargins="0">
    <oddHeader xml:space="preserve">&amp;C&amp;"Times New Roman,Bold"&amp;14San Diego Gas &amp;&amp; Electric Co.
2026 &amp;K000000TRBAA Rate Filing
Monthly TRBAA Details for Period Ending September 30, 2025
</oddHeader>
    <oddFooter>&amp;L&amp;"Times New Roman,Regular"&amp;11&amp;F&amp;C&amp;"Times New Roman,Regular"&amp;11Page 4.5&amp;R&amp;"Times New Roman,Regular"&amp;11&amp;A</oddFooter>
  </headerFooter>
  <colBreaks count="1" manualBreakCount="1">
    <brk id="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S52"/>
  <sheetViews>
    <sheetView zoomScale="80" zoomScaleNormal="80" workbookViewId="0">
      <pane xSplit="2" ySplit="5" topLeftCell="C6" activePane="bottomRight" state="frozen"/>
      <selection pane="topRight"/>
      <selection pane="bottomLeft"/>
      <selection pane="bottomRight" activeCell="C24" sqref="C24"/>
    </sheetView>
  </sheetViews>
  <sheetFormatPr defaultColWidth="8.7109375" defaultRowHeight="15.75" x14ac:dyDescent="0.25"/>
  <cols>
    <col min="1" max="1" width="5.5703125" style="22" customWidth="1"/>
    <col min="2" max="2" width="65.5703125" style="22" customWidth="1"/>
    <col min="3" max="15" width="15.5703125" style="22" customWidth="1"/>
    <col min="16" max="16" width="40.5703125" style="22" customWidth="1"/>
    <col min="17" max="17" width="5.5703125" style="22" customWidth="1"/>
    <col min="18" max="18" width="8.7109375" style="22"/>
    <col min="19" max="19" width="14.42578125" style="22" bestFit="1" customWidth="1"/>
    <col min="20" max="16384" width="8.7109375" style="22"/>
  </cols>
  <sheetData>
    <row r="2" spans="1:19" ht="16.5" thickBot="1" x14ac:dyDescent="0.3">
      <c r="C2" s="3"/>
    </row>
    <row r="3" spans="1:19" x14ac:dyDescent="0.25">
      <c r="A3" s="286"/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4"/>
    </row>
    <row r="4" spans="1:19" x14ac:dyDescent="0.25">
      <c r="A4" s="547" t="s">
        <v>8</v>
      </c>
      <c r="B4" s="94"/>
      <c r="C4" s="75" t="s">
        <v>288</v>
      </c>
      <c r="D4" s="75" t="s">
        <v>289</v>
      </c>
      <c r="E4" s="75" t="s">
        <v>290</v>
      </c>
      <c r="F4" s="75" t="s">
        <v>291</v>
      </c>
      <c r="G4" s="75" t="s">
        <v>292</v>
      </c>
      <c r="H4" s="75" t="s">
        <v>293</v>
      </c>
      <c r="I4" s="75" t="s">
        <v>294</v>
      </c>
      <c r="J4" s="75" t="s">
        <v>57</v>
      </c>
      <c r="K4" s="75" t="s">
        <v>58</v>
      </c>
      <c r="L4" s="75" t="s">
        <v>59</v>
      </c>
      <c r="M4" s="75" t="s">
        <v>295</v>
      </c>
      <c r="N4" s="75" t="s">
        <v>296</v>
      </c>
      <c r="O4" s="75"/>
      <c r="P4" s="75"/>
      <c r="Q4" s="548" t="s">
        <v>8</v>
      </c>
    </row>
    <row r="5" spans="1:19" ht="16.5" thickBot="1" x14ac:dyDescent="0.3">
      <c r="A5" s="565" t="s">
        <v>11</v>
      </c>
      <c r="B5" s="153" t="s">
        <v>70</v>
      </c>
      <c r="C5" s="153">
        <v>2024</v>
      </c>
      <c r="D5" s="153">
        <f>C5</f>
        <v>2024</v>
      </c>
      <c r="E5" s="153">
        <f>C5</f>
        <v>2024</v>
      </c>
      <c r="F5" s="153">
        <f>$C5+1</f>
        <v>2025</v>
      </c>
      <c r="G5" s="153">
        <f t="shared" ref="G5:N5" si="0">$C5+1</f>
        <v>2025</v>
      </c>
      <c r="H5" s="153">
        <f t="shared" si="0"/>
        <v>2025</v>
      </c>
      <c r="I5" s="153">
        <f t="shared" si="0"/>
        <v>2025</v>
      </c>
      <c r="J5" s="153">
        <f t="shared" si="0"/>
        <v>2025</v>
      </c>
      <c r="K5" s="153">
        <f t="shared" si="0"/>
        <v>2025</v>
      </c>
      <c r="L5" s="153">
        <f t="shared" si="0"/>
        <v>2025</v>
      </c>
      <c r="M5" s="153">
        <f t="shared" si="0"/>
        <v>2025</v>
      </c>
      <c r="N5" s="153">
        <f t="shared" si="0"/>
        <v>2025</v>
      </c>
      <c r="O5" s="153" t="s">
        <v>18</v>
      </c>
      <c r="P5" s="153" t="s">
        <v>16</v>
      </c>
      <c r="Q5" s="566" t="s">
        <v>11</v>
      </c>
    </row>
    <row r="6" spans="1:19" x14ac:dyDescent="0.25">
      <c r="A6" s="332"/>
      <c r="B6" s="76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348"/>
    </row>
    <row r="7" spans="1:19" x14ac:dyDescent="0.25">
      <c r="A7" s="262">
        <v>1</v>
      </c>
      <c r="B7" s="94" t="s">
        <v>358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26"/>
      <c r="Q7" s="263">
        <v>1</v>
      </c>
      <c r="S7" s="468"/>
    </row>
    <row r="8" spans="1:19" x14ac:dyDescent="0.25">
      <c r="A8" s="262">
        <f t="shared" ref="A8:A14" si="1">A7+1</f>
        <v>2</v>
      </c>
      <c r="B8" s="17" t="s">
        <v>359</v>
      </c>
      <c r="C8" s="141">
        <v>-2564785.29</v>
      </c>
      <c r="D8" s="141">
        <v>-2637922.4</v>
      </c>
      <c r="E8" s="327">
        <v>-1210582.8400000001</v>
      </c>
      <c r="F8" s="141">
        <v>-596143.61</v>
      </c>
      <c r="G8" s="327">
        <v>-2707726.8899999997</v>
      </c>
      <c r="H8" s="141">
        <v>-2549646.59</v>
      </c>
      <c r="I8" s="327">
        <v>-2469522.23</v>
      </c>
      <c r="J8" s="141">
        <v>-4057837.44</v>
      </c>
      <c r="K8" s="327">
        <v>-3500894.65</v>
      </c>
      <c r="L8" s="141">
        <v>-3883491.1000000006</v>
      </c>
      <c r="M8" s="327">
        <v>-5527772.5</v>
      </c>
      <c r="N8" s="141">
        <v>-6493672.3600000003</v>
      </c>
      <c r="O8" s="256">
        <f>SUM(C8:N8)</f>
        <v>-38199997.899999999</v>
      </c>
      <c r="P8" s="33" t="s">
        <v>360</v>
      </c>
      <c r="Q8" s="263">
        <f t="shared" ref="Q8:Q14" si="2">Q7+1</f>
        <v>2</v>
      </c>
      <c r="S8" s="469"/>
    </row>
    <row r="9" spans="1:19" x14ac:dyDescent="0.25">
      <c r="A9" s="262">
        <f t="shared" si="1"/>
        <v>3</v>
      </c>
      <c r="B9" s="17" t="s">
        <v>361</v>
      </c>
      <c r="C9" s="44">
        <v>3588.79</v>
      </c>
      <c r="D9" s="44">
        <v>0</v>
      </c>
      <c r="E9" s="44">
        <v>98.87</v>
      </c>
      <c r="F9" s="44">
        <v>0</v>
      </c>
      <c r="G9" s="44">
        <v>-29.13</v>
      </c>
      <c r="H9" s="44">
        <v>-134.46</v>
      </c>
      <c r="I9" s="44">
        <v>0</v>
      </c>
      <c r="J9" s="44">
        <v>27645.52</v>
      </c>
      <c r="K9" s="44">
        <v>0</v>
      </c>
      <c r="L9" s="44">
        <v>-1.08</v>
      </c>
      <c r="M9" s="44">
        <v>0</v>
      </c>
      <c r="N9" s="44">
        <v>0</v>
      </c>
      <c r="O9" s="44">
        <f>SUM(C9:N9)</f>
        <v>31168.51</v>
      </c>
      <c r="P9" s="33" t="s">
        <v>362</v>
      </c>
      <c r="Q9" s="263">
        <f t="shared" si="2"/>
        <v>3</v>
      </c>
      <c r="S9" s="469"/>
    </row>
    <row r="10" spans="1:19" s="470" customFormat="1" x14ac:dyDescent="0.25">
      <c r="A10" s="621">
        <f t="shared" si="1"/>
        <v>4</v>
      </c>
      <c r="B10" s="17" t="s">
        <v>363</v>
      </c>
      <c r="C10" s="467">
        <f t="shared" ref="C10:N10" si="3">SUM(C8:C9)</f>
        <v>-2561196.5</v>
      </c>
      <c r="D10" s="467">
        <f t="shared" si="3"/>
        <v>-2637922.4</v>
      </c>
      <c r="E10" s="467">
        <f>SUM(E8:E9)</f>
        <v>-1210483.97</v>
      </c>
      <c r="F10" s="467">
        <f t="shared" si="3"/>
        <v>-596143.61</v>
      </c>
      <c r="G10" s="467">
        <f t="shared" si="3"/>
        <v>-2707756.0199999996</v>
      </c>
      <c r="H10" s="467">
        <f t="shared" si="3"/>
        <v>-2549781.0499999998</v>
      </c>
      <c r="I10" s="467">
        <f t="shared" si="3"/>
        <v>-2469522.23</v>
      </c>
      <c r="J10" s="467">
        <f t="shared" si="3"/>
        <v>-4030191.92</v>
      </c>
      <c r="K10" s="467">
        <f t="shared" si="3"/>
        <v>-3500894.65</v>
      </c>
      <c r="L10" s="467">
        <f t="shared" si="3"/>
        <v>-3883492.1800000006</v>
      </c>
      <c r="M10" s="467">
        <f t="shared" si="3"/>
        <v>-5527772.5</v>
      </c>
      <c r="N10" s="467">
        <f t="shared" si="3"/>
        <v>-6493672.3600000003</v>
      </c>
      <c r="O10" s="473">
        <f>SUM(O8:O9)</f>
        <v>-38168829.390000001</v>
      </c>
      <c r="P10" s="10"/>
      <c r="Q10" s="263">
        <f t="shared" si="2"/>
        <v>4</v>
      </c>
    </row>
    <row r="11" spans="1:19" ht="16.5" thickBot="1" x14ac:dyDescent="0.3">
      <c r="A11" s="300">
        <f>A10+1</f>
        <v>5</v>
      </c>
      <c r="B11" s="99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412"/>
      <c r="P11" s="57"/>
      <c r="Q11" s="301">
        <f>Q10+1</f>
        <v>5</v>
      </c>
    </row>
    <row r="12" spans="1:19" x14ac:dyDescent="0.25">
      <c r="A12" s="262">
        <f t="shared" si="1"/>
        <v>6</v>
      </c>
      <c r="B12" s="98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228"/>
      <c r="P12" s="26"/>
      <c r="Q12" s="263">
        <f t="shared" si="2"/>
        <v>6</v>
      </c>
    </row>
    <row r="13" spans="1:19" ht="16.5" thickBot="1" x14ac:dyDescent="0.3">
      <c r="A13" s="262">
        <f>A12+1</f>
        <v>7</v>
      </c>
      <c r="B13" s="94" t="s">
        <v>364</v>
      </c>
      <c r="C13" s="232">
        <v>1500</v>
      </c>
      <c r="D13" s="232">
        <v>1500</v>
      </c>
      <c r="E13" s="232">
        <v>1500</v>
      </c>
      <c r="F13" s="232">
        <v>1500</v>
      </c>
      <c r="G13" s="232">
        <v>1500</v>
      </c>
      <c r="H13" s="232">
        <v>1500</v>
      </c>
      <c r="I13" s="232">
        <v>1500</v>
      </c>
      <c r="J13" s="232">
        <v>1500</v>
      </c>
      <c r="K13" s="232">
        <v>1500</v>
      </c>
      <c r="L13" s="232">
        <v>1500</v>
      </c>
      <c r="M13" s="232">
        <v>1500</v>
      </c>
      <c r="N13" s="232">
        <v>1500</v>
      </c>
      <c r="O13" s="192">
        <f>SUM(C13:N13)</f>
        <v>18000</v>
      </c>
      <c r="P13" s="10" t="s">
        <v>365</v>
      </c>
      <c r="Q13" s="263">
        <f>Q12+1</f>
        <v>7</v>
      </c>
    </row>
    <row r="14" spans="1:19" ht="17.25" thickTop="1" thickBot="1" x14ac:dyDescent="0.3">
      <c r="A14" s="300">
        <f t="shared" si="1"/>
        <v>8</v>
      </c>
      <c r="B14" s="81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412"/>
      <c r="P14" s="57"/>
      <c r="Q14" s="301">
        <f t="shared" si="2"/>
        <v>8</v>
      </c>
    </row>
    <row r="15" spans="1:19" x14ac:dyDescent="0.25">
      <c r="A15" s="262">
        <f>A14+1</f>
        <v>9</v>
      </c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28"/>
      <c r="P15" s="10"/>
      <c r="Q15" s="263">
        <f t="shared" ref="Q15:Q20" si="4">Q14+1</f>
        <v>9</v>
      </c>
    </row>
    <row r="16" spans="1:19" ht="16.5" thickBot="1" x14ac:dyDescent="0.3">
      <c r="A16" s="262">
        <f>A15+1</f>
        <v>10</v>
      </c>
      <c r="B16" s="74" t="s">
        <v>366</v>
      </c>
      <c r="C16" s="232">
        <f>'WP 10 ETC Costs'!D48</f>
        <v>-37691.936400000006</v>
      </c>
      <c r="D16" s="232">
        <f>'WP 10 ETC Costs'!E48</f>
        <v>1547.0199999999745</v>
      </c>
      <c r="E16" s="232">
        <f>'WP 10 ETC Costs'!F48</f>
        <v>-39959.269999999997</v>
      </c>
      <c r="F16" s="232">
        <f>'WP 10 ETC Costs'!G48</f>
        <v>-20206.699999999993</v>
      </c>
      <c r="G16" s="232">
        <f>'WP 10 ETC Costs'!H48</f>
        <v>-33290.790000000095</v>
      </c>
      <c r="H16" s="232">
        <f>'WP 10 ETC Costs'!I48</f>
        <v>-8321.7699999999622</v>
      </c>
      <c r="I16" s="232">
        <f>'WP 10 ETC Costs'!J48</f>
        <v>11176.389999999938</v>
      </c>
      <c r="J16" s="232">
        <f>'WP 10 ETC Costs'!K48</f>
        <v>13199.319999999963</v>
      </c>
      <c r="K16" s="232">
        <f>'WP 10 ETC Costs'!L48</f>
        <v>-9473.9899999999834</v>
      </c>
      <c r="L16" s="232">
        <f>'WP 10 ETC Costs'!M48</f>
        <v>-98229.600730000078</v>
      </c>
      <c r="M16" s="232">
        <f>'WP 10 ETC Costs'!N48</f>
        <v>-77236.260000000024</v>
      </c>
      <c r="N16" s="232">
        <f>'WP 10 ETC Costs'!O48</f>
        <v>-83995.520150000259</v>
      </c>
      <c r="O16" s="192">
        <f>SUM(C16:N16)</f>
        <v>-382483.10728000058</v>
      </c>
      <c r="P16" s="10" t="s">
        <v>486</v>
      </c>
      <c r="Q16" s="263">
        <f t="shared" si="4"/>
        <v>10</v>
      </c>
    </row>
    <row r="17" spans="1:17" ht="17.25" thickTop="1" thickBot="1" x14ac:dyDescent="0.3">
      <c r="A17" s="300">
        <f>A16+1</f>
        <v>11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471"/>
      <c r="P17" s="57"/>
      <c r="Q17" s="301">
        <f t="shared" si="4"/>
        <v>11</v>
      </c>
    </row>
    <row r="18" spans="1:17" x14ac:dyDescent="0.25">
      <c r="A18" s="262">
        <f>A17+1</f>
        <v>12</v>
      </c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228"/>
      <c r="P18" s="10"/>
      <c r="Q18" s="263">
        <f t="shared" si="4"/>
        <v>12</v>
      </c>
    </row>
    <row r="19" spans="1:17" ht="16.5" thickBot="1" x14ac:dyDescent="0.3">
      <c r="A19" s="262">
        <f t="shared" ref="A19:A20" si="5">A18+1</f>
        <v>13</v>
      </c>
      <c r="B19" s="94" t="s">
        <v>367</v>
      </c>
      <c r="C19" s="232">
        <f>'WP 12 PTO'!D17</f>
        <v>45.436400000000006</v>
      </c>
      <c r="D19" s="232">
        <f>'WP 12 PTO'!E17</f>
        <v>-1684.73</v>
      </c>
      <c r="E19" s="232">
        <f>'WP 12 PTO'!F17</f>
        <v>9817.14</v>
      </c>
      <c r="F19" s="232">
        <f>'WP 12 PTO'!G17</f>
        <v>5272.84</v>
      </c>
      <c r="G19" s="232">
        <f>'WP 12 PTO'!H17</f>
        <v>584235.94000000006</v>
      </c>
      <c r="H19" s="232">
        <f>'WP 12 PTO'!I17</f>
        <v>-243469.66000000003</v>
      </c>
      <c r="I19" s="232">
        <f>'WP 12 PTO'!J17</f>
        <v>-708536.49</v>
      </c>
      <c r="J19" s="232">
        <f>'WP 12 PTO'!K17</f>
        <v>-420256.04</v>
      </c>
      <c r="K19" s="232">
        <f>'WP 12 PTO'!L17</f>
        <v>-409471.99</v>
      </c>
      <c r="L19" s="232">
        <f>'WP 12 PTO'!M17</f>
        <v>-382624.48926999996</v>
      </c>
      <c r="M19" s="232">
        <f>'WP 12 PTO'!N17</f>
        <v>32087.87</v>
      </c>
      <c r="N19" s="232">
        <f>'WP 12 PTO'!O17</f>
        <v>-4056877.0898500001</v>
      </c>
      <c r="O19" s="192">
        <f>SUM(C19:N19)</f>
        <v>-5591461.26272</v>
      </c>
      <c r="P19" s="10" t="s">
        <v>478</v>
      </c>
      <c r="Q19" s="263">
        <f t="shared" si="4"/>
        <v>13</v>
      </c>
    </row>
    <row r="20" spans="1:17" ht="17.25" thickTop="1" thickBot="1" x14ac:dyDescent="0.3">
      <c r="A20" s="300">
        <f t="shared" si="5"/>
        <v>14</v>
      </c>
      <c r="B20" s="81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3"/>
      <c r="P20" s="57"/>
      <c r="Q20" s="301">
        <f t="shared" si="4"/>
        <v>14</v>
      </c>
    </row>
    <row r="22" spans="1:17" x14ac:dyDescent="0.25">
      <c r="A22" s="37"/>
    </row>
    <row r="23" spans="1:17" x14ac:dyDescent="0.25">
      <c r="A23" s="37"/>
      <c r="B23" s="22" t="s">
        <v>368</v>
      </c>
    </row>
    <row r="24" spans="1:17" ht="18.75" x14ac:dyDescent="0.25">
      <c r="A24" s="510"/>
      <c r="B24" s="91" t="s">
        <v>18</v>
      </c>
      <c r="C24" s="143">
        <f>C10+C13+C16+C19</f>
        <v>-2597343</v>
      </c>
      <c r="D24" s="143">
        <f t="shared" ref="D24:N24" si="6">D10+D13+D16+D19</f>
        <v>-2636560.11</v>
      </c>
      <c r="E24" s="143">
        <f t="shared" si="6"/>
        <v>-1239126.1000000001</v>
      </c>
      <c r="F24" s="143">
        <f t="shared" si="6"/>
        <v>-609577.47</v>
      </c>
      <c r="G24" s="143">
        <f t="shared" si="6"/>
        <v>-2155310.8699999996</v>
      </c>
      <c r="H24" s="143">
        <f t="shared" si="6"/>
        <v>-2800072.48</v>
      </c>
      <c r="I24" s="143">
        <f t="shared" si="6"/>
        <v>-3165382.33</v>
      </c>
      <c r="J24" s="143">
        <f t="shared" si="6"/>
        <v>-4435748.6399999997</v>
      </c>
      <c r="K24" s="143">
        <f t="shared" si="6"/>
        <v>-3918340.63</v>
      </c>
      <c r="L24" s="143">
        <f t="shared" si="6"/>
        <v>-4362846.2700000005</v>
      </c>
      <c r="M24" s="143">
        <f t="shared" si="6"/>
        <v>-5571420.8899999997</v>
      </c>
      <c r="N24" s="143">
        <f t="shared" si="6"/>
        <v>-10633044.970000001</v>
      </c>
      <c r="O24" s="143">
        <f>SUM(C24:N24)</f>
        <v>-44124773.759999998</v>
      </c>
    </row>
    <row r="25" spans="1:17" ht="18.75" x14ac:dyDescent="0.25">
      <c r="A25" s="510"/>
      <c r="B25" s="91" t="s">
        <v>369</v>
      </c>
      <c r="C25" s="143">
        <f>'WP 4 Monthly TRBAA '!C21</f>
        <v>-2597343</v>
      </c>
      <c r="D25" s="143">
        <f>'WP 4 Monthly TRBAA '!D21</f>
        <v>-2636560.11</v>
      </c>
      <c r="E25" s="143">
        <f>'WP 4 Monthly TRBAA '!E21</f>
        <v>-1239126.1000000001</v>
      </c>
      <c r="F25" s="143">
        <f>'WP 4 Monthly TRBAA '!F21</f>
        <v>-609577.47</v>
      </c>
      <c r="G25" s="143">
        <f>'WP 4 Monthly TRBAA '!G21</f>
        <v>-2155310.8699999996</v>
      </c>
      <c r="H25" s="143">
        <f>'WP 4 Monthly TRBAA '!H21</f>
        <v>-2800072.48</v>
      </c>
      <c r="I25" s="143">
        <f>'WP 4 Monthly TRBAA '!I21</f>
        <v>-3165382.33</v>
      </c>
      <c r="J25" s="143">
        <f>'WP 4 Monthly TRBAA '!J21</f>
        <v>-4435748.6399999997</v>
      </c>
      <c r="K25" s="143">
        <f>'WP 4 Monthly TRBAA '!K21</f>
        <v>-3918340.63</v>
      </c>
      <c r="L25" s="143">
        <f>'WP 4 Monthly TRBAA '!L21</f>
        <v>-4362846.2700000005</v>
      </c>
      <c r="M25" s="143">
        <f>'WP 4 Monthly TRBAA '!M21</f>
        <v>-5571420.8899999997</v>
      </c>
      <c r="N25" s="143">
        <f>'WP 4 Monthly TRBAA '!N21</f>
        <v>-10633044.970000001</v>
      </c>
      <c r="O25" s="143">
        <f>SUM(C25:N25)</f>
        <v>-44124773.759999998</v>
      </c>
    </row>
    <row r="26" spans="1:17" ht="19.5" thickBot="1" x14ac:dyDescent="0.3">
      <c r="A26" s="510"/>
      <c r="B26" s="22" t="s">
        <v>75</v>
      </c>
      <c r="C26" s="511">
        <f>C24-C25</f>
        <v>0</v>
      </c>
      <c r="D26" s="511">
        <f t="shared" ref="D26:O26" si="7">D24-D25</f>
        <v>0</v>
      </c>
      <c r="E26" s="511">
        <f t="shared" si="7"/>
        <v>0</v>
      </c>
      <c r="F26" s="511">
        <f t="shared" si="7"/>
        <v>0</v>
      </c>
      <c r="G26" s="511">
        <f t="shared" si="7"/>
        <v>0</v>
      </c>
      <c r="H26" s="511">
        <f t="shared" si="7"/>
        <v>0</v>
      </c>
      <c r="I26" s="511">
        <f t="shared" si="7"/>
        <v>0</v>
      </c>
      <c r="J26" s="511">
        <f t="shared" si="7"/>
        <v>0</v>
      </c>
      <c r="K26" s="511">
        <f t="shared" si="7"/>
        <v>0</v>
      </c>
      <c r="L26" s="511">
        <f t="shared" si="7"/>
        <v>0</v>
      </c>
      <c r="M26" s="511">
        <f t="shared" si="7"/>
        <v>0</v>
      </c>
      <c r="N26" s="511">
        <f>N24-N25</f>
        <v>0</v>
      </c>
      <c r="O26" s="511">
        <f t="shared" si="7"/>
        <v>0</v>
      </c>
    </row>
    <row r="27" spans="1:17" ht="19.5" thickTop="1" x14ac:dyDescent="0.25">
      <c r="A27" s="67"/>
      <c r="C27" s="67"/>
    </row>
    <row r="28" spans="1:17" ht="18.75" x14ac:dyDescent="0.25">
      <c r="A28" s="67"/>
      <c r="C28" s="143"/>
      <c r="O28" s="472"/>
    </row>
    <row r="29" spans="1:17" x14ac:dyDescent="0.25">
      <c r="A29" s="37"/>
    </row>
    <row r="30" spans="1:17" x14ac:dyDescent="0.25">
      <c r="A30" s="37"/>
    </row>
    <row r="31" spans="1:17" x14ac:dyDescent="0.25">
      <c r="A31" s="37"/>
    </row>
    <row r="32" spans="1:17" x14ac:dyDescent="0.25">
      <c r="A32" s="37"/>
    </row>
    <row r="33" spans="1:1" x14ac:dyDescent="0.25">
      <c r="A33" s="37"/>
    </row>
    <row r="34" spans="1:1" x14ac:dyDescent="0.25">
      <c r="A34" s="37"/>
    </row>
    <row r="35" spans="1:1" x14ac:dyDescent="0.25">
      <c r="A35" s="37"/>
    </row>
    <row r="36" spans="1:1" x14ac:dyDescent="0.25">
      <c r="A36" s="37"/>
    </row>
    <row r="37" spans="1:1" x14ac:dyDescent="0.25">
      <c r="A37" s="37"/>
    </row>
    <row r="38" spans="1:1" x14ac:dyDescent="0.25">
      <c r="A38" s="37"/>
    </row>
    <row r="39" spans="1:1" x14ac:dyDescent="0.25">
      <c r="A39" s="37"/>
    </row>
    <row r="40" spans="1:1" x14ac:dyDescent="0.25">
      <c r="A40" s="37"/>
    </row>
    <row r="41" spans="1:1" x14ac:dyDescent="0.25">
      <c r="A41" s="37"/>
    </row>
    <row r="42" spans="1:1" x14ac:dyDescent="0.25">
      <c r="A42" s="37"/>
    </row>
    <row r="43" spans="1:1" x14ac:dyDescent="0.25">
      <c r="A43" s="37"/>
    </row>
    <row r="44" spans="1:1" x14ac:dyDescent="0.25">
      <c r="A44" s="37"/>
    </row>
    <row r="45" spans="1:1" x14ac:dyDescent="0.25">
      <c r="A45" s="37"/>
    </row>
    <row r="46" spans="1:1" x14ac:dyDescent="0.25">
      <c r="A46" s="37"/>
    </row>
    <row r="47" spans="1:1" x14ac:dyDescent="0.25">
      <c r="A47" s="37"/>
    </row>
    <row r="48" spans="1:1" x14ac:dyDescent="0.25">
      <c r="A48" s="37"/>
    </row>
    <row r="49" spans="1:1" x14ac:dyDescent="0.25">
      <c r="A49" s="37"/>
    </row>
    <row r="50" spans="1:1" x14ac:dyDescent="0.25">
      <c r="A50" s="37"/>
    </row>
    <row r="51" spans="1:1" x14ac:dyDescent="0.25">
      <c r="A51" s="37"/>
    </row>
    <row r="52" spans="1:1" x14ac:dyDescent="0.25">
      <c r="A52" s="37"/>
    </row>
  </sheetData>
  <phoneticPr fontId="15" type="noConversion"/>
  <printOptions horizontalCentered="1"/>
  <pageMargins left="0" right="0" top="1" bottom="0.25" header="0.5" footer="0.25"/>
  <pageSetup scale="68" orientation="landscape" r:id="rId1"/>
  <headerFooter alignWithMargins="0">
    <oddHeader xml:space="preserve">&amp;C&amp;"Times New Roman,Bold"&amp;14San Diego Gas &amp;&amp; Electric Company
2026 TRBAA Rate Filing
CAISO Charges Oct. 2024 - Sept. 2025&amp;"Times New Roman,Regular"&amp;K000000
</oddHeader>
    <oddFooter>&amp;L&amp;"Times New Roman,Regular"&amp;12&amp;F&amp;C&amp;"Times New Roman,Regular"&amp;12Page 5.&amp;P&amp;R&amp;"Times New Roman,Regular"&amp;12WP 5  Summary of Monthly CAISO Charges</oddFooter>
  </headerFooter>
  <colBreaks count="1" manualBreakCount="1">
    <brk id="10" max="19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B551-5630-48E8-85A2-2286413BBC13}">
  <sheetPr>
    <pageSetUpPr fitToPage="1"/>
  </sheetPr>
  <dimension ref="A1:M58"/>
  <sheetViews>
    <sheetView zoomScale="80" zoomScaleNormal="80" workbookViewId="0">
      <selection activeCell="C39" sqref="C39"/>
    </sheetView>
  </sheetViews>
  <sheetFormatPr defaultColWidth="8.5703125" defaultRowHeight="12.75" x14ac:dyDescent="0.2"/>
  <cols>
    <col min="1" max="1" width="5.5703125" style="1" customWidth="1"/>
    <col min="2" max="2" width="81.42578125" style="2" customWidth="1"/>
    <col min="3" max="5" width="18.5703125" style="1" customWidth="1"/>
    <col min="6" max="6" width="59.5703125" style="1" bestFit="1" customWidth="1"/>
    <col min="7" max="7" width="5.5703125" style="1" customWidth="1"/>
    <col min="8" max="16384" width="8.5703125" style="1"/>
  </cols>
  <sheetData>
    <row r="1" spans="1:13" x14ac:dyDescent="0.2">
      <c r="H1" s="299"/>
      <c r="I1" s="299"/>
      <c r="J1" s="299"/>
      <c r="K1" s="299"/>
      <c r="L1" s="299"/>
      <c r="M1" s="299"/>
    </row>
    <row r="2" spans="1:13" ht="15.75" x14ac:dyDescent="0.2">
      <c r="A2" s="5" t="s">
        <v>1</v>
      </c>
      <c r="B2" s="622"/>
      <c r="C2" s="622"/>
      <c r="D2" s="622"/>
      <c r="E2" s="622"/>
      <c r="F2" s="622"/>
      <c r="G2" s="622"/>
    </row>
    <row r="3" spans="1:13" ht="15.75" x14ac:dyDescent="0.2">
      <c r="A3" s="977" t="str">
        <f>'WP 7 Wheeling Revenues'!A3:G3</f>
        <v>2026 - TRBAA Rate Filing</v>
      </c>
      <c r="B3" s="977"/>
      <c r="C3" s="977"/>
      <c r="D3" s="977"/>
      <c r="E3" s="977"/>
      <c r="F3" s="977"/>
      <c r="G3" s="977"/>
    </row>
    <row r="4" spans="1:13" ht="15.75" x14ac:dyDescent="0.2">
      <c r="A4" s="5" t="s">
        <v>370</v>
      </c>
      <c r="B4" s="622"/>
      <c r="C4" s="622"/>
      <c r="D4" s="622"/>
      <c r="E4" s="622"/>
      <c r="F4" s="622"/>
      <c r="G4" s="622"/>
    </row>
    <row r="5" spans="1:13" ht="13.5" thickBot="1" x14ac:dyDescent="0.25"/>
    <row r="6" spans="1:13" ht="15.75" x14ac:dyDescent="0.25">
      <c r="A6" s="553" t="s">
        <v>8</v>
      </c>
      <c r="B6" s="623"/>
      <c r="C6" s="623"/>
      <c r="D6" s="623"/>
      <c r="E6" s="624"/>
      <c r="F6" s="457"/>
      <c r="G6" s="555" t="s">
        <v>8</v>
      </c>
    </row>
    <row r="7" spans="1:13" ht="16.5" thickBot="1" x14ac:dyDescent="0.3">
      <c r="A7" s="565" t="s">
        <v>11</v>
      </c>
      <c r="B7" s="625"/>
      <c r="C7" s="625"/>
      <c r="D7" s="625"/>
      <c r="E7" s="626"/>
      <c r="F7" s="153" t="s">
        <v>16</v>
      </c>
      <c r="G7" s="566" t="s">
        <v>11</v>
      </c>
    </row>
    <row r="8" spans="1:13" ht="15.75" x14ac:dyDescent="0.25">
      <c r="A8" s="262">
        <v>1</v>
      </c>
      <c r="B8" s="156" t="s">
        <v>371</v>
      </c>
      <c r="C8" s="627" t="s">
        <v>3</v>
      </c>
      <c r="D8" s="165" t="s">
        <v>4</v>
      </c>
      <c r="E8" s="165" t="s">
        <v>195</v>
      </c>
      <c r="F8" s="36"/>
      <c r="G8" s="263">
        <v>1</v>
      </c>
    </row>
    <row r="9" spans="1:13" ht="15.75" x14ac:dyDescent="0.25">
      <c r="A9" s="262">
        <f t="shared" ref="A9:A27" si="0">A8+1</f>
        <v>2</v>
      </c>
      <c r="B9" s="156"/>
      <c r="C9" s="158"/>
      <c r="D9" s="158"/>
      <c r="E9" s="158"/>
      <c r="F9" s="36"/>
      <c r="G9" s="263">
        <f>A9</f>
        <v>2</v>
      </c>
    </row>
    <row r="10" spans="1:13" ht="16.5" thickBot="1" x14ac:dyDescent="0.3">
      <c r="A10" s="262">
        <f t="shared" si="0"/>
        <v>3</v>
      </c>
      <c r="B10" s="156" t="s">
        <v>372</v>
      </c>
      <c r="C10" s="153" t="s">
        <v>228</v>
      </c>
      <c r="D10" s="153" t="s">
        <v>229</v>
      </c>
      <c r="E10" s="153" t="s">
        <v>18</v>
      </c>
      <c r="F10" s="75"/>
      <c r="G10" s="263">
        <f t="shared" ref="G10:G18" si="1">A10</f>
        <v>3</v>
      </c>
    </row>
    <row r="11" spans="1:13" ht="15.75" x14ac:dyDescent="0.25">
      <c r="A11" s="262">
        <f t="shared" si="0"/>
        <v>4</v>
      </c>
      <c r="B11" s="790"/>
      <c r="C11" s="791"/>
      <c r="D11" s="75"/>
      <c r="E11" s="75"/>
      <c r="F11" s="90"/>
      <c r="G11" s="263">
        <f t="shared" si="1"/>
        <v>4</v>
      </c>
    </row>
    <row r="12" spans="1:13" ht="32.25" customHeight="1" x14ac:dyDescent="0.25">
      <c r="A12" s="355">
        <f t="shared" si="0"/>
        <v>5</v>
      </c>
      <c r="B12" s="356" t="s">
        <v>490</v>
      </c>
      <c r="C12" s="357">
        <v>4149170.2380514713</v>
      </c>
      <c r="D12" s="357">
        <v>4409361.8819307508</v>
      </c>
      <c r="E12" s="357">
        <f>SUM(C12:D12)</f>
        <v>8558532.1199822221</v>
      </c>
      <c r="F12" s="190" t="s">
        <v>513</v>
      </c>
      <c r="G12" s="263">
        <f t="shared" si="1"/>
        <v>5</v>
      </c>
    </row>
    <row r="13" spans="1:13" ht="15.75" x14ac:dyDescent="0.25">
      <c r="A13" s="262">
        <f t="shared" si="0"/>
        <v>6</v>
      </c>
      <c r="B13" s="68"/>
      <c r="C13" s="791"/>
      <c r="D13" s="75"/>
      <c r="E13" s="75"/>
      <c r="F13" s="90"/>
      <c r="G13" s="263">
        <f t="shared" si="1"/>
        <v>6</v>
      </c>
    </row>
    <row r="14" spans="1:13" ht="30" x14ac:dyDescent="0.25">
      <c r="A14" s="355">
        <f t="shared" si="0"/>
        <v>7</v>
      </c>
      <c r="B14" s="356" t="s">
        <v>491</v>
      </c>
      <c r="C14" s="358">
        <v>45234.786207197845</v>
      </c>
      <c r="D14" s="358">
        <v>503815.97803132015</v>
      </c>
      <c r="E14" s="358">
        <f>SUM(C14:D14)</f>
        <v>549050.76423851796</v>
      </c>
      <c r="F14" s="190" t="s">
        <v>496</v>
      </c>
      <c r="G14" s="263">
        <f t="shared" si="1"/>
        <v>7</v>
      </c>
    </row>
    <row r="15" spans="1:13" ht="15.75" x14ac:dyDescent="0.25">
      <c r="A15" s="262">
        <f t="shared" si="0"/>
        <v>8</v>
      </c>
      <c r="B15" s="68"/>
      <c r="C15" s="75"/>
      <c r="D15" s="75"/>
      <c r="E15" s="75"/>
      <c r="F15" s="90"/>
      <c r="G15" s="263">
        <f t="shared" si="1"/>
        <v>8</v>
      </c>
    </row>
    <row r="16" spans="1:13" ht="16.5" thickBot="1" x14ac:dyDescent="0.3">
      <c r="A16" s="262">
        <f t="shared" si="0"/>
        <v>9</v>
      </c>
      <c r="B16" s="302" t="s">
        <v>373</v>
      </c>
      <c r="C16" s="192">
        <f>C12+C14</f>
        <v>4194405.0242586695</v>
      </c>
      <c r="D16" s="192">
        <f t="shared" ref="D16:E16" si="2">D12+D14</f>
        <v>4913177.8599620713</v>
      </c>
      <c r="E16" s="192">
        <f t="shared" si="2"/>
        <v>9107582.8842207398</v>
      </c>
      <c r="F16" s="241" t="s">
        <v>374</v>
      </c>
      <c r="G16" s="263">
        <f t="shared" si="1"/>
        <v>9</v>
      </c>
    </row>
    <row r="17" spans="1:7" ht="16.5" thickTop="1" x14ac:dyDescent="0.25">
      <c r="A17" s="262">
        <f t="shared" si="0"/>
        <v>10</v>
      </c>
      <c r="B17" s="302"/>
      <c r="C17" s="228"/>
      <c r="D17" s="228"/>
      <c r="E17" s="228"/>
      <c r="F17" s="241"/>
      <c r="G17" s="263">
        <f t="shared" si="1"/>
        <v>10</v>
      </c>
    </row>
    <row r="18" spans="1:7" ht="16.5" thickBot="1" x14ac:dyDescent="0.3">
      <c r="A18" s="262">
        <f t="shared" si="0"/>
        <v>11</v>
      </c>
      <c r="B18" s="302" t="s">
        <v>375</v>
      </c>
      <c r="C18" s="229">
        <f>ROUND(C16/$E16,4)</f>
        <v>0.46050000000000002</v>
      </c>
      <c r="D18" s="229">
        <f>ROUND(D16/$E16,4)</f>
        <v>0.53949999999999998</v>
      </c>
      <c r="E18" s="229">
        <f>SUM(C18:D18)</f>
        <v>1</v>
      </c>
      <c r="F18" s="241" t="s">
        <v>376</v>
      </c>
      <c r="G18" s="263">
        <f t="shared" si="1"/>
        <v>11</v>
      </c>
    </row>
    <row r="19" spans="1:7" ht="17.25" thickTop="1" thickBot="1" x14ac:dyDescent="0.3">
      <c r="A19" s="300">
        <f t="shared" si="0"/>
        <v>12</v>
      </c>
      <c r="B19" s="230"/>
      <c r="C19" s="231"/>
      <c r="D19" s="231"/>
      <c r="E19" s="231"/>
      <c r="F19" s="77"/>
      <c r="G19" s="301">
        <f>A19</f>
        <v>12</v>
      </c>
    </row>
    <row r="20" spans="1:7" ht="18.75" x14ac:dyDescent="0.3">
      <c r="A20" s="262">
        <f t="shared" si="0"/>
        <v>13</v>
      </c>
      <c r="B20" s="156" t="s">
        <v>377</v>
      </c>
      <c r="C20" s="740"/>
      <c r="D20" s="740"/>
      <c r="E20" s="740"/>
      <c r="F20" s="36"/>
      <c r="G20" s="263">
        <f>A20</f>
        <v>13</v>
      </c>
    </row>
    <row r="21" spans="1:7" ht="18.75" x14ac:dyDescent="0.3">
      <c r="A21" s="262">
        <f t="shared" si="0"/>
        <v>14</v>
      </c>
      <c r="B21" s="68"/>
      <c r="C21" s="740"/>
      <c r="D21" s="740"/>
      <c r="E21" s="792"/>
      <c r="F21" s="36"/>
      <c r="G21" s="263">
        <f t="shared" ref="G21:G26" si="3">A21</f>
        <v>14</v>
      </c>
    </row>
    <row r="22" spans="1:7" ht="31.5" x14ac:dyDescent="0.25">
      <c r="A22" s="262">
        <f t="shared" si="0"/>
        <v>15</v>
      </c>
      <c r="B22" s="741" t="s">
        <v>492</v>
      </c>
      <c r="C22" s="742">
        <f>'WP 7 Wheeling Revenues'!C37</f>
        <v>-38168829.390000001</v>
      </c>
      <c r="D22" s="742">
        <f>'WP 7 Wheeling Revenues'!D37</f>
        <v>0</v>
      </c>
      <c r="E22" s="743">
        <f>SUM(C22:D22)</f>
        <v>-38168829.390000001</v>
      </c>
      <c r="F22" s="241" t="s">
        <v>378</v>
      </c>
      <c r="G22" s="263">
        <f t="shared" si="3"/>
        <v>15</v>
      </c>
    </row>
    <row r="23" spans="1:7" ht="15.75" x14ac:dyDescent="0.25">
      <c r="A23" s="262">
        <f t="shared" si="0"/>
        <v>16</v>
      </c>
      <c r="B23" s="302"/>
      <c r="C23" s="742"/>
      <c r="D23" s="742"/>
      <c r="E23" s="743"/>
      <c r="F23" s="241"/>
      <c r="G23" s="263">
        <f t="shared" si="3"/>
        <v>16</v>
      </c>
    </row>
    <row r="24" spans="1:7" ht="15.75" x14ac:dyDescent="0.25">
      <c r="A24" s="262">
        <f t="shared" si="0"/>
        <v>17</v>
      </c>
      <c r="B24" s="302" t="s">
        <v>379</v>
      </c>
      <c r="C24" s="744">
        <f>E18</f>
        <v>1</v>
      </c>
      <c r="D24" s="744">
        <v>0</v>
      </c>
      <c r="E24" s="744">
        <f>SUM(C24:D24)</f>
        <v>1</v>
      </c>
      <c r="F24" s="37" t="s">
        <v>380</v>
      </c>
      <c r="G24" s="263">
        <f t="shared" si="3"/>
        <v>17</v>
      </c>
    </row>
    <row r="25" spans="1:7" ht="15.75" x14ac:dyDescent="0.25">
      <c r="A25" s="262">
        <f t="shared" si="0"/>
        <v>18</v>
      </c>
      <c r="B25" s="302"/>
      <c r="C25" s="745"/>
      <c r="D25" s="745"/>
      <c r="E25" s="745"/>
      <c r="F25" s="241"/>
      <c r="G25" s="263">
        <f t="shared" si="3"/>
        <v>18</v>
      </c>
    </row>
    <row r="26" spans="1:7" ht="16.5" thickBot="1" x14ac:dyDescent="0.3">
      <c r="A26" s="262">
        <f>A25+1</f>
        <v>19</v>
      </c>
      <c r="B26" s="92" t="s">
        <v>381</v>
      </c>
      <c r="C26" s="746">
        <f>C22*C24</f>
        <v>-38168829.390000001</v>
      </c>
      <c r="D26" s="746">
        <f>D22*D24</f>
        <v>0</v>
      </c>
      <c r="E26" s="747">
        <f>SUM(C26:D26)</f>
        <v>-38168829.390000001</v>
      </c>
      <c r="F26" s="37" t="s">
        <v>382</v>
      </c>
      <c r="G26" s="263">
        <f t="shared" si="3"/>
        <v>19</v>
      </c>
    </row>
    <row r="27" spans="1:7" ht="17.25" thickTop="1" thickBot="1" x14ac:dyDescent="0.3">
      <c r="A27" s="300">
        <f t="shared" si="0"/>
        <v>20</v>
      </c>
      <c r="B27" s="748"/>
      <c r="C27" s="793"/>
      <c r="D27" s="749"/>
      <c r="E27" s="749"/>
      <c r="F27" s="750"/>
      <c r="G27" s="301">
        <f t="shared" ref="G27" si="4">G26+1</f>
        <v>20</v>
      </c>
    </row>
    <row r="28" spans="1:7" ht="15.75" x14ac:dyDescent="0.25">
      <c r="A28" s="298">
        <f>A27+1</f>
        <v>21</v>
      </c>
      <c r="B28" s="628" t="s">
        <v>383</v>
      </c>
      <c r="C28" s="629"/>
      <c r="D28" s="630"/>
      <c r="E28" s="629"/>
      <c r="F28" s="588"/>
      <c r="G28" s="459">
        <f>G27+1</f>
        <v>21</v>
      </c>
    </row>
    <row r="29" spans="1:7" ht="15.75" x14ac:dyDescent="0.25">
      <c r="A29" s="262">
        <f>A28+1</f>
        <v>22</v>
      </c>
      <c r="B29" s="385"/>
      <c r="C29" s="159"/>
      <c r="D29" s="36"/>
      <c r="E29" s="792"/>
      <c r="F29" s="631"/>
      <c r="G29" s="349">
        <f>G28+1</f>
        <v>22</v>
      </c>
    </row>
    <row r="30" spans="1:7" ht="31.5" thickBot="1" x14ac:dyDescent="0.35">
      <c r="A30" s="262">
        <f t="shared" ref="A30:A39" si="5">A29+1</f>
        <v>23</v>
      </c>
      <c r="B30" s="730" t="s">
        <v>493</v>
      </c>
      <c r="C30" s="632"/>
      <c r="D30" s="104"/>
      <c r="E30" s="227">
        <f>'WP 8 CT4575'!C34</f>
        <v>18000</v>
      </c>
      <c r="F30" s="71" t="s">
        <v>384</v>
      </c>
      <c r="G30" s="349">
        <f t="shared" ref="G30:G33" si="6">G29+1</f>
        <v>23</v>
      </c>
    </row>
    <row r="31" spans="1:7" ht="16.5" thickTop="1" x14ac:dyDescent="0.25">
      <c r="A31" s="262">
        <f t="shared" si="5"/>
        <v>24</v>
      </c>
      <c r="B31" s="85" t="s">
        <v>385</v>
      </c>
      <c r="C31" s="159"/>
      <c r="D31" s="36"/>
      <c r="E31" s="159"/>
      <c r="F31" s="33"/>
      <c r="G31" s="349">
        <f t="shared" si="6"/>
        <v>24</v>
      </c>
    </row>
    <row r="32" spans="1:7" ht="15.75" x14ac:dyDescent="0.25">
      <c r="A32" s="262">
        <f t="shared" si="5"/>
        <v>25</v>
      </c>
      <c r="B32" s="85"/>
      <c r="C32" s="159"/>
      <c r="D32" s="36"/>
      <c r="E32" s="159"/>
      <c r="F32" s="33"/>
      <c r="G32" s="349">
        <f t="shared" si="6"/>
        <v>25</v>
      </c>
    </row>
    <row r="33" spans="1:7" ht="16.5" thickBot="1" x14ac:dyDescent="0.3">
      <c r="A33" s="262">
        <f t="shared" si="5"/>
        <v>26</v>
      </c>
      <c r="B33" s="74" t="s">
        <v>386</v>
      </c>
      <c r="C33" s="192">
        <f>$E$30*$C$18</f>
        <v>8289</v>
      </c>
      <c r="D33" s="192">
        <f>$E$30*$D$18</f>
        <v>9711</v>
      </c>
      <c r="E33" s="192">
        <f>SUM(C33:D33)</f>
        <v>18000</v>
      </c>
      <c r="F33" s="33" t="s">
        <v>387</v>
      </c>
      <c r="G33" s="349">
        <f t="shared" si="6"/>
        <v>26</v>
      </c>
    </row>
    <row r="34" spans="1:7" ht="20.25" thickTop="1" thickBot="1" x14ac:dyDescent="0.35">
      <c r="A34" s="300">
        <f t="shared" si="5"/>
        <v>27</v>
      </c>
      <c r="B34" s="633"/>
      <c r="C34" s="793"/>
      <c r="D34" s="634"/>
      <c r="E34" s="105"/>
      <c r="F34" s="635"/>
      <c r="G34" s="463">
        <f>G33+1</f>
        <v>27</v>
      </c>
    </row>
    <row r="35" spans="1:7" ht="15.75" x14ac:dyDescent="0.25">
      <c r="A35" s="262">
        <f t="shared" si="5"/>
        <v>28</v>
      </c>
      <c r="B35" s="385" t="s">
        <v>388</v>
      </c>
      <c r="C35" s="101"/>
      <c r="D35" s="794"/>
      <c r="E35" s="629"/>
      <c r="F35" s="631"/>
      <c r="G35" s="349">
        <f>G34+1</f>
        <v>28</v>
      </c>
    </row>
    <row r="36" spans="1:7" ht="15.75" x14ac:dyDescent="0.25">
      <c r="A36" s="262">
        <f t="shared" si="5"/>
        <v>29</v>
      </c>
      <c r="B36" s="385"/>
      <c r="C36" s="101"/>
      <c r="D36" s="795"/>
      <c r="E36" s="792"/>
      <c r="F36" s="71"/>
      <c r="G36" s="349">
        <f t="shared" ref="G36:G39" si="7">G35+1</f>
        <v>29</v>
      </c>
    </row>
    <row r="37" spans="1:7" ht="30.75" thickBot="1" x14ac:dyDescent="0.3">
      <c r="A37" s="262">
        <f t="shared" si="5"/>
        <v>30</v>
      </c>
      <c r="B37" s="730" t="s">
        <v>494</v>
      </c>
      <c r="C37" s="101"/>
      <c r="D37" s="795"/>
      <c r="E37" s="73">
        <f>'WP 9 ETC Cost Diffs'!C34</f>
        <v>-382483.10728000058</v>
      </c>
      <c r="F37" s="71" t="s">
        <v>389</v>
      </c>
      <c r="G37" s="349">
        <f t="shared" si="7"/>
        <v>30</v>
      </c>
    </row>
    <row r="38" spans="1:7" ht="16.5" thickTop="1" x14ac:dyDescent="0.25">
      <c r="A38" s="262">
        <f t="shared" si="5"/>
        <v>31</v>
      </c>
      <c r="B38" s="385"/>
      <c r="C38" s="101"/>
      <c r="D38" s="795"/>
      <c r="E38" s="101"/>
      <c r="F38" s="71"/>
      <c r="G38" s="349">
        <f t="shared" si="7"/>
        <v>31</v>
      </c>
    </row>
    <row r="39" spans="1:7" ht="16.5" thickBot="1" x14ac:dyDescent="0.3">
      <c r="A39" s="262">
        <f t="shared" si="5"/>
        <v>32</v>
      </c>
      <c r="B39" s="74" t="s">
        <v>390</v>
      </c>
      <c r="C39" s="192">
        <f>$E$37*$C$18</f>
        <v>-176133.47090244028</v>
      </c>
      <c r="D39" s="192">
        <f>$E$37*$D$18</f>
        <v>-206349.63637756029</v>
      </c>
      <c r="E39" s="192">
        <f>SUM(C39:D39)</f>
        <v>-382483.10728000058</v>
      </c>
      <c r="F39" s="33" t="s">
        <v>391</v>
      </c>
      <c r="G39" s="349">
        <f t="shared" si="7"/>
        <v>32</v>
      </c>
    </row>
    <row r="40" spans="1:7" ht="17.25" thickTop="1" thickBot="1" x14ac:dyDescent="0.3">
      <c r="A40" s="300">
        <f>A39+1</f>
        <v>33</v>
      </c>
      <c r="B40" s="419"/>
      <c r="C40" s="793"/>
      <c r="D40" s="80"/>
      <c r="E40" s="81"/>
      <c r="F40" s="160"/>
      <c r="G40" s="463">
        <f>G39+1</f>
        <v>33</v>
      </c>
    </row>
    <row r="41" spans="1:7" ht="15.75" x14ac:dyDescent="0.25">
      <c r="A41" s="636">
        <f>A40+1</f>
        <v>34</v>
      </c>
      <c r="B41" s="628" t="s">
        <v>392</v>
      </c>
      <c r="C41" s="629"/>
      <c r="D41" s="630"/>
      <c r="E41" s="458"/>
      <c r="F41" s="455"/>
      <c r="G41" s="459">
        <f>G40+1</f>
        <v>34</v>
      </c>
    </row>
    <row r="42" spans="1:7" ht="15.75" x14ac:dyDescent="0.25">
      <c r="A42" s="187">
        <f>A41+1</f>
        <v>35</v>
      </c>
      <c r="B42" s="385"/>
      <c r="C42" s="159"/>
      <c r="D42" s="36"/>
      <c r="E42" s="456"/>
      <c r="F42" s="159"/>
      <c r="G42" s="349">
        <f>G41+1</f>
        <v>35</v>
      </c>
    </row>
    <row r="43" spans="1:7" ht="32.85" customHeight="1" thickBot="1" x14ac:dyDescent="0.35">
      <c r="A43" s="187">
        <f>A42+1</f>
        <v>36</v>
      </c>
      <c r="B43" s="730" t="s">
        <v>495</v>
      </c>
      <c r="C43" s="632"/>
      <c r="D43" s="796"/>
      <c r="E43" s="227">
        <f>'WP 12 PTO'!P17</f>
        <v>-5591461.26272</v>
      </c>
      <c r="F43" s="71" t="s">
        <v>479</v>
      </c>
      <c r="G43" s="349">
        <f t="shared" ref="G43:G49" si="8">G42+1</f>
        <v>36</v>
      </c>
    </row>
    <row r="44" spans="1:7" ht="19.5" thickTop="1" x14ac:dyDescent="0.3">
      <c r="A44" s="187">
        <f t="shared" ref="A44:A48" si="9">A43+1</f>
        <v>37</v>
      </c>
      <c r="B44" s="730"/>
      <c r="C44" s="632"/>
      <c r="D44" s="796"/>
      <c r="E44" s="846"/>
      <c r="F44" s="71"/>
      <c r="G44" s="349">
        <f t="shared" si="8"/>
        <v>37</v>
      </c>
    </row>
    <row r="45" spans="1:7" ht="30" x14ac:dyDescent="0.25">
      <c r="A45" s="187">
        <f t="shared" si="9"/>
        <v>38</v>
      </c>
      <c r="B45" s="897" t="s">
        <v>393</v>
      </c>
      <c r="C45" s="16">
        <f>'WP 12 PTO'!P29</f>
        <v>-1684969.52</v>
      </c>
      <c r="D45" s="848">
        <f>'WP 12 PTO'!P30</f>
        <v>-1988752.37</v>
      </c>
      <c r="E45" s="16">
        <f>SUM(C45:D45)</f>
        <v>-3673721.89</v>
      </c>
      <c r="F45" s="896" t="s">
        <v>394</v>
      </c>
      <c r="G45" s="349">
        <f t="shared" si="8"/>
        <v>38</v>
      </c>
    </row>
    <row r="46" spans="1:7" ht="18.75" x14ac:dyDescent="0.3">
      <c r="A46" s="187">
        <f t="shared" si="9"/>
        <v>39</v>
      </c>
      <c r="B46" s="85"/>
      <c r="C46" s="632"/>
      <c r="D46" s="796"/>
      <c r="E46" s="16"/>
      <c r="F46" s="71"/>
      <c r="G46" s="349">
        <f t="shared" si="8"/>
        <v>39</v>
      </c>
    </row>
    <row r="47" spans="1:7" ht="15.75" x14ac:dyDescent="0.25">
      <c r="A47" s="187">
        <f t="shared" si="9"/>
        <v>40</v>
      </c>
      <c r="B47" s="85" t="s">
        <v>395</v>
      </c>
      <c r="C47" s="847">
        <f>$E$47*$C$18</f>
        <v>-883118.98113755998</v>
      </c>
      <c r="D47" s="847">
        <f>$E$47*$D$18</f>
        <v>-1034620.3915824399</v>
      </c>
      <c r="E47" s="847">
        <f>E43-E45</f>
        <v>-1917739.3727199999</v>
      </c>
      <c r="F47" s="84" t="s">
        <v>488</v>
      </c>
      <c r="G47" s="349">
        <f t="shared" si="8"/>
        <v>40</v>
      </c>
    </row>
    <row r="48" spans="1:7" ht="15.75" x14ac:dyDescent="0.25">
      <c r="A48" s="187">
        <f t="shared" si="9"/>
        <v>41</v>
      </c>
      <c r="B48" s="385"/>
      <c r="C48" s="228"/>
      <c r="D48" s="682"/>
      <c r="E48" s="683"/>
      <c r="F48" s="84"/>
      <c r="G48" s="349">
        <f t="shared" si="8"/>
        <v>41</v>
      </c>
    </row>
    <row r="49" spans="1:7" ht="16.5" thickBot="1" x14ac:dyDescent="0.3">
      <c r="A49" s="187">
        <f t="shared" ref="A49" si="10">A48+1</f>
        <v>42</v>
      </c>
      <c r="B49" s="74" t="s">
        <v>396</v>
      </c>
      <c r="C49" s="192">
        <f>C45+C47</f>
        <v>-2568088.5011375602</v>
      </c>
      <c r="D49" s="192">
        <f t="shared" ref="D49" si="11">D45+D47</f>
        <v>-3023372.7615824398</v>
      </c>
      <c r="E49" s="192">
        <f>SUM(C49:D49)</f>
        <v>-5591461.26272</v>
      </c>
      <c r="F49" s="33" t="s">
        <v>397</v>
      </c>
      <c r="G49" s="349">
        <f t="shared" si="8"/>
        <v>42</v>
      </c>
    </row>
    <row r="50" spans="1:7" ht="20.25" thickTop="1" thickBot="1" x14ac:dyDescent="0.35">
      <c r="A50" s="638">
        <f>A49+1</f>
        <v>43</v>
      </c>
      <c r="B50" s="633"/>
      <c r="C50" s="793"/>
      <c r="D50" s="634"/>
      <c r="E50" s="639"/>
      <c r="F50" s="640"/>
      <c r="G50" s="463">
        <f>G49+1</f>
        <v>43</v>
      </c>
    </row>
    <row r="51" spans="1:7" ht="15.75" x14ac:dyDescent="0.25">
      <c r="A51" s="187"/>
      <c r="C51" s="797"/>
      <c r="F51" s="36"/>
      <c r="G51" s="37"/>
    </row>
    <row r="52" spans="1:7" ht="15.75" x14ac:dyDescent="0.25">
      <c r="A52" s="187"/>
      <c r="C52" s="797"/>
      <c r="F52" s="36"/>
      <c r="G52" s="37"/>
    </row>
    <row r="53" spans="1:7" ht="15.75" x14ac:dyDescent="0.25">
      <c r="A53" s="187"/>
      <c r="C53" s="797"/>
      <c r="F53" s="36"/>
      <c r="G53" s="37"/>
    </row>
    <row r="54" spans="1:7" ht="15.75" x14ac:dyDescent="0.25">
      <c r="A54" s="187"/>
      <c r="C54" s="797"/>
      <c r="F54" s="36"/>
      <c r="G54" s="37"/>
    </row>
    <row r="55" spans="1:7" x14ac:dyDescent="0.2">
      <c r="A55" s="641"/>
    </row>
    <row r="56" spans="1:7" ht="18.75" x14ac:dyDescent="0.25">
      <c r="A56" s="642"/>
      <c r="B56" s="50"/>
    </row>
    <row r="57" spans="1:7" ht="18.75" x14ac:dyDescent="0.25">
      <c r="A57" s="643"/>
      <c r="B57" s="50"/>
    </row>
    <row r="58" spans="1:7" x14ac:dyDescent="0.2">
      <c r="A58" s="644"/>
    </row>
  </sheetData>
  <mergeCells count="1">
    <mergeCell ref="A3:G3"/>
  </mergeCells>
  <printOptions horizontalCentered="1"/>
  <pageMargins left="0.25" right="0.25" top="0.5" bottom="0.5" header="0.25" footer="0.25"/>
  <pageSetup scale="58" orientation="landscape" r:id="rId1"/>
  <headerFooter alignWithMargins="0">
    <oddFooter>&amp;L&amp;"Times New Roman,Regular"&amp;14&amp;F&amp;C&amp;"Times New Roman,Regular"&amp;14Page 6.1&amp;R&amp;"Times New Roman,Regular"&amp;14&amp;A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85"/>
  <sheetViews>
    <sheetView zoomScale="80" zoomScaleNormal="80" workbookViewId="0">
      <selection activeCell="C33" sqref="C33"/>
    </sheetView>
  </sheetViews>
  <sheetFormatPr defaultColWidth="8.5703125" defaultRowHeight="15.75" x14ac:dyDescent="0.25"/>
  <cols>
    <col min="1" max="1" width="5.5703125" style="22" customWidth="1"/>
    <col min="2" max="2" width="40.5703125" style="50" customWidth="1"/>
    <col min="3" max="4" width="19.7109375" style="22" bestFit="1" customWidth="1"/>
    <col min="5" max="5" width="17.5703125" style="22" customWidth="1"/>
    <col min="6" max="6" width="41.5703125" style="22" bestFit="1" customWidth="1"/>
    <col min="7" max="7" width="5.5703125" style="22" customWidth="1"/>
    <col min="8" max="16384" width="8.5703125" style="22"/>
  </cols>
  <sheetData>
    <row r="1" spans="1:7" x14ac:dyDescent="0.25">
      <c r="A1" s="5"/>
      <c r="B1" s="41"/>
      <c r="C1" s="41"/>
      <c r="D1" s="41"/>
      <c r="E1" s="41"/>
      <c r="F1" s="41"/>
      <c r="G1" s="41"/>
    </row>
    <row r="2" spans="1:7" x14ac:dyDescent="0.25">
      <c r="A2" s="5" t="s">
        <v>1</v>
      </c>
      <c r="B2" s="41"/>
      <c r="C2" s="41"/>
      <c r="D2" s="41"/>
      <c r="E2" s="41"/>
      <c r="F2" s="41"/>
      <c r="G2" s="41"/>
    </row>
    <row r="3" spans="1:7" x14ac:dyDescent="0.25">
      <c r="A3" s="977" t="str">
        <f>'Stmnt BD - Recorded KWH'!$A$4</f>
        <v>2026 - TRBAA Rate Filing</v>
      </c>
      <c r="B3" s="977"/>
      <c r="C3" s="977"/>
      <c r="D3" s="977"/>
      <c r="E3" s="977"/>
      <c r="F3" s="977"/>
      <c r="G3" s="977"/>
    </row>
    <row r="4" spans="1:7" x14ac:dyDescent="0.25">
      <c r="A4" s="5" t="s">
        <v>398</v>
      </c>
      <c r="B4" s="41"/>
      <c r="C4" s="41"/>
      <c r="D4" s="41"/>
      <c r="E4" s="41"/>
      <c r="F4" s="41"/>
      <c r="G4" s="41"/>
    </row>
    <row r="5" spans="1:7" ht="16.5" thickBot="1" x14ac:dyDescent="0.3">
      <c r="A5" s="41"/>
      <c r="B5" s="41"/>
      <c r="C5" s="41"/>
      <c r="D5" s="41"/>
      <c r="E5" s="41"/>
      <c r="F5" s="41"/>
      <c r="G5" s="41"/>
    </row>
    <row r="6" spans="1:7" x14ac:dyDescent="0.25">
      <c r="A6" s="286"/>
      <c r="B6" s="585"/>
      <c r="C6" s="165" t="s">
        <v>3</v>
      </c>
      <c r="D6" s="165" t="s">
        <v>4</v>
      </c>
      <c r="E6" s="165" t="s">
        <v>113</v>
      </c>
      <c r="F6" s="165" t="s">
        <v>114</v>
      </c>
      <c r="G6" s="544"/>
    </row>
    <row r="7" spans="1:7" x14ac:dyDescent="0.25">
      <c r="A7" s="547"/>
      <c r="B7" s="74"/>
      <c r="C7" s="583" t="s">
        <v>399</v>
      </c>
      <c r="D7" s="583" t="s">
        <v>229</v>
      </c>
      <c r="E7" s="583"/>
      <c r="F7" s="583"/>
      <c r="G7" s="548"/>
    </row>
    <row r="8" spans="1:7" x14ac:dyDescent="0.25">
      <c r="A8" s="547" t="s">
        <v>8</v>
      </c>
      <c r="B8" s="75"/>
      <c r="C8" s="583" t="s">
        <v>400</v>
      </c>
      <c r="D8" s="583" t="s">
        <v>400</v>
      </c>
      <c r="E8" s="583"/>
      <c r="F8" s="583"/>
      <c r="G8" s="548" t="s">
        <v>8</v>
      </c>
    </row>
    <row r="9" spans="1:7" ht="16.5" thickBot="1" x14ac:dyDescent="0.3">
      <c r="A9" s="565" t="s">
        <v>401</v>
      </c>
      <c r="B9" s="337" t="s">
        <v>402</v>
      </c>
      <c r="C9" s="645" t="s">
        <v>403</v>
      </c>
      <c r="D9" s="645" t="s">
        <v>404</v>
      </c>
      <c r="E9" s="589" t="s">
        <v>18</v>
      </c>
      <c r="F9" s="589" t="s">
        <v>16</v>
      </c>
      <c r="G9" s="566" t="s">
        <v>401</v>
      </c>
    </row>
    <row r="10" spans="1:7" x14ac:dyDescent="0.25">
      <c r="A10" s="262"/>
      <c r="B10" s="764"/>
      <c r="C10" s="19"/>
      <c r="D10" s="19"/>
      <c r="E10" s="19"/>
      <c r="F10" s="19"/>
      <c r="G10" s="263"/>
    </row>
    <row r="11" spans="1:7" x14ac:dyDescent="0.25">
      <c r="A11" s="262">
        <v>1</v>
      </c>
      <c r="B11" s="477">
        <f>'Stmnt BD - Recorded KWH'!B12</f>
        <v>45566</v>
      </c>
      <c r="C11" s="19">
        <f>'WP 5 CAISO Charges'!C10</f>
        <v>-2561196.5</v>
      </c>
      <c r="D11" s="19">
        <v>0</v>
      </c>
      <c r="E11" s="19">
        <f>C11+D11</f>
        <v>-2561196.5</v>
      </c>
      <c r="F11" s="23" t="s">
        <v>405</v>
      </c>
      <c r="G11" s="263">
        <v>1</v>
      </c>
    </row>
    <row r="12" spans="1:7" x14ac:dyDescent="0.25">
      <c r="A12" s="262">
        <f>A11+1</f>
        <v>2</v>
      </c>
      <c r="B12" s="10"/>
      <c r="C12" s="19"/>
      <c r="D12" s="19"/>
      <c r="E12" s="19"/>
      <c r="F12" s="10"/>
      <c r="G12" s="263">
        <f>G11+1</f>
        <v>2</v>
      </c>
    </row>
    <row r="13" spans="1:7" x14ac:dyDescent="0.25">
      <c r="A13" s="262">
        <f t="shared" ref="A13:A37" si="0">A12+1</f>
        <v>3</v>
      </c>
      <c r="B13" s="477">
        <f>'Stmnt BD - Recorded KWH'!B13</f>
        <v>45597</v>
      </c>
      <c r="C13" s="31">
        <f>'WP 5 CAISO Charges'!D10</f>
        <v>-2637922.4</v>
      </c>
      <c r="D13" s="31">
        <v>0</v>
      </c>
      <c r="E13" s="31">
        <f t="shared" ref="E13:E33" si="1">C13+D13</f>
        <v>-2637922.4</v>
      </c>
      <c r="F13" s="23" t="str">
        <f>F11</f>
        <v>Work paper No. 5; Page 5.1 and 5.2; Line 4</v>
      </c>
      <c r="G13" s="263">
        <f t="shared" ref="G13:G37" si="2">G12+1</f>
        <v>3</v>
      </c>
    </row>
    <row r="14" spans="1:7" x14ac:dyDescent="0.25">
      <c r="A14" s="262">
        <f t="shared" si="0"/>
        <v>4</v>
      </c>
      <c r="B14" s="10"/>
      <c r="C14" s="31"/>
      <c r="D14" s="31"/>
      <c r="E14" s="31"/>
      <c r="F14" s="10"/>
      <c r="G14" s="263">
        <f t="shared" si="2"/>
        <v>4</v>
      </c>
    </row>
    <row r="15" spans="1:7" ht="16.5" thickBot="1" x14ac:dyDescent="0.3">
      <c r="A15" s="300">
        <f t="shared" si="0"/>
        <v>5</v>
      </c>
      <c r="B15" s="646">
        <f>'Stmnt BD - Recorded KWH'!B14</f>
        <v>45627</v>
      </c>
      <c r="C15" s="58">
        <f>'WP 5 CAISO Charges'!E10</f>
        <v>-1210483.97</v>
      </c>
      <c r="D15" s="58">
        <v>0</v>
      </c>
      <c r="E15" s="58">
        <f t="shared" si="1"/>
        <v>-1210483.97</v>
      </c>
      <c r="F15" s="647" t="str">
        <f>F11</f>
        <v>Work paper No. 5; Page 5.1 and 5.2; Line 4</v>
      </c>
      <c r="G15" s="301">
        <f t="shared" si="2"/>
        <v>5</v>
      </c>
    </row>
    <row r="16" spans="1:7" x14ac:dyDescent="0.25">
      <c r="A16" s="262">
        <f t="shared" si="0"/>
        <v>6</v>
      </c>
      <c r="B16" s="477"/>
      <c r="C16" s="31"/>
      <c r="D16" s="31"/>
      <c r="E16" s="31"/>
      <c r="F16" s="23"/>
      <c r="G16" s="263">
        <f t="shared" si="2"/>
        <v>6</v>
      </c>
    </row>
    <row r="17" spans="1:7" x14ac:dyDescent="0.25">
      <c r="A17" s="262">
        <f t="shared" si="0"/>
        <v>7</v>
      </c>
      <c r="B17" s="477">
        <f>'Stmnt BD - Recorded KWH'!B15</f>
        <v>45658</v>
      </c>
      <c r="C17" s="31">
        <f>'WP 5 CAISO Charges'!F10</f>
        <v>-596143.61</v>
      </c>
      <c r="D17" s="31">
        <v>0</v>
      </c>
      <c r="E17" s="31">
        <f t="shared" si="1"/>
        <v>-596143.61</v>
      </c>
      <c r="F17" s="23" t="str">
        <f>F11</f>
        <v>Work paper No. 5; Page 5.1 and 5.2; Line 4</v>
      </c>
      <c r="G17" s="263">
        <f t="shared" si="2"/>
        <v>7</v>
      </c>
    </row>
    <row r="18" spans="1:7" x14ac:dyDescent="0.25">
      <c r="A18" s="262">
        <f t="shared" si="0"/>
        <v>8</v>
      </c>
      <c r="B18" s="10"/>
      <c r="C18" s="19"/>
      <c r="D18" s="19"/>
      <c r="E18" s="31"/>
      <c r="F18" s="10"/>
      <c r="G18" s="263">
        <f t="shared" si="2"/>
        <v>8</v>
      </c>
    </row>
    <row r="19" spans="1:7" x14ac:dyDescent="0.25">
      <c r="A19" s="262">
        <f t="shared" si="0"/>
        <v>9</v>
      </c>
      <c r="B19" s="477">
        <f>'Stmnt BD - Recorded KWH'!B16</f>
        <v>45689</v>
      </c>
      <c r="C19" s="31">
        <f>'WP 5 CAISO Charges'!G10</f>
        <v>-2707756.0199999996</v>
      </c>
      <c r="D19" s="31">
        <v>0</v>
      </c>
      <c r="E19" s="31">
        <f t="shared" si="1"/>
        <v>-2707756.0199999996</v>
      </c>
      <c r="F19" s="23" t="str">
        <f>F11</f>
        <v>Work paper No. 5; Page 5.1 and 5.2; Line 4</v>
      </c>
      <c r="G19" s="263">
        <f t="shared" si="2"/>
        <v>9</v>
      </c>
    </row>
    <row r="20" spans="1:7" x14ac:dyDescent="0.25">
      <c r="A20" s="262">
        <f t="shared" si="0"/>
        <v>10</v>
      </c>
      <c r="B20" s="10"/>
      <c r="C20" s="31"/>
      <c r="D20" s="31"/>
      <c r="E20" s="31"/>
      <c r="F20" s="10"/>
      <c r="G20" s="263">
        <f t="shared" si="2"/>
        <v>10</v>
      </c>
    </row>
    <row r="21" spans="1:7" ht="16.5" thickBot="1" x14ac:dyDescent="0.3">
      <c r="A21" s="300">
        <f t="shared" si="0"/>
        <v>11</v>
      </c>
      <c r="B21" s="646">
        <f>'Stmnt BD - Recorded KWH'!B17</f>
        <v>45717</v>
      </c>
      <c r="C21" s="58">
        <f>'WP 5 CAISO Charges'!H10</f>
        <v>-2549781.0499999998</v>
      </c>
      <c r="D21" s="58">
        <v>0</v>
      </c>
      <c r="E21" s="58">
        <f t="shared" si="1"/>
        <v>-2549781.0499999998</v>
      </c>
      <c r="F21" s="647" t="str">
        <f>F11</f>
        <v>Work paper No. 5; Page 5.1 and 5.2; Line 4</v>
      </c>
      <c r="G21" s="301">
        <f t="shared" si="2"/>
        <v>11</v>
      </c>
    </row>
    <row r="22" spans="1:7" x14ac:dyDescent="0.25">
      <c r="A22" s="262">
        <f t="shared" si="0"/>
        <v>12</v>
      </c>
      <c r="B22" s="10"/>
      <c r="C22" s="31"/>
      <c r="D22" s="31"/>
      <c r="E22" s="31"/>
      <c r="F22" s="10"/>
      <c r="G22" s="263">
        <f t="shared" si="2"/>
        <v>12</v>
      </c>
    </row>
    <row r="23" spans="1:7" x14ac:dyDescent="0.25">
      <c r="A23" s="262">
        <f t="shared" si="0"/>
        <v>13</v>
      </c>
      <c r="B23" s="477">
        <f>'Stmnt BD - Recorded KWH'!B18</f>
        <v>45748</v>
      </c>
      <c r="C23" s="31">
        <f>'WP 5 CAISO Charges'!I10</f>
        <v>-2469522.23</v>
      </c>
      <c r="D23" s="31">
        <v>0</v>
      </c>
      <c r="E23" s="31">
        <f t="shared" si="1"/>
        <v>-2469522.23</v>
      </c>
      <c r="F23" s="23" t="str">
        <f>F11</f>
        <v>Work paper No. 5; Page 5.1 and 5.2; Line 4</v>
      </c>
      <c r="G23" s="263">
        <f t="shared" si="2"/>
        <v>13</v>
      </c>
    </row>
    <row r="24" spans="1:7" x14ac:dyDescent="0.25">
      <c r="A24" s="262">
        <f t="shared" si="0"/>
        <v>14</v>
      </c>
      <c r="B24" s="10"/>
      <c r="C24" s="19"/>
      <c r="D24" s="19"/>
      <c r="E24" s="31"/>
      <c r="F24" s="10"/>
      <c r="G24" s="263">
        <f t="shared" si="2"/>
        <v>14</v>
      </c>
    </row>
    <row r="25" spans="1:7" x14ac:dyDescent="0.25">
      <c r="A25" s="262">
        <f t="shared" si="0"/>
        <v>15</v>
      </c>
      <c r="B25" s="477">
        <f>'Stmnt BD - Recorded KWH'!B19</f>
        <v>45778</v>
      </c>
      <c r="C25" s="31">
        <f>'WP 5 CAISO Charges'!J10</f>
        <v>-4030191.92</v>
      </c>
      <c r="D25" s="31">
        <v>0</v>
      </c>
      <c r="E25" s="31">
        <f t="shared" si="1"/>
        <v>-4030191.92</v>
      </c>
      <c r="F25" s="23" t="str">
        <f>F11</f>
        <v>Work paper No. 5; Page 5.1 and 5.2; Line 4</v>
      </c>
      <c r="G25" s="263">
        <f t="shared" si="2"/>
        <v>15</v>
      </c>
    </row>
    <row r="26" spans="1:7" x14ac:dyDescent="0.25">
      <c r="A26" s="262">
        <f t="shared" si="0"/>
        <v>16</v>
      </c>
      <c r="B26" s="10"/>
      <c r="C26" s="31"/>
      <c r="D26" s="31"/>
      <c r="E26" s="31"/>
      <c r="F26" s="10"/>
      <c r="G26" s="263">
        <f t="shared" si="2"/>
        <v>16</v>
      </c>
    </row>
    <row r="27" spans="1:7" ht="16.5" thickBot="1" x14ac:dyDescent="0.3">
      <c r="A27" s="300">
        <f t="shared" si="0"/>
        <v>17</v>
      </c>
      <c r="B27" s="646">
        <f>'Stmnt BD - Recorded KWH'!B20</f>
        <v>45809</v>
      </c>
      <c r="C27" s="58">
        <f>'WP 5 CAISO Charges'!K10</f>
        <v>-3500894.65</v>
      </c>
      <c r="D27" s="58">
        <v>0</v>
      </c>
      <c r="E27" s="58">
        <f t="shared" si="1"/>
        <v>-3500894.65</v>
      </c>
      <c r="F27" s="647" t="str">
        <f>F11</f>
        <v>Work paper No. 5; Page 5.1 and 5.2; Line 4</v>
      </c>
      <c r="G27" s="301">
        <f t="shared" si="2"/>
        <v>17</v>
      </c>
    </row>
    <row r="28" spans="1:7" x14ac:dyDescent="0.25">
      <c r="A28" s="262">
        <f t="shared" si="0"/>
        <v>18</v>
      </c>
      <c r="B28" s="10"/>
      <c r="C28" s="31"/>
      <c r="D28" s="31"/>
      <c r="E28" s="31"/>
      <c r="F28" s="10"/>
      <c r="G28" s="263">
        <f t="shared" si="2"/>
        <v>18</v>
      </c>
    </row>
    <row r="29" spans="1:7" x14ac:dyDescent="0.25">
      <c r="A29" s="262">
        <f t="shared" si="0"/>
        <v>19</v>
      </c>
      <c r="B29" s="477">
        <f>'Stmnt BD - Recorded KWH'!B21</f>
        <v>45839</v>
      </c>
      <c r="C29" s="31">
        <f>'WP 5 CAISO Charges'!L10</f>
        <v>-3883492.1800000006</v>
      </c>
      <c r="D29" s="31">
        <v>0</v>
      </c>
      <c r="E29" s="31">
        <f t="shared" si="1"/>
        <v>-3883492.1800000006</v>
      </c>
      <c r="F29" s="23" t="str">
        <f>F11</f>
        <v>Work paper No. 5; Page 5.1 and 5.2; Line 4</v>
      </c>
      <c r="G29" s="263">
        <f t="shared" si="2"/>
        <v>19</v>
      </c>
    </row>
    <row r="30" spans="1:7" x14ac:dyDescent="0.25">
      <c r="A30" s="262">
        <f t="shared" si="0"/>
        <v>20</v>
      </c>
      <c r="B30" s="10"/>
      <c r="C30" s="19"/>
      <c r="D30" s="19"/>
      <c r="E30" s="31"/>
      <c r="F30" s="10"/>
      <c r="G30" s="263">
        <f t="shared" si="2"/>
        <v>20</v>
      </c>
    </row>
    <row r="31" spans="1:7" x14ac:dyDescent="0.25">
      <c r="A31" s="262">
        <f t="shared" si="0"/>
        <v>21</v>
      </c>
      <c r="B31" s="477">
        <f>'Stmnt BD - Recorded KWH'!B22</f>
        <v>45870</v>
      </c>
      <c r="C31" s="31">
        <f>'WP 5 CAISO Charges'!M10</f>
        <v>-5527772.5</v>
      </c>
      <c r="D31" s="31">
        <v>0</v>
      </c>
      <c r="E31" s="31">
        <f t="shared" si="1"/>
        <v>-5527772.5</v>
      </c>
      <c r="F31" s="23" t="str">
        <f>F11</f>
        <v>Work paper No. 5; Page 5.1 and 5.2; Line 4</v>
      </c>
      <c r="G31" s="263">
        <f t="shared" si="2"/>
        <v>21</v>
      </c>
    </row>
    <row r="32" spans="1:7" x14ac:dyDescent="0.25">
      <c r="A32" s="262">
        <f t="shared" si="0"/>
        <v>22</v>
      </c>
      <c r="B32" s="10"/>
      <c r="C32" s="31"/>
      <c r="D32" s="31"/>
      <c r="E32" s="31"/>
      <c r="F32" s="10"/>
      <c r="G32" s="263">
        <f t="shared" si="2"/>
        <v>22</v>
      </c>
    </row>
    <row r="33" spans="1:7" ht="16.5" thickBot="1" x14ac:dyDescent="0.3">
      <c r="A33" s="300">
        <f t="shared" si="0"/>
        <v>23</v>
      </c>
      <c r="B33" s="646">
        <f>'Stmnt BD - Recorded KWH'!B23</f>
        <v>45901</v>
      </c>
      <c r="C33" s="58">
        <f>'WP 5 CAISO Charges'!N10</f>
        <v>-6493672.3600000003</v>
      </c>
      <c r="D33" s="58">
        <v>0</v>
      </c>
      <c r="E33" s="82">
        <f t="shared" si="1"/>
        <v>-6493672.3600000003</v>
      </c>
      <c r="F33" s="647" t="str">
        <f>F11</f>
        <v>Work paper No. 5; Page 5.1 and 5.2; Line 4</v>
      </c>
      <c r="G33" s="301">
        <f t="shared" si="2"/>
        <v>23</v>
      </c>
    </row>
    <row r="34" spans="1:7" x14ac:dyDescent="0.25">
      <c r="A34" s="262">
        <f t="shared" si="0"/>
        <v>24</v>
      </c>
      <c r="B34" s="10"/>
      <c r="C34" s="19"/>
      <c r="D34" s="19"/>
      <c r="E34" s="19"/>
      <c r="F34" s="10"/>
      <c r="G34" s="263">
        <f t="shared" si="2"/>
        <v>24</v>
      </c>
    </row>
    <row r="35" spans="1:7" ht="16.5" thickBot="1" x14ac:dyDescent="0.3">
      <c r="A35" s="262">
        <f t="shared" si="0"/>
        <v>25</v>
      </c>
      <c r="B35" s="75" t="s">
        <v>406</v>
      </c>
      <c r="C35" s="73">
        <f>SUM(C11:C33)</f>
        <v>-38168829.390000001</v>
      </c>
      <c r="D35" s="527">
        <f>SUM(D11:D33)</f>
        <v>0</v>
      </c>
      <c r="E35" s="73">
        <f>SUM(E11:E33)</f>
        <v>-38168829.390000001</v>
      </c>
      <c r="F35" s="29" t="s">
        <v>407</v>
      </c>
      <c r="G35" s="263">
        <f t="shared" si="2"/>
        <v>25</v>
      </c>
    </row>
    <row r="36" spans="1:7" ht="16.5" thickTop="1" x14ac:dyDescent="0.25">
      <c r="A36" s="262">
        <f t="shared" si="0"/>
        <v>26</v>
      </c>
      <c r="B36" s="75"/>
      <c r="C36" s="789"/>
      <c r="D36" s="657"/>
      <c r="E36" s="637"/>
      <c r="F36" s="23"/>
      <c r="G36" s="263">
        <f t="shared" si="2"/>
        <v>26</v>
      </c>
    </row>
    <row r="37" spans="1:7" ht="16.5" thickBot="1" x14ac:dyDescent="0.3">
      <c r="A37" s="262">
        <f t="shared" si="0"/>
        <v>27</v>
      </c>
      <c r="B37" s="75" t="s">
        <v>408</v>
      </c>
      <c r="C37" s="154">
        <f>C35</f>
        <v>-38168829.390000001</v>
      </c>
      <c r="D37" s="73">
        <f>D35</f>
        <v>0</v>
      </c>
      <c r="E37" s="656">
        <f>E35</f>
        <v>-38168829.390000001</v>
      </c>
      <c r="F37" s="29" t="s">
        <v>409</v>
      </c>
      <c r="G37" s="263">
        <f t="shared" si="2"/>
        <v>27</v>
      </c>
    </row>
    <row r="38" spans="1:7" ht="17.25" thickTop="1" thickBot="1" x14ac:dyDescent="0.3">
      <c r="A38" s="300">
        <f>A37+1</f>
        <v>28</v>
      </c>
      <c r="B38" s="557"/>
      <c r="C38" s="658"/>
      <c r="D38" s="648"/>
      <c r="E38" s="649"/>
      <c r="F38" s="57"/>
      <c r="G38" s="301">
        <f>G37+1</f>
        <v>28</v>
      </c>
    </row>
    <row r="39" spans="1:7" hidden="1" x14ac:dyDescent="0.25">
      <c r="A39" s="10"/>
      <c r="B39" s="22"/>
      <c r="G39" s="10"/>
    </row>
    <row r="40" spans="1:7" ht="16.5" hidden="1" thickBot="1" x14ac:dyDescent="0.3">
      <c r="A40" s="57"/>
      <c r="B40" s="80"/>
      <c r="C40" s="80"/>
      <c r="D40" s="80"/>
      <c r="E40" s="600"/>
      <c r="F40" s="80"/>
      <c r="G40" s="57"/>
    </row>
    <row r="41" spans="1:7" x14ac:dyDescent="0.25">
      <c r="A41" s="37"/>
      <c r="B41" s="156"/>
      <c r="C41" s="650"/>
      <c r="D41" s="650"/>
      <c r="E41" s="37"/>
      <c r="F41" s="37"/>
      <c r="G41" s="37"/>
    </row>
    <row r="42" spans="1:7" x14ac:dyDescent="0.25">
      <c r="A42" s="37"/>
      <c r="B42" s="68"/>
      <c r="C42" s="90"/>
      <c r="D42" s="90"/>
      <c r="E42" s="90"/>
      <c r="F42" s="37"/>
      <c r="G42" s="37"/>
    </row>
    <row r="43" spans="1:7" x14ac:dyDescent="0.25">
      <c r="A43" s="37"/>
      <c r="C43" s="72"/>
      <c r="D43" s="72"/>
      <c r="E43" s="37"/>
      <c r="F43" s="37"/>
      <c r="G43" s="37"/>
    </row>
    <row r="44" spans="1:7" x14ac:dyDescent="0.25">
      <c r="A44" s="37"/>
      <c r="C44" s="28"/>
      <c r="D44" s="434"/>
      <c r="E44" s="37"/>
      <c r="F44" s="37"/>
      <c r="G44" s="37"/>
    </row>
    <row r="45" spans="1:7" x14ac:dyDescent="0.25">
      <c r="A45" s="37"/>
      <c r="C45" s="72"/>
      <c r="D45" s="90"/>
      <c r="E45" s="37"/>
      <c r="F45" s="37"/>
      <c r="G45" s="37"/>
    </row>
    <row r="46" spans="1:7" x14ac:dyDescent="0.25">
      <c r="A46" s="37"/>
      <c r="C46" s="434"/>
      <c r="D46" s="434"/>
      <c r="E46" s="37"/>
      <c r="F46" s="37"/>
      <c r="G46" s="37"/>
    </row>
    <row r="47" spans="1:7" x14ac:dyDescent="0.25">
      <c r="A47" s="37"/>
      <c r="B47" s="68"/>
      <c r="C47" s="37"/>
      <c r="D47" s="37"/>
      <c r="E47" s="37"/>
      <c r="F47" s="37"/>
      <c r="G47" s="37"/>
    </row>
    <row r="48" spans="1:7" x14ac:dyDescent="0.25">
      <c r="A48" s="37"/>
      <c r="B48" s="68"/>
      <c r="C48" s="37"/>
      <c r="D48" s="37"/>
      <c r="E48" s="37"/>
      <c r="F48" s="37"/>
      <c r="G48" s="37"/>
    </row>
    <row r="49" spans="1:7" x14ac:dyDescent="0.25">
      <c r="A49" s="37"/>
      <c r="C49" s="651"/>
      <c r="D49" s="651"/>
      <c r="E49" s="37"/>
      <c r="F49" s="37"/>
      <c r="G49" s="37"/>
    </row>
    <row r="50" spans="1:7" x14ac:dyDescent="0.25">
      <c r="A50" s="37"/>
      <c r="C50" s="652"/>
      <c r="D50" s="652"/>
      <c r="E50" s="37"/>
      <c r="F50" s="37"/>
      <c r="G50" s="37"/>
    </row>
    <row r="51" spans="1:7" x14ac:dyDescent="0.25">
      <c r="A51" s="37"/>
      <c r="C51" s="653"/>
      <c r="D51" s="653"/>
      <c r="E51" s="37"/>
      <c r="F51" s="37"/>
      <c r="G51" s="37"/>
    </row>
    <row r="52" spans="1:7" x14ac:dyDescent="0.25">
      <c r="A52" s="37"/>
      <c r="B52" s="68"/>
      <c r="C52" s="434"/>
      <c r="D52" s="434"/>
      <c r="E52" s="37"/>
      <c r="F52" s="37"/>
      <c r="G52" s="37"/>
    </row>
    <row r="53" spans="1:7" x14ac:dyDescent="0.25">
      <c r="A53" s="37"/>
      <c r="B53" s="68"/>
      <c r="C53" s="37"/>
      <c r="D53" s="37"/>
      <c r="E53" s="37"/>
      <c r="F53" s="37"/>
      <c r="G53" s="37"/>
    </row>
    <row r="54" spans="1:7" x14ac:dyDescent="0.25">
      <c r="A54" s="37"/>
      <c r="C54" s="651"/>
      <c r="D54" s="651"/>
      <c r="E54" s="37"/>
      <c r="F54" s="37"/>
      <c r="G54" s="37"/>
    </row>
    <row r="55" spans="1:7" x14ac:dyDescent="0.25">
      <c r="A55" s="37"/>
      <c r="C55" s="652"/>
      <c r="D55" s="652"/>
      <c r="E55" s="37"/>
      <c r="F55" s="37"/>
      <c r="G55" s="37"/>
    </row>
    <row r="56" spans="1:7" x14ac:dyDescent="0.25">
      <c r="A56" s="37"/>
      <c r="C56" s="653"/>
      <c r="D56" s="653"/>
      <c r="E56" s="37"/>
      <c r="F56" s="37"/>
      <c r="G56" s="37"/>
    </row>
    <row r="57" spans="1:7" x14ac:dyDescent="0.25">
      <c r="A57" s="37"/>
      <c r="B57" s="68"/>
      <c r="C57" s="434"/>
      <c r="D57" s="434"/>
      <c r="E57" s="37"/>
      <c r="F57" s="37"/>
      <c r="G57" s="37"/>
    </row>
    <row r="58" spans="1:7" x14ac:dyDescent="0.25">
      <c r="A58" s="37"/>
      <c r="B58" s="68"/>
      <c r="C58" s="434"/>
      <c r="D58" s="434"/>
      <c r="E58" s="37"/>
      <c r="F58" s="37"/>
      <c r="G58" s="37"/>
    </row>
    <row r="59" spans="1:7" x14ac:dyDescent="0.25">
      <c r="A59" s="37"/>
      <c r="B59" s="68"/>
      <c r="C59" s="654"/>
      <c r="D59" s="654"/>
      <c r="E59" s="37"/>
      <c r="F59" s="37"/>
      <c r="G59" s="37"/>
    </row>
    <row r="60" spans="1:7" x14ac:dyDescent="0.25">
      <c r="A60" s="37"/>
      <c r="E60" s="37"/>
      <c r="F60" s="37"/>
      <c r="G60" s="37"/>
    </row>
    <row r="61" spans="1:7" x14ac:dyDescent="0.25">
      <c r="A61" s="37"/>
      <c r="B61" s="22"/>
      <c r="G61" s="37"/>
    </row>
    <row r="62" spans="1:7" x14ac:dyDescent="0.25">
      <c r="A62" s="37"/>
      <c r="B62" s="22"/>
      <c r="E62" s="90"/>
      <c r="G62" s="37"/>
    </row>
    <row r="63" spans="1:7" x14ac:dyDescent="0.25">
      <c r="A63" s="37"/>
      <c r="B63" s="156"/>
      <c r="E63" s="37"/>
      <c r="F63" s="37"/>
      <c r="G63" s="37"/>
    </row>
    <row r="64" spans="1:7" x14ac:dyDescent="0.25">
      <c r="A64" s="37"/>
      <c r="D64" s="655"/>
      <c r="E64" s="37"/>
      <c r="F64" s="37"/>
      <c r="G64" s="37"/>
    </row>
    <row r="65" spans="1:7" x14ac:dyDescent="0.25">
      <c r="A65" s="37"/>
      <c r="B65" s="92"/>
      <c r="E65" s="90"/>
      <c r="F65" s="37"/>
      <c r="G65" s="37"/>
    </row>
    <row r="66" spans="1:7" x14ac:dyDescent="0.25">
      <c r="A66" s="37"/>
      <c r="B66" s="156"/>
      <c r="C66" s="650"/>
      <c r="D66" s="650"/>
      <c r="E66" s="37"/>
      <c r="F66" s="37"/>
      <c r="G66" s="37"/>
    </row>
    <row r="67" spans="1:7" x14ac:dyDescent="0.25">
      <c r="A67" s="37"/>
      <c r="B67" s="68"/>
      <c r="C67" s="90"/>
      <c r="D67" s="90"/>
      <c r="E67" s="37"/>
      <c r="F67" s="37"/>
      <c r="G67" s="37"/>
    </row>
    <row r="68" spans="1:7" x14ac:dyDescent="0.25">
      <c r="A68" s="37"/>
      <c r="C68" s="72"/>
      <c r="D68" s="72"/>
      <c r="E68" s="37"/>
      <c r="F68" s="37"/>
      <c r="G68" s="37"/>
    </row>
    <row r="69" spans="1:7" x14ac:dyDescent="0.25">
      <c r="A69" s="37"/>
      <c r="C69" s="28"/>
      <c r="D69" s="434"/>
      <c r="E69" s="37"/>
      <c r="F69" s="37"/>
      <c r="G69" s="37"/>
    </row>
    <row r="70" spans="1:7" x14ac:dyDescent="0.25">
      <c r="A70" s="37"/>
      <c r="C70" s="72"/>
      <c r="D70" s="90"/>
      <c r="E70" s="37"/>
      <c r="F70" s="37"/>
      <c r="G70" s="37"/>
    </row>
    <row r="71" spans="1:7" x14ac:dyDescent="0.25">
      <c r="A71" s="37"/>
      <c r="C71" s="434"/>
      <c r="D71" s="434"/>
      <c r="E71" s="37"/>
      <c r="F71" s="37"/>
      <c r="G71" s="37"/>
    </row>
    <row r="72" spans="1:7" x14ac:dyDescent="0.25">
      <c r="A72" s="37"/>
      <c r="B72" s="68"/>
      <c r="C72" s="37"/>
      <c r="D72" s="37"/>
      <c r="E72" s="37"/>
      <c r="F72" s="37"/>
      <c r="G72" s="37"/>
    </row>
    <row r="73" spans="1:7" x14ac:dyDescent="0.25">
      <c r="A73" s="37"/>
      <c r="B73" s="68"/>
      <c r="C73" s="37"/>
      <c r="D73" s="37"/>
      <c r="E73" s="37"/>
      <c r="F73" s="37"/>
      <c r="G73" s="37"/>
    </row>
    <row r="74" spans="1:7" x14ac:dyDescent="0.25">
      <c r="A74" s="37"/>
      <c r="C74" s="651"/>
      <c r="D74" s="651"/>
      <c r="E74" s="37"/>
      <c r="F74" s="37"/>
      <c r="G74" s="37"/>
    </row>
    <row r="75" spans="1:7" x14ac:dyDescent="0.25">
      <c r="A75" s="37"/>
      <c r="C75" s="652"/>
      <c r="D75" s="652"/>
      <c r="E75" s="37"/>
      <c r="F75" s="37"/>
      <c r="G75" s="37"/>
    </row>
    <row r="76" spans="1:7" x14ac:dyDescent="0.25">
      <c r="A76" s="37"/>
      <c r="C76" s="653"/>
      <c r="D76" s="653"/>
      <c r="E76" s="37"/>
      <c r="F76" s="37"/>
      <c r="G76" s="37"/>
    </row>
    <row r="77" spans="1:7" x14ac:dyDescent="0.25">
      <c r="A77" s="37"/>
      <c r="B77" s="68"/>
      <c r="C77" s="434"/>
      <c r="D77" s="434"/>
      <c r="E77" s="37"/>
      <c r="F77" s="37"/>
      <c r="G77" s="37"/>
    </row>
    <row r="78" spans="1:7" x14ac:dyDescent="0.25">
      <c r="A78" s="37"/>
      <c r="B78" s="68"/>
      <c r="C78" s="37"/>
      <c r="D78" s="37"/>
      <c r="E78" s="37"/>
      <c r="F78" s="37"/>
      <c r="G78" s="37"/>
    </row>
    <row r="79" spans="1:7" x14ac:dyDescent="0.25">
      <c r="A79" s="37"/>
      <c r="C79" s="651"/>
      <c r="D79" s="651"/>
      <c r="E79" s="37"/>
      <c r="F79" s="37"/>
      <c r="G79" s="37"/>
    </row>
    <row r="80" spans="1:7" x14ac:dyDescent="0.25">
      <c r="A80" s="37"/>
      <c r="C80" s="652"/>
      <c r="D80" s="652"/>
      <c r="E80" s="37"/>
      <c r="F80" s="37"/>
      <c r="G80" s="37"/>
    </row>
    <row r="81" spans="1:7" x14ac:dyDescent="0.25">
      <c r="A81" s="37"/>
      <c r="C81" s="653"/>
      <c r="D81" s="653"/>
      <c r="E81" s="37"/>
      <c r="F81" s="37"/>
      <c r="G81" s="37"/>
    </row>
    <row r="82" spans="1:7" x14ac:dyDescent="0.25">
      <c r="A82" s="37"/>
      <c r="B82" s="68"/>
      <c r="C82" s="434"/>
      <c r="D82" s="434"/>
      <c r="E82" s="37"/>
      <c r="F82" s="37"/>
      <c r="G82" s="37"/>
    </row>
    <row r="83" spans="1:7" x14ac:dyDescent="0.25">
      <c r="A83" s="37"/>
      <c r="B83" s="68"/>
      <c r="C83" s="434"/>
      <c r="D83" s="434"/>
      <c r="E83" s="37"/>
      <c r="F83" s="37"/>
      <c r="G83" s="37"/>
    </row>
    <row r="84" spans="1:7" x14ac:dyDescent="0.25">
      <c r="A84" s="37"/>
      <c r="B84" s="68"/>
      <c r="C84" s="654"/>
      <c r="D84" s="654"/>
      <c r="E84" s="37"/>
      <c r="F84" s="37"/>
      <c r="G84" s="37"/>
    </row>
    <row r="85" spans="1:7" x14ac:dyDescent="0.25">
      <c r="A85" s="37"/>
      <c r="E85" s="37"/>
      <c r="F85" s="37"/>
      <c r="G85" s="37"/>
    </row>
  </sheetData>
  <mergeCells count="1">
    <mergeCell ref="A3:G3"/>
  </mergeCells>
  <phoneticPr fontId="15" type="noConversion"/>
  <printOptions horizontalCentered="1"/>
  <pageMargins left="0.5" right="0.5" top="0.5" bottom="0.5" header="0.25" footer="0.25"/>
  <pageSetup scale="84" orientation="landscape" r:id="rId1"/>
  <headerFooter alignWithMargins="0">
    <oddFooter>&amp;L&amp;"Times New Roman,Regular"&amp;12&amp;F&amp;C&amp;"Times New Roman,Regular"&amp;12Page 7.1&amp;R&amp;"Times New Roman,Regular"&amp;12&amp;A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G43"/>
  <sheetViews>
    <sheetView zoomScale="80" zoomScaleNormal="80" workbookViewId="0">
      <selection activeCell="J30" sqref="J30"/>
    </sheetView>
  </sheetViews>
  <sheetFormatPr defaultColWidth="9.42578125" defaultRowHeight="15.75" x14ac:dyDescent="0.25"/>
  <cols>
    <col min="1" max="1" width="5.5703125" style="107" customWidth="1"/>
    <col min="2" max="2" width="55.28515625" style="111" customWidth="1"/>
    <col min="3" max="3" width="25.5703125" style="112" customWidth="1"/>
    <col min="4" max="4" width="46.7109375" style="107" customWidth="1"/>
    <col min="5" max="5" width="5.5703125" style="107" customWidth="1"/>
    <col min="6" max="6" width="2.42578125" style="107" bestFit="1" customWidth="1"/>
    <col min="7" max="16384" width="9.42578125" style="107"/>
  </cols>
  <sheetData>
    <row r="2" spans="1:7" ht="15.75" customHeight="1" x14ac:dyDescent="0.25">
      <c r="A2" s="977" t="s">
        <v>1</v>
      </c>
      <c r="B2" s="977"/>
      <c r="C2" s="977"/>
      <c r="D2" s="977"/>
      <c r="E2" s="977"/>
      <c r="F2" s="659"/>
      <c r="G2" s="659"/>
    </row>
    <row r="3" spans="1:7" ht="15.75" customHeight="1" x14ac:dyDescent="0.25">
      <c r="A3" s="977" t="str">
        <f>'WP 7 Wheeling Revenues'!A3:G3</f>
        <v>2026 - TRBAA Rate Filing</v>
      </c>
      <c r="B3" s="977"/>
      <c r="C3" s="977"/>
      <c r="D3" s="977"/>
      <c r="E3" s="977"/>
      <c r="F3" s="660"/>
      <c r="G3" s="660"/>
    </row>
    <row r="4" spans="1:7" ht="15.75" customHeight="1" x14ac:dyDescent="0.25">
      <c r="A4" s="977" t="s">
        <v>410</v>
      </c>
      <c r="B4" s="977"/>
      <c r="C4" s="977"/>
      <c r="D4" s="977"/>
      <c r="E4" s="977"/>
      <c r="F4" s="659"/>
      <c r="G4" s="659"/>
    </row>
    <row r="5" spans="1:7" ht="16.5" customHeight="1" thickBot="1" x14ac:dyDescent="0.3">
      <c r="A5" s="338"/>
      <c r="B5" s="661"/>
      <c r="C5" s="662"/>
      <c r="D5" s="662"/>
      <c r="E5" s="338"/>
    </row>
    <row r="6" spans="1:7" ht="48" thickBot="1" x14ac:dyDescent="0.3">
      <c r="A6" s="663" t="s">
        <v>69</v>
      </c>
      <c r="B6" s="337" t="s">
        <v>402</v>
      </c>
      <c r="C6" s="664" t="s">
        <v>411</v>
      </c>
      <c r="D6" s="589" t="s">
        <v>16</v>
      </c>
      <c r="E6" s="665" t="s">
        <v>69</v>
      </c>
    </row>
    <row r="7" spans="1:7" x14ac:dyDescent="0.25">
      <c r="A7" s="666"/>
      <c r="B7" s="788"/>
      <c r="C7" s="667"/>
      <c r="D7" s="10"/>
      <c r="E7" s="668"/>
    </row>
    <row r="8" spans="1:7" x14ac:dyDescent="0.25">
      <c r="A8" s="334">
        <v>1</v>
      </c>
      <c r="B8" s="108">
        <f>'WP 7 Wheeling Revenues'!B11</f>
        <v>45566</v>
      </c>
      <c r="C8" s="19">
        <f>'WP 5 CAISO Charges'!C13</f>
        <v>1500</v>
      </c>
      <c r="D8" s="23" t="s">
        <v>412</v>
      </c>
      <c r="E8" s="335">
        <v>1</v>
      </c>
      <c r="F8" s="784"/>
    </row>
    <row r="9" spans="1:7" x14ac:dyDescent="0.25">
      <c r="A9" s="334">
        <f>A8+1</f>
        <v>2</v>
      </c>
      <c r="B9" s="108"/>
      <c r="C9" s="19"/>
      <c r="D9" s="10"/>
      <c r="E9" s="335">
        <f>A9</f>
        <v>2</v>
      </c>
      <c r="F9" s="784"/>
    </row>
    <row r="10" spans="1:7" x14ac:dyDescent="0.25">
      <c r="A10" s="334">
        <f t="shared" ref="A10:A35" si="0">A9+1</f>
        <v>3</v>
      </c>
      <c r="B10" s="108">
        <f>'WP 7 Wheeling Revenues'!B13</f>
        <v>45597</v>
      </c>
      <c r="C10" s="31">
        <f>'WP 5 CAISO Charges'!D13</f>
        <v>1500</v>
      </c>
      <c r="D10" s="23" t="str">
        <f>D8</f>
        <v>Work paper No. 5; Page 5.1 and 5.2; Line 7</v>
      </c>
      <c r="E10" s="335">
        <f t="shared" ref="E10:E34" si="1">A10</f>
        <v>3</v>
      </c>
    </row>
    <row r="11" spans="1:7" x14ac:dyDescent="0.25">
      <c r="A11" s="334">
        <f t="shared" si="0"/>
        <v>4</v>
      </c>
      <c r="B11" s="108"/>
      <c r="C11" s="31"/>
      <c r="D11" s="10"/>
      <c r="E11" s="335">
        <f t="shared" si="1"/>
        <v>4</v>
      </c>
    </row>
    <row r="12" spans="1:7" ht="16.5" thickBot="1" x14ac:dyDescent="0.3">
      <c r="A12" s="336">
        <f t="shared" si="0"/>
        <v>5</v>
      </c>
      <c r="B12" s="109">
        <f>'WP 7 Wheeling Revenues'!B15</f>
        <v>45627</v>
      </c>
      <c r="C12" s="58">
        <f>'WP 5 CAISO Charges'!E13</f>
        <v>1500</v>
      </c>
      <c r="D12" s="647" t="str">
        <f>D8</f>
        <v>Work paper No. 5; Page 5.1 and 5.2; Line 7</v>
      </c>
      <c r="E12" s="339">
        <f t="shared" si="1"/>
        <v>5</v>
      </c>
    </row>
    <row r="13" spans="1:7" x14ac:dyDescent="0.25">
      <c r="A13" s="334">
        <f t="shared" si="0"/>
        <v>6</v>
      </c>
      <c r="B13" s="108"/>
      <c r="C13" s="31"/>
      <c r="D13" s="23"/>
      <c r="E13" s="335">
        <f t="shared" si="1"/>
        <v>6</v>
      </c>
    </row>
    <row r="14" spans="1:7" x14ac:dyDescent="0.25">
      <c r="A14" s="334">
        <f t="shared" si="0"/>
        <v>7</v>
      </c>
      <c r="B14" s="108">
        <f>'WP 7 Wheeling Revenues'!B17</f>
        <v>45658</v>
      </c>
      <c r="C14" s="31">
        <f>'WP 5 CAISO Charges'!F13</f>
        <v>1500</v>
      </c>
      <c r="D14" s="23" t="str">
        <f>D8</f>
        <v>Work paper No. 5; Page 5.1 and 5.2; Line 7</v>
      </c>
      <c r="E14" s="335">
        <f t="shared" si="1"/>
        <v>7</v>
      </c>
    </row>
    <row r="15" spans="1:7" x14ac:dyDescent="0.25">
      <c r="A15" s="334">
        <f t="shared" si="0"/>
        <v>8</v>
      </c>
      <c r="B15" s="108"/>
      <c r="C15" s="31"/>
      <c r="D15" s="10"/>
      <c r="E15" s="335">
        <f t="shared" si="1"/>
        <v>8</v>
      </c>
    </row>
    <row r="16" spans="1:7" x14ac:dyDescent="0.25">
      <c r="A16" s="334">
        <f t="shared" si="0"/>
        <v>9</v>
      </c>
      <c r="B16" s="108">
        <f>'WP 7 Wheeling Revenues'!B19</f>
        <v>45689</v>
      </c>
      <c r="C16" s="31">
        <f>'WP 5 CAISO Charges'!G13</f>
        <v>1500</v>
      </c>
      <c r="D16" s="23" t="str">
        <f>D8</f>
        <v>Work paper No. 5; Page 5.1 and 5.2; Line 7</v>
      </c>
      <c r="E16" s="335">
        <f t="shared" si="1"/>
        <v>9</v>
      </c>
    </row>
    <row r="17" spans="1:5" x14ac:dyDescent="0.25">
      <c r="A17" s="334">
        <f t="shared" si="0"/>
        <v>10</v>
      </c>
      <c r="B17" s="108"/>
      <c r="C17" s="31"/>
      <c r="D17" s="10"/>
      <c r="E17" s="335">
        <f t="shared" si="1"/>
        <v>10</v>
      </c>
    </row>
    <row r="18" spans="1:5" ht="16.5" thickBot="1" x14ac:dyDescent="0.3">
      <c r="A18" s="336">
        <f t="shared" si="0"/>
        <v>11</v>
      </c>
      <c r="B18" s="109">
        <f>'WP 7 Wheeling Revenues'!B21</f>
        <v>45717</v>
      </c>
      <c r="C18" s="58">
        <f>'WP 5 CAISO Charges'!H13</f>
        <v>1500</v>
      </c>
      <c r="D18" s="647" t="str">
        <f>D8</f>
        <v>Work paper No. 5; Page 5.1 and 5.2; Line 7</v>
      </c>
      <c r="E18" s="339">
        <f t="shared" si="1"/>
        <v>11</v>
      </c>
    </row>
    <row r="19" spans="1:5" x14ac:dyDescent="0.25">
      <c r="A19" s="334">
        <f t="shared" si="0"/>
        <v>12</v>
      </c>
      <c r="B19" s="108"/>
      <c r="C19" s="31"/>
      <c r="D19" s="10"/>
      <c r="E19" s="335">
        <f t="shared" si="1"/>
        <v>12</v>
      </c>
    </row>
    <row r="20" spans="1:5" x14ac:dyDescent="0.25">
      <c r="A20" s="334">
        <f t="shared" si="0"/>
        <v>13</v>
      </c>
      <c r="B20" s="108">
        <f>'WP 7 Wheeling Revenues'!B23</f>
        <v>45748</v>
      </c>
      <c r="C20" s="31">
        <f>'WP 5 CAISO Charges'!I13</f>
        <v>1500</v>
      </c>
      <c r="D20" s="23" t="str">
        <f>D8</f>
        <v>Work paper No. 5; Page 5.1 and 5.2; Line 7</v>
      </c>
      <c r="E20" s="335">
        <f t="shared" si="1"/>
        <v>13</v>
      </c>
    </row>
    <row r="21" spans="1:5" x14ac:dyDescent="0.25">
      <c r="A21" s="334">
        <f t="shared" si="0"/>
        <v>14</v>
      </c>
      <c r="B21" s="108"/>
      <c r="C21" s="31"/>
      <c r="D21" s="10"/>
      <c r="E21" s="335">
        <f t="shared" si="1"/>
        <v>14</v>
      </c>
    </row>
    <row r="22" spans="1:5" x14ac:dyDescent="0.25">
      <c r="A22" s="334">
        <f t="shared" si="0"/>
        <v>15</v>
      </c>
      <c r="B22" s="108">
        <f>'WP 7 Wheeling Revenues'!B25</f>
        <v>45778</v>
      </c>
      <c r="C22" s="31">
        <f>'WP 5 CAISO Charges'!J13</f>
        <v>1500</v>
      </c>
      <c r="D22" s="23" t="str">
        <f>D8</f>
        <v>Work paper No. 5; Page 5.1 and 5.2; Line 7</v>
      </c>
      <c r="E22" s="335">
        <f t="shared" si="1"/>
        <v>15</v>
      </c>
    </row>
    <row r="23" spans="1:5" x14ac:dyDescent="0.25">
      <c r="A23" s="334">
        <f t="shared" si="0"/>
        <v>16</v>
      </c>
      <c r="B23" s="108"/>
      <c r="C23" s="31"/>
      <c r="D23" s="10"/>
      <c r="E23" s="335">
        <f t="shared" si="1"/>
        <v>16</v>
      </c>
    </row>
    <row r="24" spans="1:5" ht="16.5" thickBot="1" x14ac:dyDescent="0.3">
      <c r="A24" s="336">
        <f t="shared" si="0"/>
        <v>17</v>
      </c>
      <c r="B24" s="109">
        <f>'WP 7 Wheeling Revenues'!B27</f>
        <v>45809</v>
      </c>
      <c r="C24" s="58">
        <f>'WP 5 CAISO Charges'!K13</f>
        <v>1500</v>
      </c>
      <c r="D24" s="647" t="str">
        <f>D8</f>
        <v>Work paper No. 5; Page 5.1 and 5.2; Line 7</v>
      </c>
      <c r="E24" s="339">
        <f t="shared" si="1"/>
        <v>17</v>
      </c>
    </row>
    <row r="25" spans="1:5" x14ac:dyDescent="0.25">
      <c r="A25" s="334">
        <f t="shared" si="0"/>
        <v>18</v>
      </c>
      <c r="B25" s="108"/>
      <c r="C25" s="31"/>
      <c r="D25" s="10"/>
      <c r="E25" s="335">
        <f t="shared" si="1"/>
        <v>18</v>
      </c>
    </row>
    <row r="26" spans="1:5" x14ac:dyDescent="0.25">
      <c r="A26" s="334">
        <f t="shared" si="0"/>
        <v>19</v>
      </c>
      <c r="B26" s="108">
        <f>'WP 7 Wheeling Revenues'!B29</f>
        <v>45839</v>
      </c>
      <c r="C26" s="31">
        <f>'WP 5 CAISO Charges'!L13</f>
        <v>1500</v>
      </c>
      <c r="D26" s="23" t="str">
        <f>D8</f>
        <v>Work paper No. 5; Page 5.1 and 5.2; Line 7</v>
      </c>
      <c r="E26" s="335">
        <f t="shared" si="1"/>
        <v>19</v>
      </c>
    </row>
    <row r="27" spans="1:5" x14ac:dyDescent="0.25">
      <c r="A27" s="334">
        <f t="shared" si="0"/>
        <v>20</v>
      </c>
      <c r="B27" s="108"/>
      <c r="C27" s="31"/>
      <c r="D27" s="10"/>
      <c r="E27" s="335">
        <f t="shared" si="1"/>
        <v>20</v>
      </c>
    </row>
    <row r="28" spans="1:5" x14ac:dyDescent="0.25">
      <c r="A28" s="334">
        <f t="shared" si="0"/>
        <v>21</v>
      </c>
      <c r="B28" s="108">
        <f>'WP 7 Wheeling Revenues'!B31</f>
        <v>45870</v>
      </c>
      <c r="C28" s="31">
        <f>'WP 5 CAISO Charges'!M13</f>
        <v>1500</v>
      </c>
      <c r="D28" s="23" t="str">
        <f>D8</f>
        <v>Work paper No. 5; Page 5.1 and 5.2; Line 7</v>
      </c>
      <c r="E28" s="335">
        <f t="shared" si="1"/>
        <v>21</v>
      </c>
    </row>
    <row r="29" spans="1:5" x14ac:dyDescent="0.25">
      <c r="A29" s="334">
        <f t="shared" si="0"/>
        <v>22</v>
      </c>
      <c r="B29" s="108"/>
      <c r="C29" s="31"/>
      <c r="D29" s="10"/>
      <c r="E29" s="335">
        <f t="shared" si="1"/>
        <v>22</v>
      </c>
    </row>
    <row r="30" spans="1:5" ht="16.5" thickBot="1" x14ac:dyDescent="0.3">
      <c r="A30" s="336">
        <f t="shared" si="0"/>
        <v>23</v>
      </c>
      <c r="B30" s="109">
        <f>'WP 7 Wheeling Revenues'!B33</f>
        <v>45901</v>
      </c>
      <c r="C30" s="82">
        <f>'WP 5 CAISO Charges'!N13</f>
        <v>1500</v>
      </c>
      <c r="D30" s="647" t="str">
        <f>D8</f>
        <v>Work paper No. 5; Page 5.1 and 5.2; Line 7</v>
      </c>
      <c r="E30" s="339">
        <f t="shared" si="1"/>
        <v>23</v>
      </c>
    </row>
    <row r="31" spans="1:5" x14ac:dyDescent="0.25">
      <c r="A31" s="334">
        <f t="shared" si="0"/>
        <v>24</v>
      </c>
      <c r="B31" s="108"/>
      <c r="C31" s="44"/>
      <c r="D31" s="23"/>
      <c r="E31" s="335">
        <f t="shared" si="1"/>
        <v>24</v>
      </c>
    </row>
    <row r="32" spans="1:5" ht="16.5" thickBot="1" x14ac:dyDescent="0.3">
      <c r="A32" s="334">
        <f t="shared" si="0"/>
        <v>25</v>
      </c>
      <c r="B32" s="132" t="s">
        <v>406</v>
      </c>
      <c r="C32" s="73">
        <f>SUM(C8:C30)</f>
        <v>18000</v>
      </c>
      <c r="D32" s="29" t="s">
        <v>407</v>
      </c>
      <c r="E32" s="335">
        <f t="shared" si="1"/>
        <v>25</v>
      </c>
    </row>
    <row r="33" spans="1:5" ht="16.5" thickTop="1" x14ac:dyDescent="0.25">
      <c r="A33" s="334">
        <f t="shared" si="0"/>
        <v>26</v>
      </c>
      <c r="B33" s="84"/>
      <c r="C33" s="161"/>
      <c r="E33" s="335">
        <f t="shared" si="1"/>
        <v>26</v>
      </c>
    </row>
    <row r="34" spans="1:5" ht="33.75" thickBot="1" x14ac:dyDescent="0.3">
      <c r="A34" s="669">
        <f t="shared" si="0"/>
        <v>27</v>
      </c>
      <c r="B34" s="670" t="s">
        <v>413</v>
      </c>
      <c r="C34" s="672">
        <f>C32</f>
        <v>18000</v>
      </c>
      <c r="D34" s="29" t="s">
        <v>409</v>
      </c>
      <c r="E34" s="671">
        <f t="shared" si="1"/>
        <v>27</v>
      </c>
    </row>
    <row r="35" spans="1:5" ht="17.25" thickTop="1" thickBot="1" x14ac:dyDescent="0.3">
      <c r="A35" s="336">
        <f t="shared" si="0"/>
        <v>28</v>
      </c>
      <c r="B35" s="362"/>
      <c r="C35" s="785"/>
      <c r="D35" s="248"/>
      <c r="E35" s="339">
        <f t="shared" ref="E35" si="2">E34+1</f>
        <v>28</v>
      </c>
    </row>
    <row r="36" spans="1:5" x14ac:dyDescent="0.25">
      <c r="B36" s="333"/>
      <c r="C36" s="72"/>
      <c r="D36" s="72"/>
    </row>
    <row r="37" spans="1:5" ht="21.75" x14ac:dyDescent="0.3">
      <c r="A37" s="164" t="s">
        <v>414</v>
      </c>
      <c r="B37" s="302" t="s">
        <v>415</v>
      </c>
      <c r="C37" s="107"/>
    </row>
    <row r="38" spans="1:5" x14ac:dyDescent="0.25">
      <c r="A38" s="37"/>
      <c r="B38" s="302" t="s">
        <v>416</v>
      </c>
      <c r="C38" s="129"/>
      <c r="D38" s="129"/>
    </row>
    <row r="39" spans="1:5" x14ac:dyDescent="0.25">
      <c r="A39" s="1"/>
      <c r="B39" s="302" t="s">
        <v>417</v>
      </c>
      <c r="C39" s="129"/>
      <c r="D39" s="129"/>
    </row>
    <row r="40" spans="1:5" x14ac:dyDescent="0.25">
      <c r="B40" s="129"/>
      <c r="C40" s="130"/>
      <c r="D40" s="129"/>
    </row>
    <row r="41" spans="1:5" x14ac:dyDescent="0.25">
      <c r="B41" s="129"/>
      <c r="C41" s="130"/>
      <c r="D41" s="129"/>
    </row>
    <row r="42" spans="1:5" x14ac:dyDescent="0.25">
      <c r="B42" s="129"/>
      <c r="C42" s="130"/>
      <c r="D42" s="129"/>
    </row>
    <row r="43" spans="1:5" x14ac:dyDescent="0.25">
      <c r="B43" s="131"/>
      <c r="C43" s="113"/>
      <c r="D43" s="113"/>
    </row>
  </sheetData>
  <mergeCells count="3">
    <mergeCell ref="A2:E2"/>
    <mergeCell ref="A3:E3"/>
    <mergeCell ref="A4:E4"/>
  </mergeCells>
  <printOptions horizontalCentered="1"/>
  <pageMargins left="0" right="0" top="0.5" bottom="0.5" header="0.25" footer="0.25"/>
  <pageSetup scale="76" orientation="landscape" r:id="rId1"/>
  <headerFooter scaleWithDoc="0" alignWithMargins="0">
    <oddFooter>&amp;L&amp;"Times New Roman,Regular"&amp;9&amp;F&amp;C&amp;"Times New Roman,Regular"&amp;9Page 8.1&amp;R&amp;"Times New Roman,Regular"&amp;9&amp;A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1F82-ACDE-4E3C-B78C-2E7BFB04A471}">
  <sheetPr>
    <pageSetUpPr fitToPage="1"/>
  </sheetPr>
  <dimension ref="A2:F43"/>
  <sheetViews>
    <sheetView zoomScale="80" zoomScaleNormal="80" workbookViewId="0">
      <selection activeCell="C7" sqref="C7"/>
    </sheetView>
  </sheetViews>
  <sheetFormatPr defaultColWidth="9.42578125" defaultRowHeight="15.75" x14ac:dyDescent="0.25"/>
  <cols>
    <col min="1" max="1" width="5.42578125" style="107" bestFit="1" customWidth="1"/>
    <col min="2" max="2" width="65.5703125" style="131" customWidth="1"/>
    <col min="3" max="3" width="22" style="107" bestFit="1" customWidth="1"/>
    <col min="4" max="4" width="48.42578125" style="107" customWidth="1"/>
    <col min="5" max="5" width="5.42578125" style="107" bestFit="1" customWidth="1"/>
    <col min="6" max="6" width="2.42578125" style="107" bestFit="1" customWidth="1"/>
    <col min="7" max="16384" width="9.42578125" style="107"/>
  </cols>
  <sheetData>
    <row r="2" spans="1:6" x14ac:dyDescent="0.25">
      <c r="A2" s="977" t="s">
        <v>1</v>
      </c>
      <c r="B2" s="977"/>
      <c r="C2" s="977"/>
      <c r="D2" s="977"/>
      <c r="E2" s="977"/>
    </row>
    <row r="3" spans="1:6" x14ac:dyDescent="0.25">
      <c r="A3" s="977" t="str">
        <f>'WP 7 Wheeling Revenues'!A3:G3</f>
        <v>2026 - TRBAA Rate Filing</v>
      </c>
      <c r="B3" s="977"/>
      <c r="C3" s="977"/>
      <c r="D3" s="977"/>
      <c r="E3" s="977"/>
    </row>
    <row r="4" spans="1:6" x14ac:dyDescent="0.25">
      <c r="A4" s="977" t="s">
        <v>418</v>
      </c>
      <c r="B4" s="977"/>
      <c r="C4" s="977"/>
      <c r="D4" s="977"/>
      <c r="E4" s="977"/>
    </row>
    <row r="5" spans="1:6" ht="16.5" thickBot="1" x14ac:dyDescent="0.3">
      <c r="A5" s="338"/>
      <c r="B5" s="661"/>
      <c r="C5" s="662"/>
      <c r="D5" s="662"/>
      <c r="E5" s="338"/>
    </row>
    <row r="6" spans="1:6" ht="52.5" customHeight="1" thickBot="1" x14ac:dyDescent="0.3">
      <c r="A6" s="663" t="s">
        <v>69</v>
      </c>
      <c r="B6" s="337" t="s">
        <v>402</v>
      </c>
      <c r="C6" s="673" t="s">
        <v>419</v>
      </c>
      <c r="D6" s="589" t="s">
        <v>16</v>
      </c>
      <c r="E6" s="665" t="s">
        <v>69</v>
      </c>
    </row>
    <row r="7" spans="1:6" x14ac:dyDescent="0.25">
      <c r="A7" s="674"/>
      <c r="B7" s="787"/>
      <c r="C7" s="430"/>
      <c r="D7" s="430"/>
      <c r="E7" s="675"/>
    </row>
    <row r="8" spans="1:6" x14ac:dyDescent="0.25">
      <c r="A8" s="334">
        <v>1</v>
      </c>
      <c r="B8" s="108">
        <f>'WP 7 Wheeling Revenues'!B11</f>
        <v>45566</v>
      </c>
      <c r="C8" s="19">
        <f>'WP 5 CAISO Charges'!C16</f>
        <v>-37691.936400000006</v>
      </c>
      <c r="D8" s="23" t="s">
        <v>420</v>
      </c>
      <c r="E8" s="335">
        <f>A8</f>
        <v>1</v>
      </c>
      <c r="F8" s="784"/>
    </row>
    <row r="9" spans="1:6" x14ac:dyDescent="0.25">
      <c r="A9" s="334">
        <f>A8+1</f>
        <v>2</v>
      </c>
      <c r="B9" s="108"/>
      <c r="C9" s="19"/>
      <c r="D9" s="10"/>
      <c r="E9" s="335">
        <f t="shared" ref="E9:E34" si="0">A9</f>
        <v>2</v>
      </c>
      <c r="F9" s="784"/>
    </row>
    <row r="10" spans="1:6" x14ac:dyDescent="0.25">
      <c r="A10" s="334">
        <f t="shared" ref="A10:A35" si="1">A9+1</f>
        <v>3</v>
      </c>
      <c r="B10" s="108">
        <f>'WP 7 Wheeling Revenues'!B13</f>
        <v>45597</v>
      </c>
      <c r="C10" s="31">
        <f>'WP 5 CAISO Charges'!D16</f>
        <v>1547.0199999999745</v>
      </c>
      <c r="D10" s="23" t="str">
        <f>D8</f>
        <v>Work paper No. 5; Page 5.1 and 5.2; Line 10</v>
      </c>
      <c r="E10" s="335">
        <f t="shared" si="0"/>
        <v>3</v>
      </c>
    </row>
    <row r="11" spans="1:6" x14ac:dyDescent="0.25">
      <c r="A11" s="334">
        <f t="shared" si="1"/>
        <v>4</v>
      </c>
      <c r="B11" s="108"/>
      <c r="C11" s="31"/>
      <c r="D11" s="10"/>
      <c r="E11" s="335">
        <f t="shared" si="0"/>
        <v>4</v>
      </c>
    </row>
    <row r="12" spans="1:6" ht="16.5" thickBot="1" x14ac:dyDescent="0.3">
      <c r="A12" s="336">
        <f t="shared" si="1"/>
        <v>5</v>
      </c>
      <c r="B12" s="109">
        <f>'WP 7 Wheeling Revenues'!B15</f>
        <v>45627</v>
      </c>
      <c r="C12" s="58">
        <f>'WP 5 CAISO Charges'!E16</f>
        <v>-39959.269999999997</v>
      </c>
      <c r="D12" s="647" t="str">
        <f>D8</f>
        <v>Work paper No. 5; Page 5.1 and 5.2; Line 10</v>
      </c>
      <c r="E12" s="339">
        <f t="shared" si="0"/>
        <v>5</v>
      </c>
    </row>
    <row r="13" spans="1:6" x14ac:dyDescent="0.25">
      <c r="A13" s="334">
        <f t="shared" si="1"/>
        <v>6</v>
      </c>
      <c r="B13" s="108"/>
      <c r="C13" s="31"/>
      <c r="D13" s="23"/>
      <c r="E13" s="335">
        <f t="shared" si="0"/>
        <v>6</v>
      </c>
    </row>
    <row r="14" spans="1:6" x14ac:dyDescent="0.25">
      <c r="A14" s="334">
        <f t="shared" si="1"/>
        <v>7</v>
      </c>
      <c r="B14" s="108">
        <f>'WP 7 Wheeling Revenues'!B17</f>
        <v>45658</v>
      </c>
      <c r="C14" s="31">
        <f>'WP 5 CAISO Charges'!F16</f>
        <v>-20206.699999999993</v>
      </c>
      <c r="D14" s="23" t="str">
        <f>D8</f>
        <v>Work paper No. 5; Page 5.1 and 5.2; Line 10</v>
      </c>
      <c r="E14" s="335">
        <f t="shared" si="0"/>
        <v>7</v>
      </c>
    </row>
    <row r="15" spans="1:6" x14ac:dyDescent="0.25">
      <c r="A15" s="334">
        <f t="shared" si="1"/>
        <v>8</v>
      </c>
      <c r="B15" s="108"/>
      <c r="C15" s="31"/>
      <c r="D15" s="10"/>
      <c r="E15" s="335">
        <f t="shared" si="0"/>
        <v>8</v>
      </c>
    </row>
    <row r="16" spans="1:6" x14ac:dyDescent="0.25">
      <c r="A16" s="334">
        <f t="shared" si="1"/>
        <v>9</v>
      </c>
      <c r="B16" s="108">
        <f>'WP 7 Wheeling Revenues'!B19</f>
        <v>45689</v>
      </c>
      <c r="C16" s="31">
        <f>'WP 5 CAISO Charges'!G16</f>
        <v>-33290.790000000095</v>
      </c>
      <c r="D16" s="23" t="str">
        <f>D8</f>
        <v>Work paper No. 5; Page 5.1 and 5.2; Line 10</v>
      </c>
      <c r="E16" s="335">
        <f t="shared" si="0"/>
        <v>9</v>
      </c>
    </row>
    <row r="17" spans="1:5" x14ac:dyDescent="0.25">
      <c r="A17" s="334">
        <f t="shared" si="1"/>
        <v>10</v>
      </c>
      <c r="B17" s="108"/>
      <c r="C17" s="31"/>
      <c r="D17" s="10"/>
      <c r="E17" s="335">
        <f t="shared" si="0"/>
        <v>10</v>
      </c>
    </row>
    <row r="18" spans="1:5" ht="16.5" thickBot="1" x14ac:dyDescent="0.3">
      <c r="A18" s="336">
        <f t="shared" si="1"/>
        <v>11</v>
      </c>
      <c r="B18" s="109">
        <f>'WP 7 Wheeling Revenues'!B21</f>
        <v>45717</v>
      </c>
      <c r="C18" s="58">
        <f>'WP 5 CAISO Charges'!H16</f>
        <v>-8321.7699999999622</v>
      </c>
      <c r="D18" s="647" t="str">
        <f>D8</f>
        <v>Work paper No. 5; Page 5.1 and 5.2; Line 10</v>
      </c>
      <c r="E18" s="339">
        <f t="shared" si="0"/>
        <v>11</v>
      </c>
    </row>
    <row r="19" spans="1:5" x14ac:dyDescent="0.25">
      <c r="A19" s="334">
        <f t="shared" si="1"/>
        <v>12</v>
      </c>
      <c r="B19" s="108"/>
      <c r="C19" s="31"/>
      <c r="D19" s="10"/>
      <c r="E19" s="335">
        <f t="shared" si="0"/>
        <v>12</v>
      </c>
    </row>
    <row r="20" spans="1:5" x14ac:dyDescent="0.25">
      <c r="A20" s="334">
        <f t="shared" si="1"/>
        <v>13</v>
      </c>
      <c r="B20" s="108">
        <f>'WP 7 Wheeling Revenues'!B23</f>
        <v>45748</v>
      </c>
      <c r="C20" s="31">
        <f>'WP 5 CAISO Charges'!I16</f>
        <v>11176.389999999938</v>
      </c>
      <c r="D20" s="23" t="str">
        <f>D8</f>
        <v>Work paper No. 5; Page 5.1 and 5.2; Line 10</v>
      </c>
      <c r="E20" s="335">
        <f t="shared" si="0"/>
        <v>13</v>
      </c>
    </row>
    <row r="21" spans="1:5" x14ac:dyDescent="0.25">
      <c r="A21" s="334">
        <f t="shared" si="1"/>
        <v>14</v>
      </c>
      <c r="B21" s="108"/>
      <c r="C21" s="31"/>
      <c r="D21" s="10"/>
      <c r="E21" s="335">
        <f t="shared" si="0"/>
        <v>14</v>
      </c>
    </row>
    <row r="22" spans="1:5" x14ac:dyDescent="0.25">
      <c r="A22" s="334">
        <f t="shared" si="1"/>
        <v>15</v>
      </c>
      <c r="B22" s="108">
        <f>'WP 7 Wheeling Revenues'!B25</f>
        <v>45778</v>
      </c>
      <c r="C22" s="31">
        <f>'WP 5 CAISO Charges'!J16</f>
        <v>13199.319999999963</v>
      </c>
      <c r="D22" s="23" t="str">
        <f>D8</f>
        <v>Work paper No. 5; Page 5.1 and 5.2; Line 10</v>
      </c>
      <c r="E22" s="335">
        <f t="shared" si="0"/>
        <v>15</v>
      </c>
    </row>
    <row r="23" spans="1:5" x14ac:dyDescent="0.25">
      <c r="A23" s="334">
        <f t="shared" si="1"/>
        <v>16</v>
      </c>
      <c r="B23" s="108"/>
      <c r="C23" s="31"/>
      <c r="D23" s="10"/>
      <c r="E23" s="335">
        <f t="shared" si="0"/>
        <v>16</v>
      </c>
    </row>
    <row r="24" spans="1:5" ht="16.5" thickBot="1" x14ac:dyDescent="0.3">
      <c r="A24" s="336">
        <f t="shared" si="1"/>
        <v>17</v>
      </c>
      <c r="B24" s="109">
        <f>'WP 7 Wheeling Revenues'!B27</f>
        <v>45809</v>
      </c>
      <c r="C24" s="58">
        <f>'WP 5 CAISO Charges'!K16</f>
        <v>-9473.9899999999834</v>
      </c>
      <c r="D24" s="647" t="str">
        <f>D8</f>
        <v>Work paper No. 5; Page 5.1 and 5.2; Line 10</v>
      </c>
      <c r="E24" s="339">
        <f t="shared" si="0"/>
        <v>17</v>
      </c>
    </row>
    <row r="25" spans="1:5" x14ac:dyDescent="0.25">
      <c r="A25" s="334">
        <f t="shared" si="1"/>
        <v>18</v>
      </c>
      <c r="B25" s="108"/>
      <c r="C25" s="31"/>
      <c r="D25" s="10"/>
      <c r="E25" s="335">
        <f t="shared" si="0"/>
        <v>18</v>
      </c>
    </row>
    <row r="26" spans="1:5" x14ac:dyDescent="0.25">
      <c r="A26" s="334">
        <f t="shared" si="1"/>
        <v>19</v>
      </c>
      <c r="B26" s="108">
        <f>'WP 7 Wheeling Revenues'!B29</f>
        <v>45839</v>
      </c>
      <c r="C26" s="31">
        <f>'WP 5 CAISO Charges'!L16</f>
        <v>-98229.600730000078</v>
      </c>
      <c r="D26" s="23" t="str">
        <f>D8</f>
        <v>Work paper No. 5; Page 5.1 and 5.2; Line 10</v>
      </c>
      <c r="E26" s="335">
        <f t="shared" si="0"/>
        <v>19</v>
      </c>
    </row>
    <row r="27" spans="1:5" x14ac:dyDescent="0.25">
      <c r="A27" s="334">
        <f t="shared" si="1"/>
        <v>20</v>
      </c>
      <c r="B27" s="108"/>
      <c r="C27" s="31"/>
      <c r="D27" s="10"/>
      <c r="E27" s="335">
        <f t="shared" si="0"/>
        <v>20</v>
      </c>
    </row>
    <row r="28" spans="1:5" x14ac:dyDescent="0.25">
      <c r="A28" s="334">
        <f t="shared" si="1"/>
        <v>21</v>
      </c>
      <c r="B28" s="108">
        <f>'WP 7 Wheeling Revenues'!B31</f>
        <v>45870</v>
      </c>
      <c r="C28" s="31">
        <f>'WP 5 CAISO Charges'!M16</f>
        <v>-77236.260000000024</v>
      </c>
      <c r="D28" s="23" t="str">
        <f>D8</f>
        <v>Work paper No. 5; Page 5.1 and 5.2; Line 10</v>
      </c>
      <c r="E28" s="335">
        <f t="shared" si="0"/>
        <v>21</v>
      </c>
    </row>
    <row r="29" spans="1:5" x14ac:dyDescent="0.25">
      <c r="A29" s="334">
        <f t="shared" si="1"/>
        <v>22</v>
      </c>
      <c r="B29" s="108"/>
      <c r="C29" s="31"/>
      <c r="D29" s="10"/>
      <c r="E29" s="335">
        <f t="shared" si="0"/>
        <v>22</v>
      </c>
    </row>
    <row r="30" spans="1:5" ht="16.5" thickBot="1" x14ac:dyDescent="0.3">
      <c r="A30" s="336">
        <f t="shared" si="1"/>
        <v>23</v>
      </c>
      <c r="B30" s="109">
        <f>'WP 7 Wheeling Revenues'!B33</f>
        <v>45901</v>
      </c>
      <c r="C30" s="82">
        <f>'WP 5 CAISO Charges'!N16</f>
        <v>-83995.520150000259</v>
      </c>
      <c r="D30" s="647" t="str">
        <f>D8</f>
        <v>Work paper No. 5; Page 5.1 and 5.2; Line 10</v>
      </c>
      <c r="E30" s="339">
        <f t="shared" si="0"/>
        <v>23</v>
      </c>
    </row>
    <row r="31" spans="1:5" x14ac:dyDescent="0.25">
      <c r="A31" s="334">
        <f t="shared" si="1"/>
        <v>24</v>
      </c>
      <c r="B31" s="108"/>
      <c r="C31" s="44"/>
      <c r="D31" s="23"/>
      <c r="E31" s="335">
        <f t="shared" si="0"/>
        <v>24</v>
      </c>
    </row>
    <row r="32" spans="1:5" ht="16.5" thickBot="1" x14ac:dyDescent="0.3">
      <c r="A32" s="334">
        <f t="shared" si="1"/>
        <v>25</v>
      </c>
      <c r="B32" s="132" t="s">
        <v>406</v>
      </c>
      <c r="C32" s="73">
        <f>SUM(C8:C30)</f>
        <v>-382483.10728000058</v>
      </c>
      <c r="D32" s="29" t="s">
        <v>407</v>
      </c>
      <c r="E32" s="335">
        <f t="shared" si="0"/>
        <v>25</v>
      </c>
    </row>
    <row r="33" spans="1:5" ht="16.5" thickTop="1" x14ac:dyDescent="0.25">
      <c r="A33" s="334">
        <f t="shared" si="1"/>
        <v>26</v>
      </c>
      <c r="B33" s="10"/>
      <c r="C33" s="19"/>
      <c r="E33" s="335">
        <f t="shared" si="0"/>
        <v>26</v>
      </c>
    </row>
    <row r="34" spans="1:5" ht="35.85" customHeight="1" thickBot="1" x14ac:dyDescent="0.3">
      <c r="A34" s="669">
        <f t="shared" si="1"/>
        <v>27</v>
      </c>
      <c r="B34" s="676" t="s">
        <v>418</v>
      </c>
      <c r="C34" s="192">
        <f>C32</f>
        <v>-382483.10728000058</v>
      </c>
      <c r="D34" s="29" t="s">
        <v>409</v>
      </c>
      <c r="E34" s="671">
        <f t="shared" si="0"/>
        <v>27</v>
      </c>
    </row>
    <row r="35" spans="1:5" ht="17.25" thickTop="1" thickBot="1" x14ac:dyDescent="0.3">
      <c r="A35" s="336">
        <f t="shared" si="1"/>
        <v>28</v>
      </c>
      <c r="B35" s="362"/>
      <c r="C35" s="785"/>
      <c r="D35" s="248"/>
      <c r="E35" s="339">
        <f t="shared" ref="E35" si="2">E34+1</f>
        <v>28</v>
      </c>
    </row>
    <row r="36" spans="1:5" x14ac:dyDescent="0.25">
      <c r="B36" s="333"/>
      <c r="C36" s="72"/>
      <c r="D36" s="72"/>
    </row>
    <row r="37" spans="1:5" ht="18.75" x14ac:dyDescent="0.25">
      <c r="A37" s="677"/>
      <c r="B37" s="107"/>
      <c r="C37" s="28"/>
      <c r="D37" s="110"/>
    </row>
    <row r="38" spans="1:5" ht="12.75" customHeight="1" x14ac:dyDescent="0.25">
      <c r="A38" s="677"/>
      <c r="B38" s="107"/>
      <c r="C38" s="110"/>
      <c r="D38" s="110"/>
    </row>
    <row r="39" spans="1:5" ht="18.75" x14ac:dyDescent="0.25">
      <c r="A39" s="677"/>
      <c r="B39" s="133"/>
    </row>
    <row r="40" spans="1:5" x14ac:dyDescent="0.25">
      <c r="B40" s="129"/>
      <c r="C40" s="129"/>
      <c r="D40" s="129"/>
    </row>
    <row r="41" spans="1:5" x14ac:dyDescent="0.25">
      <c r="B41" s="129"/>
      <c r="C41" s="129"/>
      <c r="D41" s="129"/>
    </row>
    <row r="42" spans="1:5" x14ac:dyDescent="0.25">
      <c r="B42" s="129"/>
      <c r="C42" s="129"/>
      <c r="D42" s="129"/>
    </row>
    <row r="43" spans="1:5" x14ac:dyDescent="0.25">
      <c r="C43" s="113"/>
      <c r="D43" s="113"/>
    </row>
  </sheetData>
  <mergeCells count="3">
    <mergeCell ref="A2:E2"/>
    <mergeCell ref="A3:E3"/>
    <mergeCell ref="A4:E4"/>
  </mergeCells>
  <printOptions horizontalCentered="1"/>
  <pageMargins left="0" right="0" top="0.5" bottom="0.5" header="0.25" footer="0.25"/>
  <pageSetup scale="76" orientation="landscape" r:id="rId1"/>
  <headerFooter alignWithMargins="0">
    <oddFooter>&amp;L&amp;"Times New Roman,Regular"&amp;12&amp;F&amp;C&amp;"Times New Roman,Regular"&amp;12Page 9.1&amp;R&amp;"Times New Roman,Regular"&amp;12&amp;A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S92"/>
  <sheetViews>
    <sheetView zoomScale="80" zoomScaleNormal="80" zoomScaleSheetLayoutView="70" workbookViewId="0">
      <pane xSplit="3" ySplit="3" topLeftCell="D4" activePane="bottomRight" state="frozen"/>
      <selection pane="topRight"/>
      <selection pane="bottomLeft"/>
      <selection pane="bottomRight" activeCell="M59" sqref="M59"/>
    </sheetView>
  </sheetViews>
  <sheetFormatPr defaultColWidth="9.42578125" defaultRowHeight="12.75" x14ac:dyDescent="0.2"/>
  <cols>
    <col min="1" max="1" width="5.5703125" style="242" customWidth="1"/>
    <col min="2" max="2" width="9.28515625" style="242" bestFit="1" customWidth="1"/>
    <col min="3" max="3" width="59" style="242" customWidth="1"/>
    <col min="4" max="14" width="13.5703125" style="373" customWidth="1"/>
    <col min="15" max="15" width="14.42578125" style="373" customWidth="1"/>
    <col min="16" max="16" width="15.5703125" style="373" customWidth="1"/>
    <col min="17" max="17" width="5.5703125" style="242" customWidth="1"/>
    <col min="18" max="18" width="9.7109375" style="242" bestFit="1" customWidth="1"/>
    <col min="19" max="19" width="11.28515625" style="242" bestFit="1" customWidth="1"/>
    <col min="20" max="16384" width="9.42578125" style="242"/>
  </cols>
  <sheetData>
    <row r="2" spans="1:18" ht="16.5" thickBot="1" x14ac:dyDescent="0.3">
      <c r="A2" s="55"/>
      <c r="B2" s="309"/>
      <c r="C2" s="786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</row>
    <row r="3" spans="1:18" ht="38.25" customHeight="1" thickBot="1" x14ac:dyDescent="0.3">
      <c r="A3" s="852" t="s">
        <v>69</v>
      </c>
      <c r="B3" s="314" t="s">
        <v>421</v>
      </c>
      <c r="C3" s="538" t="s">
        <v>422</v>
      </c>
      <c r="D3" s="365">
        <f>'WP 1.1 Recorded Sales'!C5</f>
        <v>45566</v>
      </c>
      <c r="E3" s="538">
        <f>'WP 1.1 Recorded Sales'!D5</f>
        <v>45597</v>
      </c>
      <c r="F3" s="365">
        <f>'WP 1.1 Recorded Sales'!E5</f>
        <v>45627</v>
      </c>
      <c r="G3" s="538">
        <f>'WP 1.1 Recorded Sales'!F5</f>
        <v>45658</v>
      </c>
      <c r="H3" s="365">
        <f>'WP 1.1 Recorded Sales'!G5</f>
        <v>45689</v>
      </c>
      <c r="I3" s="538">
        <f>'WP 1.1 Recorded Sales'!H5</f>
        <v>45717</v>
      </c>
      <c r="J3" s="365">
        <f>'WP 1.1 Recorded Sales'!I5</f>
        <v>45748</v>
      </c>
      <c r="K3" s="538">
        <f>'WP 1.1 Recorded Sales'!J5</f>
        <v>45778</v>
      </c>
      <c r="L3" s="365">
        <f>'WP 1.1 Recorded Sales'!K5</f>
        <v>45809</v>
      </c>
      <c r="M3" s="538">
        <f>'WP 1.1 Recorded Sales'!L5</f>
        <v>45839</v>
      </c>
      <c r="N3" s="365">
        <f>'WP 1.1 Recorded Sales'!M5</f>
        <v>45870</v>
      </c>
      <c r="O3" s="538">
        <f>'WP 1.1 Recorded Sales'!N5</f>
        <v>45901</v>
      </c>
      <c r="P3" s="365" t="s">
        <v>18</v>
      </c>
      <c r="Q3" s="314" t="s">
        <v>69</v>
      </c>
    </row>
    <row r="4" spans="1:18" ht="16.5" thickBot="1" x14ac:dyDescent="0.3">
      <c r="A4" s="923"/>
      <c r="B4" s="910"/>
      <c r="C4" s="937" t="s">
        <v>86</v>
      </c>
      <c r="D4" s="925"/>
      <c r="E4" s="911"/>
      <c r="F4" s="927"/>
      <c r="G4" s="912"/>
      <c r="H4" s="925"/>
      <c r="I4" s="912"/>
      <c r="J4" s="925"/>
      <c r="K4" s="912"/>
      <c r="L4" s="925"/>
      <c r="M4" s="912"/>
      <c r="N4" s="925"/>
      <c r="O4" s="911"/>
      <c r="P4" s="927"/>
      <c r="Q4" s="910"/>
    </row>
    <row r="5" spans="1:18" ht="15.75" x14ac:dyDescent="0.25">
      <c r="A5" s="187">
        <v>1</v>
      </c>
      <c r="B5" s="956">
        <v>1592</v>
      </c>
      <c r="C5" s="125" t="s">
        <v>423</v>
      </c>
      <c r="D5" s="340">
        <f>-3221.23-'WP 12 PTO'!D5</f>
        <v>-3029.16129</v>
      </c>
      <c r="E5" s="465">
        <f>0-'WP 12 PTO'!E5</f>
        <v>0</v>
      </c>
      <c r="F5" s="327">
        <f>0-'WP 12 PTO'!F5</f>
        <v>0</v>
      </c>
      <c r="G5" s="903">
        <f>0-'WP 12 PTO'!G5</f>
        <v>0</v>
      </c>
      <c r="H5" s="340">
        <f>0-'WP 12 PTO'!H5</f>
        <v>0</v>
      </c>
      <c r="I5" s="903">
        <f>0-'WP 12 PTO'!I5</f>
        <v>0</v>
      </c>
      <c r="J5" s="340">
        <f>0-'WP 12 PTO'!J5</f>
        <v>0</v>
      </c>
      <c r="K5" s="903">
        <f>0-'WP 12 PTO'!K5</f>
        <v>0</v>
      </c>
      <c r="L5" s="340">
        <f>0-'WP 12 PTO'!L5</f>
        <v>0</v>
      </c>
      <c r="M5" s="903">
        <f>-7577.23-'WP 12 PTO'!M5</f>
        <v>-7393.15643</v>
      </c>
      <c r="N5" s="340">
        <f>0-'WP 12 PTO'!N5</f>
        <v>0</v>
      </c>
      <c r="O5" s="465">
        <f>0-'WP 12 PTO'!O5</f>
        <v>0</v>
      </c>
      <c r="P5" s="327">
        <f t="shared" ref="P5:P23" si="0">SUM(D5:O5)</f>
        <v>-10422.317719999999</v>
      </c>
      <c r="Q5" s="120">
        <f>A5</f>
        <v>1</v>
      </c>
      <c r="R5" s="22"/>
    </row>
    <row r="6" spans="1:18" ht="15.75" x14ac:dyDescent="0.25">
      <c r="A6" s="187">
        <f>A5+1</f>
        <v>2</v>
      </c>
      <c r="B6" s="120">
        <v>6011</v>
      </c>
      <c r="C6" s="125" t="s">
        <v>424</v>
      </c>
      <c r="D6" s="93">
        <v>42288.959999999999</v>
      </c>
      <c r="E6" s="148">
        <v>18036.609999999997</v>
      </c>
      <c r="F6" s="93">
        <v>-21606.9</v>
      </c>
      <c r="G6" s="148">
        <v>15127.099999999999</v>
      </c>
      <c r="H6" s="93">
        <v>-3870.68</v>
      </c>
      <c r="I6" s="148">
        <v>17642.349999999999</v>
      </c>
      <c r="J6" s="93">
        <v>25745.200000000004</v>
      </c>
      <c r="K6" s="148">
        <v>21699.26</v>
      </c>
      <c r="L6" s="93">
        <v>-23448.86</v>
      </c>
      <c r="M6" s="148">
        <v>-4133.7500000000009</v>
      </c>
      <c r="N6" s="93">
        <v>-33131.980000000003</v>
      </c>
      <c r="O6" s="148">
        <v>-27317.37</v>
      </c>
      <c r="P6" s="93">
        <f t="shared" si="0"/>
        <v>27029.939999999977</v>
      </c>
      <c r="Q6" s="120">
        <f t="shared" ref="Q6:Q53" si="1">A6</f>
        <v>2</v>
      </c>
      <c r="R6" s="22"/>
    </row>
    <row r="7" spans="1:18" ht="15.75" x14ac:dyDescent="0.25">
      <c r="A7" s="187">
        <f t="shared" ref="A7:A22" si="2">A6+1</f>
        <v>3</v>
      </c>
      <c r="B7" s="120">
        <v>6090</v>
      </c>
      <c r="C7" s="125" t="s">
        <v>425</v>
      </c>
      <c r="D7" s="93">
        <v>-22.28</v>
      </c>
      <c r="E7" s="148">
        <v>-0.89</v>
      </c>
      <c r="F7" s="93">
        <v>0</v>
      </c>
      <c r="G7" s="148">
        <v>0</v>
      </c>
      <c r="H7" s="93">
        <v>0.03</v>
      </c>
      <c r="I7" s="148">
        <v>0</v>
      </c>
      <c r="J7" s="93">
        <v>-0.78</v>
      </c>
      <c r="K7" s="148">
        <v>-10.51</v>
      </c>
      <c r="L7" s="93">
        <v>-0.14000000000000001</v>
      </c>
      <c r="M7" s="148">
        <v>-2.9999999999999916E-2</v>
      </c>
      <c r="N7" s="93">
        <v>1.1399999999999999</v>
      </c>
      <c r="O7" s="148">
        <v>-1.55</v>
      </c>
      <c r="P7" s="93">
        <f t="shared" si="0"/>
        <v>-35.01</v>
      </c>
      <c r="Q7" s="120">
        <f t="shared" si="1"/>
        <v>3</v>
      </c>
      <c r="R7" s="22"/>
    </row>
    <row r="8" spans="1:18" ht="15.75" x14ac:dyDescent="0.25">
      <c r="A8" s="187">
        <f t="shared" si="2"/>
        <v>4</v>
      </c>
      <c r="B8" s="120">
        <v>6194</v>
      </c>
      <c r="C8" s="125" t="s">
        <v>426</v>
      </c>
      <c r="D8" s="93">
        <v>64.459999999999994</v>
      </c>
      <c r="E8" s="148">
        <v>-0.90000000000000013</v>
      </c>
      <c r="F8" s="93">
        <v>-6.68</v>
      </c>
      <c r="G8" s="148">
        <v>-3.3800000000000003</v>
      </c>
      <c r="H8" s="93">
        <v>-5.01</v>
      </c>
      <c r="I8" s="148">
        <v>-8.2899999999999991</v>
      </c>
      <c r="J8" s="93">
        <v>-8.16</v>
      </c>
      <c r="K8" s="148">
        <v>6.01</v>
      </c>
      <c r="L8" s="93">
        <v>0.05</v>
      </c>
      <c r="M8" s="148">
        <v>-2.16</v>
      </c>
      <c r="N8" s="93">
        <v>-4.01</v>
      </c>
      <c r="O8" s="148">
        <v>-7.02</v>
      </c>
      <c r="P8" s="93">
        <f t="shared" si="0"/>
        <v>24.909999999999986</v>
      </c>
      <c r="Q8" s="120">
        <f t="shared" si="1"/>
        <v>4</v>
      </c>
      <c r="R8" s="22"/>
    </row>
    <row r="9" spans="1:18" ht="16.5" thickBot="1" x14ac:dyDescent="0.3">
      <c r="A9" s="638">
        <f t="shared" si="2"/>
        <v>5</v>
      </c>
      <c r="B9" s="121">
        <v>6294</v>
      </c>
      <c r="C9" s="126" t="s">
        <v>427</v>
      </c>
      <c r="D9" s="915">
        <v>245.63000000000002</v>
      </c>
      <c r="E9" s="717">
        <v>-3.5999999999999996</v>
      </c>
      <c r="F9" s="915">
        <v>-21.549999999999997</v>
      </c>
      <c r="G9" s="717">
        <v>-9.57</v>
      </c>
      <c r="H9" s="915">
        <v>-8.4499999999999993</v>
      </c>
      <c r="I9" s="717">
        <v>-18.14</v>
      </c>
      <c r="J9" s="915">
        <v>-27.35</v>
      </c>
      <c r="K9" s="717">
        <v>12.100000000000001</v>
      </c>
      <c r="L9" s="915">
        <v>0.06</v>
      </c>
      <c r="M9" s="717">
        <v>-3.71</v>
      </c>
      <c r="N9" s="915">
        <v>-6.84</v>
      </c>
      <c r="O9" s="717">
        <v>-32.369999999999997</v>
      </c>
      <c r="P9" s="915">
        <f t="shared" si="0"/>
        <v>126.21000000000004</v>
      </c>
      <c r="Q9" s="121">
        <f t="shared" si="1"/>
        <v>5</v>
      </c>
      <c r="R9" s="22"/>
    </row>
    <row r="10" spans="1:18" ht="15.75" x14ac:dyDescent="0.25">
      <c r="A10" s="187">
        <f>A9+1</f>
        <v>6</v>
      </c>
      <c r="B10" s="120">
        <v>6458</v>
      </c>
      <c r="C10" s="149" t="s">
        <v>428</v>
      </c>
      <c r="D10" s="93">
        <v>-15.57</v>
      </c>
      <c r="E10" s="148">
        <v>-0.08</v>
      </c>
      <c r="F10" s="93">
        <v>0.33999999999999991</v>
      </c>
      <c r="G10" s="148">
        <v>0</v>
      </c>
      <c r="H10" s="93">
        <v>-0.17</v>
      </c>
      <c r="I10" s="148">
        <v>0</v>
      </c>
      <c r="J10" s="93">
        <v>-38.56</v>
      </c>
      <c r="K10" s="148">
        <v>-33.01</v>
      </c>
      <c r="L10" s="93">
        <v>0.08</v>
      </c>
      <c r="M10" s="148">
        <v>1.01</v>
      </c>
      <c r="N10" s="93">
        <v>0.84</v>
      </c>
      <c r="O10" s="148">
        <v>-1357.32</v>
      </c>
      <c r="P10" s="93">
        <f t="shared" si="0"/>
        <v>-1442.44</v>
      </c>
      <c r="Q10" s="120">
        <f t="shared" si="1"/>
        <v>6</v>
      </c>
      <c r="R10" s="22"/>
    </row>
    <row r="11" spans="1:18" ht="15.75" x14ac:dyDescent="0.25">
      <c r="A11" s="187">
        <f t="shared" si="2"/>
        <v>7</v>
      </c>
      <c r="B11" s="120">
        <v>6478</v>
      </c>
      <c r="C11" s="149" t="s">
        <v>429</v>
      </c>
      <c r="D11" s="93">
        <v>-47.17</v>
      </c>
      <c r="E11" s="148">
        <v>82.94</v>
      </c>
      <c r="F11" s="93">
        <v>49.089999999999996</v>
      </c>
      <c r="G11" s="148">
        <v>-22.36</v>
      </c>
      <c r="H11" s="93">
        <v>-37.049999999999997</v>
      </c>
      <c r="I11" s="148">
        <v>-66.849999999999994</v>
      </c>
      <c r="J11" s="93">
        <v>-13.009999999999998</v>
      </c>
      <c r="K11" s="148">
        <v>-77.2</v>
      </c>
      <c r="L11" s="93">
        <v>-10.980000000000002</v>
      </c>
      <c r="M11" s="148">
        <v>0.38999999999999702</v>
      </c>
      <c r="N11" s="93">
        <v>42.769999999999996</v>
      </c>
      <c r="O11" s="148">
        <v>-72.680000000000007</v>
      </c>
      <c r="P11" s="93">
        <f t="shared" si="0"/>
        <v>-172.11</v>
      </c>
      <c r="Q11" s="120">
        <f t="shared" si="1"/>
        <v>7</v>
      </c>
      <c r="R11" s="22"/>
    </row>
    <row r="12" spans="1:18" ht="15.75" x14ac:dyDescent="0.25">
      <c r="A12" s="187">
        <f t="shared" si="2"/>
        <v>8</v>
      </c>
      <c r="B12" s="120">
        <v>6479</v>
      </c>
      <c r="C12" s="149" t="s">
        <v>482</v>
      </c>
      <c r="D12" s="93">
        <v>0</v>
      </c>
      <c r="E12" s="148">
        <v>0</v>
      </c>
      <c r="F12" s="93">
        <v>-18.690000000000001</v>
      </c>
      <c r="G12" s="148">
        <v>0</v>
      </c>
      <c r="H12" s="93">
        <v>0</v>
      </c>
      <c r="I12" s="148">
        <v>8.98</v>
      </c>
      <c r="J12" s="93">
        <v>0</v>
      </c>
      <c r="K12" s="148">
        <v>0</v>
      </c>
      <c r="L12" s="93">
        <v>0</v>
      </c>
      <c r="M12" s="148">
        <v>0</v>
      </c>
      <c r="N12" s="93">
        <v>-0.03</v>
      </c>
      <c r="O12" s="148">
        <v>-807.59</v>
      </c>
      <c r="P12" s="93">
        <f t="shared" si="0"/>
        <v>-817.33</v>
      </c>
      <c r="Q12" s="120">
        <f t="shared" si="1"/>
        <v>8</v>
      </c>
      <c r="R12" s="22"/>
    </row>
    <row r="13" spans="1:18" ht="15.75" x14ac:dyDescent="0.25">
      <c r="A13" s="187">
        <f t="shared" si="2"/>
        <v>9</v>
      </c>
      <c r="B13" s="120">
        <v>6706</v>
      </c>
      <c r="C13" s="125" t="s">
        <v>430</v>
      </c>
      <c r="D13" s="93">
        <v>-95.37</v>
      </c>
      <c r="E13" s="148">
        <v>1.1599999999999999</v>
      </c>
      <c r="F13" s="93">
        <v>2.72</v>
      </c>
      <c r="G13" s="148">
        <v>0.56999999999999995</v>
      </c>
      <c r="H13" s="93">
        <v>0</v>
      </c>
      <c r="I13" s="148">
        <v>0.01</v>
      </c>
      <c r="J13" s="93">
        <v>0</v>
      </c>
      <c r="K13" s="148">
        <v>-645.02</v>
      </c>
      <c r="L13" s="93">
        <v>0.64</v>
      </c>
      <c r="M13" s="148">
        <v>0.36</v>
      </c>
      <c r="N13" s="93">
        <v>11.91</v>
      </c>
      <c r="O13" s="148">
        <v>0.23</v>
      </c>
      <c r="P13" s="93">
        <f t="shared" si="0"/>
        <v>-722.79</v>
      </c>
      <c r="Q13" s="120">
        <f t="shared" si="1"/>
        <v>9</v>
      </c>
      <c r="R13" s="22"/>
    </row>
    <row r="14" spans="1:18" ht="16.5" thickBot="1" x14ac:dyDescent="0.3">
      <c r="A14" s="638">
        <f t="shared" si="2"/>
        <v>10</v>
      </c>
      <c r="B14" s="526">
        <v>6788</v>
      </c>
      <c r="C14" s="126" t="s">
        <v>431</v>
      </c>
      <c r="D14" s="915">
        <v>-83935.01999999999</v>
      </c>
      <c r="E14" s="717">
        <v>-740.56</v>
      </c>
      <c r="F14" s="915">
        <v>632.09000000000015</v>
      </c>
      <c r="G14" s="717">
        <v>-5640.6</v>
      </c>
      <c r="H14" s="915">
        <v>0.51</v>
      </c>
      <c r="I14" s="717">
        <v>-1915.26</v>
      </c>
      <c r="J14" s="915">
        <v>-8248.4699999999993</v>
      </c>
      <c r="K14" s="717">
        <v>-7305.9400000000005</v>
      </c>
      <c r="L14" s="915">
        <v>-3066.9300000000003</v>
      </c>
      <c r="M14" s="717">
        <v>-6.8</v>
      </c>
      <c r="N14" s="915">
        <v>67.44</v>
      </c>
      <c r="O14" s="717">
        <v>-71283.820000000007</v>
      </c>
      <c r="P14" s="915">
        <f t="shared" si="0"/>
        <v>-181443.36</v>
      </c>
      <c r="Q14" s="121">
        <f t="shared" si="1"/>
        <v>10</v>
      </c>
      <c r="R14" s="22"/>
    </row>
    <row r="15" spans="1:18" ht="15.75" x14ac:dyDescent="0.25">
      <c r="A15" s="187">
        <f t="shared" si="2"/>
        <v>11</v>
      </c>
      <c r="B15" s="120">
        <v>6791</v>
      </c>
      <c r="C15" s="149" t="s">
        <v>432</v>
      </c>
      <c r="D15" s="93">
        <v>-9.43</v>
      </c>
      <c r="E15" s="148">
        <v>0.01</v>
      </c>
      <c r="F15" s="93">
        <v>0.01</v>
      </c>
      <c r="G15" s="148">
        <v>0.01</v>
      </c>
      <c r="H15" s="93">
        <v>0</v>
      </c>
      <c r="I15" s="148">
        <v>0</v>
      </c>
      <c r="J15" s="93">
        <v>0</v>
      </c>
      <c r="K15" s="148">
        <v>-7.27</v>
      </c>
      <c r="L15" s="93">
        <v>0.01</v>
      </c>
      <c r="M15" s="148">
        <v>0</v>
      </c>
      <c r="N15" s="93">
        <v>0.15</v>
      </c>
      <c r="O15" s="148">
        <v>0</v>
      </c>
      <c r="P15" s="93">
        <f t="shared" si="0"/>
        <v>-16.510000000000002</v>
      </c>
      <c r="Q15" s="120">
        <f t="shared" si="1"/>
        <v>11</v>
      </c>
      <c r="R15" s="22"/>
    </row>
    <row r="16" spans="1:18" s="530" customFormat="1" ht="15.75" x14ac:dyDescent="0.25">
      <c r="A16" s="924">
        <f t="shared" si="2"/>
        <v>12</v>
      </c>
      <c r="B16" s="529">
        <v>6947</v>
      </c>
      <c r="C16" s="938" t="s">
        <v>433</v>
      </c>
      <c r="D16" s="926">
        <v>-160967.49000000002</v>
      </c>
      <c r="E16" s="718">
        <v>-89836.31</v>
      </c>
      <c r="F16" s="926">
        <v>-91594.05</v>
      </c>
      <c r="G16" s="718">
        <v>-99976.569999999992</v>
      </c>
      <c r="H16" s="926">
        <v>-71277.56</v>
      </c>
      <c r="I16" s="718">
        <v>-86739.459999999992</v>
      </c>
      <c r="J16" s="926">
        <v>-82594.91</v>
      </c>
      <c r="K16" s="718">
        <v>-61998.09</v>
      </c>
      <c r="L16" s="926">
        <v>-60764.800000000003</v>
      </c>
      <c r="M16" s="907">
        <v>-132705.32999999999</v>
      </c>
      <c r="N16" s="926">
        <v>-105387.78000000001</v>
      </c>
      <c r="O16" s="718">
        <v>-130093.48</v>
      </c>
      <c r="P16" s="926">
        <f t="shared" si="0"/>
        <v>-1173935.83</v>
      </c>
      <c r="Q16" s="120">
        <f t="shared" si="1"/>
        <v>12</v>
      </c>
      <c r="R16" s="193"/>
    </row>
    <row r="17" spans="1:18" ht="31.5" x14ac:dyDescent="0.25">
      <c r="A17" s="924">
        <f t="shared" si="2"/>
        <v>13</v>
      </c>
      <c r="B17" s="529">
        <v>6977</v>
      </c>
      <c r="C17" s="939" t="s">
        <v>434</v>
      </c>
      <c r="D17" s="93">
        <v>-57.91</v>
      </c>
      <c r="E17" s="148">
        <v>-0.63000000000000012</v>
      </c>
      <c r="F17" s="93">
        <v>0.39</v>
      </c>
      <c r="G17" s="148">
        <v>0</v>
      </c>
      <c r="H17" s="93">
        <v>-0.19</v>
      </c>
      <c r="I17" s="148">
        <v>0</v>
      </c>
      <c r="J17" s="93">
        <v>-40.81</v>
      </c>
      <c r="K17" s="148">
        <v>-30.48</v>
      </c>
      <c r="L17" s="93">
        <v>0.06</v>
      </c>
      <c r="M17" s="148">
        <v>0.62000000000000011</v>
      </c>
      <c r="N17" s="93">
        <v>0.75</v>
      </c>
      <c r="O17" s="148">
        <v>-841.54</v>
      </c>
      <c r="P17" s="93">
        <f t="shared" si="0"/>
        <v>-969.74</v>
      </c>
      <c r="Q17" s="120">
        <f t="shared" si="1"/>
        <v>13</v>
      </c>
      <c r="R17" s="22"/>
    </row>
    <row r="18" spans="1:18" ht="15.75" x14ac:dyDescent="0.25">
      <c r="A18" s="187">
        <f t="shared" si="2"/>
        <v>14</v>
      </c>
      <c r="B18" s="120">
        <v>7070</v>
      </c>
      <c r="C18" s="149" t="s">
        <v>435</v>
      </c>
      <c r="D18" s="93">
        <v>4857.26</v>
      </c>
      <c r="E18" s="148">
        <v>0</v>
      </c>
      <c r="F18" s="93">
        <v>0</v>
      </c>
      <c r="G18" s="148">
        <v>0</v>
      </c>
      <c r="H18" s="93">
        <v>0</v>
      </c>
      <c r="I18" s="148">
        <v>-56.62</v>
      </c>
      <c r="J18" s="93">
        <v>-4855.7299999999996</v>
      </c>
      <c r="K18" s="148">
        <v>3026.58</v>
      </c>
      <c r="L18" s="93">
        <v>-91.33</v>
      </c>
      <c r="M18" s="148">
        <v>-254.14</v>
      </c>
      <c r="N18" s="93">
        <v>573.93000000000006</v>
      </c>
      <c r="O18" s="148">
        <v>-2199.4899999999998</v>
      </c>
      <c r="P18" s="93">
        <f t="shared" si="0"/>
        <v>1000.4600000000009</v>
      </c>
      <c r="Q18" s="120">
        <f t="shared" si="1"/>
        <v>14</v>
      </c>
      <c r="R18" s="22"/>
    </row>
    <row r="19" spans="1:18" ht="16.5" thickBot="1" x14ac:dyDescent="0.3">
      <c r="A19" s="638">
        <f t="shared" si="2"/>
        <v>15</v>
      </c>
      <c r="B19" s="121">
        <v>7078</v>
      </c>
      <c r="C19" s="126" t="s">
        <v>436</v>
      </c>
      <c r="D19" s="915">
        <v>10.24</v>
      </c>
      <c r="E19" s="717">
        <v>0.54</v>
      </c>
      <c r="F19" s="915">
        <v>0.84</v>
      </c>
      <c r="G19" s="717">
        <v>0.05</v>
      </c>
      <c r="H19" s="915">
        <v>0</v>
      </c>
      <c r="I19" s="717">
        <v>0.56000000000000005</v>
      </c>
      <c r="J19" s="915">
        <v>1.35</v>
      </c>
      <c r="K19" s="717">
        <v>-10.55</v>
      </c>
      <c r="L19" s="915">
        <v>12.34</v>
      </c>
      <c r="M19" s="717">
        <v>5.21</v>
      </c>
      <c r="N19" s="915">
        <v>-0.28999999999999998</v>
      </c>
      <c r="O19" s="717">
        <v>6.36</v>
      </c>
      <c r="P19" s="915">
        <f t="shared" si="0"/>
        <v>26.650000000000002</v>
      </c>
      <c r="Q19" s="121">
        <f t="shared" si="1"/>
        <v>15</v>
      </c>
      <c r="R19" s="22"/>
    </row>
    <row r="20" spans="1:18" ht="15.75" x14ac:dyDescent="0.25">
      <c r="A20" s="187">
        <f t="shared" si="2"/>
        <v>16</v>
      </c>
      <c r="B20" s="120">
        <v>7989</v>
      </c>
      <c r="C20" s="125" t="s">
        <v>437</v>
      </c>
      <c r="D20" s="93">
        <f>0-'WP 12 PTO'!D7</f>
        <v>0</v>
      </c>
      <c r="E20" s="148">
        <f>-1685.72-'WP 12 PTO'!E7</f>
        <v>-0.99000000000000909</v>
      </c>
      <c r="F20" s="93">
        <f>-2.09-'WP 12 PTO'!F7</f>
        <v>-2.09</v>
      </c>
      <c r="G20" s="148">
        <f>-2.53-'WP 12 PTO'!G7</f>
        <v>1740.75</v>
      </c>
      <c r="H20" s="93">
        <f>-318320.18-'WP 12 PTO'!H7</f>
        <v>1754.0499999999884</v>
      </c>
      <c r="I20" s="148">
        <f>-368649.74-'WP 12 PTO'!I7</f>
        <v>-59.409999999974389</v>
      </c>
      <c r="J20" s="93">
        <f>-716763.66-'WP 12 PTO'!J7</f>
        <v>-197.21000000007916</v>
      </c>
      <c r="K20" s="148">
        <f>-422581.53-'WP 12 PTO'!K7</f>
        <v>-499.35000000003492</v>
      </c>
      <c r="L20" s="93">
        <f>-417332.35-'WP 12 PTO'!L7</f>
        <v>-292.4199999999837</v>
      </c>
      <c r="M20" s="148">
        <f>-409164.14-'WP 12 PTO'!M7</f>
        <v>-119.37000000005355</v>
      </c>
      <c r="N20" s="93">
        <f>-366.8-'WP 12 PTO'!N7</f>
        <v>-366.8</v>
      </c>
      <c r="O20" s="148">
        <f>-383329.33-'WP 12 PTO'!O7</f>
        <v>-174.13000000000466</v>
      </c>
      <c r="P20" s="93">
        <f t="shared" si="0"/>
        <v>1783.0299999998581</v>
      </c>
      <c r="Q20" s="120">
        <f t="shared" si="1"/>
        <v>16</v>
      </c>
      <c r="R20" s="22"/>
    </row>
    <row r="21" spans="1:18" ht="15.75" x14ac:dyDescent="0.25">
      <c r="A21" s="187">
        <f t="shared" si="2"/>
        <v>17</v>
      </c>
      <c r="B21" s="120">
        <v>8526</v>
      </c>
      <c r="C21" s="125" t="s">
        <v>438</v>
      </c>
      <c r="D21" s="93">
        <f>-873.86-'WP 12 PTO'!D11</f>
        <v>-821.75511000000006</v>
      </c>
      <c r="E21" s="148">
        <f>0-'WP 12 PTO'!E11</f>
        <v>0</v>
      </c>
      <c r="F21" s="93">
        <f>0-'WP 12 PTO'!F11</f>
        <v>0</v>
      </c>
      <c r="G21" s="148">
        <f>0-'WP 12 PTO'!G11</f>
        <v>0</v>
      </c>
      <c r="H21" s="93">
        <f>0-'WP 12 PTO'!H11</f>
        <v>0</v>
      </c>
      <c r="I21" s="148">
        <f>0-'WP 12 PTO'!I11</f>
        <v>0</v>
      </c>
      <c r="J21" s="93">
        <f>0-'WP 12 PTO'!J11</f>
        <v>0</v>
      </c>
      <c r="K21" s="148">
        <f>0-'WP 12 PTO'!K11</f>
        <v>0</v>
      </c>
      <c r="L21" s="93">
        <f>0-'WP 12 PTO'!L11</f>
        <v>0</v>
      </c>
      <c r="M21" s="148">
        <f>-553.07-'WP 12 PTO'!M11</f>
        <v>-539.63430000000005</v>
      </c>
      <c r="N21" s="93">
        <f>0-'WP 12 PTO'!N11</f>
        <v>0</v>
      </c>
      <c r="O21" s="148">
        <f>-3673721.89-'WP 12 PTO'!O11</f>
        <v>-1.5000021085143089E-4</v>
      </c>
      <c r="P21" s="93">
        <f t="shared" si="0"/>
        <v>-1361.3895600002111</v>
      </c>
      <c r="Q21" s="120">
        <f t="shared" si="1"/>
        <v>17</v>
      </c>
      <c r="R21" s="22"/>
    </row>
    <row r="22" spans="1:18" ht="15.75" x14ac:dyDescent="0.25">
      <c r="A22" s="187">
        <f t="shared" si="2"/>
        <v>18</v>
      </c>
      <c r="B22" s="120">
        <v>8989</v>
      </c>
      <c r="C22" s="125" t="s">
        <v>470</v>
      </c>
      <c r="D22" s="93">
        <f>0-'WP 12 PTO'!D13</f>
        <v>0</v>
      </c>
      <c r="E22" s="148">
        <f>0-'WP 12 PTO'!E13</f>
        <v>0</v>
      </c>
      <c r="F22" s="93">
        <f>0-'WP 12 PTO'!F13</f>
        <v>0</v>
      </c>
      <c r="G22" s="148">
        <f>0-'WP 12 PTO'!G13</f>
        <v>0</v>
      </c>
      <c r="H22" s="93">
        <f>-0.63-'WP 12 PTO'!H13</f>
        <v>-0.63</v>
      </c>
      <c r="I22" s="148">
        <f>0-'WP 12 PTO'!I13</f>
        <v>0</v>
      </c>
      <c r="J22" s="93">
        <f>0-'WP 12 PTO'!J13</f>
        <v>0</v>
      </c>
      <c r="K22" s="148">
        <f>0-'WP 12 PTO'!K13</f>
        <v>0</v>
      </c>
      <c r="L22" s="93">
        <f>0-'WP 12 PTO'!L13</f>
        <v>0</v>
      </c>
      <c r="M22" s="148">
        <f>0-'WP 12 PTO'!M13</f>
        <v>0</v>
      </c>
      <c r="N22" s="93">
        <f>0-'WP 12 PTO'!N13</f>
        <v>0</v>
      </c>
      <c r="O22" s="148">
        <f>0-'WP 12 PTO'!O13</f>
        <v>0</v>
      </c>
      <c r="P22" s="93">
        <f t="shared" si="0"/>
        <v>-0.63</v>
      </c>
      <c r="Q22" s="120">
        <f t="shared" si="1"/>
        <v>18</v>
      </c>
      <c r="R22" s="22"/>
    </row>
    <row r="23" spans="1:18" ht="15.75" x14ac:dyDescent="0.25">
      <c r="A23" s="187">
        <f t="shared" ref="A23:A53" si="3">A22+1</f>
        <v>19</v>
      </c>
      <c r="B23" s="120">
        <v>8999</v>
      </c>
      <c r="C23" s="125" t="s">
        <v>469</v>
      </c>
      <c r="D23" s="93">
        <f>0-'WP 12 PTO'!D15</f>
        <v>0</v>
      </c>
      <c r="E23" s="148">
        <f>0-'WP 12 PTO'!E15</f>
        <v>0</v>
      </c>
      <c r="F23" s="93">
        <f>0-'WP 12 PTO'!F15</f>
        <v>0</v>
      </c>
      <c r="G23" s="148">
        <f>0-'WP 12 PTO'!G15</f>
        <v>0</v>
      </c>
      <c r="H23" s="93">
        <f>0-'WP 12 PTO'!H15</f>
        <v>0</v>
      </c>
      <c r="I23" s="148">
        <f>0-'WP 12 PTO'!I15</f>
        <v>0</v>
      </c>
      <c r="J23" s="93">
        <f>0-'WP 12 PTO'!J15</f>
        <v>0</v>
      </c>
      <c r="K23" s="148">
        <f>0-'WP 12 PTO'!K15</f>
        <v>0</v>
      </c>
      <c r="L23" s="93">
        <f>0-'WP 12 PTO'!L15</f>
        <v>0</v>
      </c>
      <c r="M23" s="148">
        <f>0-'WP 12 PTO'!M15</f>
        <v>0</v>
      </c>
      <c r="N23" s="93">
        <f>0-'WP 12 PTO'!N15</f>
        <v>0</v>
      </c>
      <c r="O23" s="148">
        <f>0-'WP 12 PTO'!O15</f>
        <v>0</v>
      </c>
      <c r="P23" s="93">
        <f t="shared" si="0"/>
        <v>0</v>
      </c>
      <c r="Q23" s="120">
        <f t="shared" si="1"/>
        <v>19</v>
      </c>
      <c r="R23" s="22"/>
    </row>
    <row r="24" spans="1:18" ht="16.5" thickBot="1" x14ac:dyDescent="0.3">
      <c r="A24" s="187">
        <f t="shared" si="3"/>
        <v>20</v>
      </c>
      <c r="B24" s="120"/>
      <c r="C24" s="125"/>
      <c r="D24" s="915"/>
      <c r="E24" s="717"/>
      <c r="F24" s="915"/>
      <c r="G24" s="717"/>
      <c r="H24" s="915"/>
      <c r="I24" s="717"/>
      <c r="J24" s="915"/>
      <c r="K24" s="148"/>
      <c r="L24" s="93"/>
      <c r="M24" s="148"/>
      <c r="N24" s="93"/>
      <c r="O24" s="148"/>
      <c r="P24" s="915"/>
      <c r="Q24" s="120">
        <f t="shared" si="1"/>
        <v>20</v>
      </c>
      <c r="R24" s="22"/>
    </row>
    <row r="25" spans="1:18" ht="16.5" thickBot="1" x14ac:dyDescent="0.3">
      <c r="A25" s="961">
        <f t="shared" si="3"/>
        <v>21</v>
      </c>
      <c r="B25" s="910"/>
      <c r="C25" s="937" t="s">
        <v>439</v>
      </c>
      <c r="D25" s="927"/>
      <c r="E25" s="911"/>
      <c r="F25" s="927"/>
      <c r="G25" s="911"/>
      <c r="H25" s="927"/>
      <c r="I25" s="911"/>
      <c r="J25" s="927"/>
      <c r="K25" s="911"/>
      <c r="L25" s="936"/>
      <c r="M25" s="911"/>
      <c r="N25" s="927"/>
      <c r="O25" s="911"/>
      <c r="P25" s="942"/>
      <c r="Q25" s="943">
        <f t="shared" si="1"/>
        <v>21</v>
      </c>
    </row>
    <row r="26" spans="1:18" ht="15.75" x14ac:dyDescent="0.25">
      <c r="A26" s="962">
        <f t="shared" si="3"/>
        <v>22</v>
      </c>
      <c r="B26" s="960" t="s">
        <v>484</v>
      </c>
      <c r="C26" s="958" t="s">
        <v>485</v>
      </c>
      <c r="D26" s="140">
        <v>0</v>
      </c>
      <c r="E26" s="959">
        <v>0</v>
      </c>
      <c r="F26" s="140">
        <v>0</v>
      </c>
      <c r="G26" s="959">
        <v>0</v>
      </c>
      <c r="H26" s="140">
        <v>0</v>
      </c>
      <c r="I26" s="959">
        <v>0</v>
      </c>
      <c r="J26" s="140">
        <v>0</v>
      </c>
      <c r="K26" s="959">
        <v>0</v>
      </c>
      <c r="L26" s="140">
        <v>0</v>
      </c>
      <c r="M26" s="959">
        <v>0</v>
      </c>
      <c r="N26" s="140">
        <v>55.29</v>
      </c>
      <c r="O26" s="148">
        <v>0</v>
      </c>
      <c r="P26" s="140">
        <f>SUM(D26:O26)</f>
        <v>55.29</v>
      </c>
      <c r="Q26" s="120">
        <f>A26</f>
        <v>22</v>
      </c>
    </row>
    <row r="27" spans="1:18" ht="15.75" x14ac:dyDescent="0.25">
      <c r="A27" s="731">
        <f t="shared" si="3"/>
        <v>23</v>
      </c>
      <c r="B27" s="960" t="s">
        <v>440</v>
      </c>
      <c r="C27" s="125" t="s">
        <v>441</v>
      </c>
      <c r="D27" s="93">
        <v>30.08</v>
      </c>
      <c r="E27" s="148">
        <v>0</v>
      </c>
      <c r="F27" s="93">
        <v>0.95</v>
      </c>
      <c r="G27" s="148">
        <v>0</v>
      </c>
      <c r="H27" s="93">
        <v>0</v>
      </c>
      <c r="I27" s="148">
        <v>0</v>
      </c>
      <c r="J27" s="93">
        <v>0</v>
      </c>
      <c r="K27" s="148">
        <v>221.51</v>
      </c>
      <c r="L27" s="93">
        <v>0</v>
      </c>
      <c r="M27" s="148">
        <v>0</v>
      </c>
      <c r="N27" s="93">
        <v>0</v>
      </c>
      <c r="O27" s="148">
        <v>0</v>
      </c>
      <c r="P27" s="93">
        <f t="shared" ref="P27:P46" si="4">SUM(D27:O27)</f>
        <v>252.54</v>
      </c>
      <c r="Q27" s="120">
        <f t="shared" si="1"/>
        <v>23</v>
      </c>
      <c r="R27" s="22"/>
    </row>
    <row r="28" spans="1:18" ht="15.75" x14ac:dyDescent="0.25">
      <c r="A28" s="731">
        <f t="shared" si="3"/>
        <v>24</v>
      </c>
      <c r="B28" s="960">
        <v>4515</v>
      </c>
      <c r="C28" s="125" t="s">
        <v>442</v>
      </c>
      <c r="D28" s="93">
        <v>39.6</v>
      </c>
      <c r="E28" s="148">
        <v>23.36</v>
      </c>
      <c r="F28" s="93">
        <v>31.55</v>
      </c>
      <c r="G28" s="148">
        <v>31.44</v>
      </c>
      <c r="H28" s="93">
        <v>25.200000000000003</v>
      </c>
      <c r="I28" s="148">
        <v>36.239999999999995</v>
      </c>
      <c r="J28" s="93">
        <v>44.04</v>
      </c>
      <c r="K28" s="148">
        <v>31.68</v>
      </c>
      <c r="L28" s="93">
        <v>22.240000000000002</v>
      </c>
      <c r="M28" s="148">
        <v>33.119999999999997</v>
      </c>
      <c r="N28" s="93">
        <v>32</v>
      </c>
      <c r="O28" s="148">
        <v>44.08</v>
      </c>
      <c r="P28" s="93">
        <f t="shared" si="4"/>
        <v>394.54999999999995</v>
      </c>
      <c r="Q28" s="120">
        <f t="shared" si="1"/>
        <v>24</v>
      </c>
      <c r="R28" s="22"/>
    </row>
    <row r="29" spans="1:18" ht="15.75" x14ac:dyDescent="0.25">
      <c r="A29" s="731">
        <f t="shared" si="3"/>
        <v>25</v>
      </c>
      <c r="B29" s="349">
        <v>4560</v>
      </c>
      <c r="C29" s="125" t="s">
        <v>443</v>
      </c>
      <c r="D29" s="93">
        <v>287.01</v>
      </c>
      <c r="E29" s="148">
        <v>15.479999999999999</v>
      </c>
      <c r="F29" s="93">
        <v>1138.8</v>
      </c>
      <c r="G29" s="148">
        <v>93.75</v>
      </c>
      <c r="H29" s="93">
        <v>93.399999999999991</v>
      </c>
      <c r="I29" s="148">
        <v>158.92000000000002</v>
      </c>
      <c r="J29" s="93">
        <v>1205.73</v>
      </c>
      <c r="K29" s="148">
        <v>665.74</v>
      </c>
      <c r="L29" s="93">
        <v>341.41</v>
      </c>
      <c r="M29" s="148">
        <v>119.65</v>
      </c>
      <c r="N29" s="93">
        <v>108.52</v>
      </c>
      <c r="O29" s="148">
        <v>21214.43</v>
      </c>
      <c r="P29" s="93">
        <f t="shared" si="4"/>
        <v>25442.84</v>
      </c>
      <c r="Q29" s="120">
        <f t="shared" si="1"/>
        <v>25</v>
      </c>
      <c r="R29" s="22"/>
    </row>
    <row r="30" spans="1:18" ht="16.5" thickBot="1" x14ac:dyDescent="0.3">
      <c r="A30" s="963">
        <f t="shared" si="3"/>
        <v>26</v>
      </c>
      <c r="B30" s="349">
        <v>4561</v>
      </c>
      <c r="C30" s="125" t="s">
        <v>444</v>
      </c>
      <c r="D30" s="93">
        <v>191.42000000000002</v>
      </c>
      <c r="E30" s="148">
        <v>0</v>
      </c>
      <c r="F30" s="93">
        <v>322.13</v>
      </c>
      <c r="G30" s="148">
        <v>142.9</v>
      </c>
      <c r="H30" s="93">
        <v>124.95000000000002</v>
      </c>
      <c r="I30" s="148">
        <v>235.28</v>
      </c>
      <c r="J30" s="93">
        <v>592.02</v>
      </c>
      <c r="K30" s="148">
        <v>401.69</v>
      </c>
      <c r="L30" s="93">
        <v>0</v>
      </c>
      <c r="M30" s="148">
        <v>57.39</v>
      </c>
      <c r="N30" s="93">
        <v>160.68</v>
      </c>
      <c r="O30" s="148">
        <v>10572.12</v>
      </c>
      <c r="P30" s="93">
        <f t="shared" si="4"/>
        <v>12800.58</v>
      </c>
      <c r="Q30" s="120">
        <f t="shared" si="1"/>
        <v>26</v>
      </c>
      <c r="R30" s="22"/>
    </row>
    <row r="31" spans="1:18" ht="15.75" x14ac:dyDescent="0.25">
      <c r="A31" s="957">
        <f t="shared" si="3"/>
        <v>27</v>
      </c>
      <c r="B31" s="150">
        <v>4563</v>
      </c>
      <c r="C31" s="246" t="s">
        <v>445</v>
      </c>
      <c r="D31" s="964">
        <v>78112.290000000008</v>
      </c>
      <c r="E31" s="965">
        <v>51766.64</v>
      </c>
      <c r="F31" s="964">
        <v>44873.79</v>
      </c>
      <c r="G31" s="965">
        <v>44187.009999999995</v>
      </c>
      <c r="H31" s="964">
        <v>31205.190000000002</v>
      </c>
      <c r="I31" s="965">
        <v>44628.67</v>
      </c>
      <c r="J31" s="964">
        <v>50814.91</v>
      </c>
      <c r="K31" s="965">
        <v>44034.17</v>
      </c>
      <c r="L31" s="964">
        <v>44370.96</v>
      </c>
      <c r="M31" s="965">
        <v>70135.039999999994</v>
      </c>
      <c r="N31" s="964">
        <v>57952.689999999995</v>
      </c>
      <c r="O31" s="965">
        <v>66393.03</v>
      </c>
      <c r="P31" s="964">
        <f t="shared" si="4"/>
        <v>628474.39</v>
      </c>
      <c r="Q31" s="150">
        <f t="shared" si="1"/>
        <v>27</v>
      </c>
      <c r="R31" s="22"/>
    </row>
    <row r="32" spans="1:18" ht="15.75" x14ac:dyDescent="0.25">
      <c r="A32" s="731">
        <f t="shared" si="3"/>
        <v>28</v>
      </c>
      <c r="B32" s="349">
        <v>4575</v>
      </c>
      <c r="C32" s="125" t="s">
        <v>446</v>
      </c>
      <c r="D32" s="93">
        <v>1500</v>
      </c>
      <c r="E32" s="148">
        <v>1500</v>
      </c>
      <c r="F32" s="93">
        <v>1500</v>
      </c>
      <c r="G32" s="148">
        <v>1500</v>
      </c>
      <c r="H32" s="93">
        <v>1500</v>
      </c>
      <c r="I32" s="148">
        <v>1500</v>
      </c>
      <c r="J32" s="93">
        <v>1500</v>
      </c>
      <c r="K32" s="148">
        <v>1500</v>
      </c>
      <c r="L32" s="93">
        <v>1500</v>
      </c>
      <c r="M32" s="148">
        <v>1500</v>
      </c>
      <c r="N32" s="93">
        <v>1500</v>
      </c>
      <c r="O32" s="148">
        <v>1500</v>
      </c>
      <c r="P32" s="93">
        <f t="shared" si="4"/>
        <v>18000</v>
      </c>
      <c r="Q32" s="120">
        <f t="shared" si="1"/>
        <v>28</v>
      </c>
      <c r="R32" s="22"/>
    </row>
    <row r="33" spans="1:19" ht="17.25" customHeight="1" x14ac:dyDescent="0.25">
      <c r="A33" s="731">
        <f t="shared" si="3"/>
        <v>29</v>
      </c>
      <c r="B33" s="960">
        <v>6196</v>
      </c>
      <c r="C33" s="125" t="s">
        <v>447</v>
      </c>
      <c r="D33" s="93">
        <v>7.73</v>
      </c>
      <c r="E33" s="148">
        <v>0.25</v>
      </c>
      <c r="F33" s="93">
        <v>-0.06</v>
      </c>
      <c r="G33" s="148">
        <v>0</v>
      </c>
      <c r="H33" s="93">
        <v>0.82</v>
      </c>
      <c r="I33" s="148">
        <v>0</v>
      </c>
      <c r="J33" s="93">
        <v>1.78</v>
      </c>
      <c r="K33" s="148">
        <v>4.4099999999999993</v>
      </c>
      <c r="L33" s="93">
        <v>-0.01</v>
      </c>
      <c r="M33" s="148">
        <v>-0.2</v>
      </c>
      <c r="N33" s="93">
        <v>-0.78</v>
      </c>
      <c r="O33" s="148">
        <v>0.22</v>
      </c>
      <c r="P33" s="93">
        <f t="shared" si="4"/>
        <v>14.160000000000002</v>
      </c>
      <c r="Q33" s="120">
        <f t="shared" si="1"/>
        <v>29</v>
      </c>
      <c r="R33" s="22"/>
    </row>
    <row r="34" spans="1:19" ht="15.75" x14ac:dyDescent="0.25">
      <c r="A34" s="731">
        <f t="shared" si="3"/>
        <v>30</v>
      </c>
      <c r="B34" s="349">
        <v>6296</v>
      </c>
      <c r="C34" s="125" t="s">
        <v>448</v>
      </c>
      <c r="D34" s="93">
        <v>28.85</v>
      </c>
      <c r="E34" s="148">
        <v>0.94000000000000006</v>
      </c>
      <c r="F34" s="93">
        <v>-0.19</v>
      </c>
      <c r="G34" s="148">
        <v>0</v>
      </c>
      <c r="H34" s="93">
        <v>3.05</v>
      </c>
      <c r="I34" s="148">
        <v>0</v>
      </c>
      <c r="J34" s="93">
        <v>4.84</v>
      </c>
      <c r="K34" s="148">
        <v>10.53</v>
      </c>
      <c r="L34" s="93">
        <v>-0.02</v>
      </c>
      <c r="M34" s="148">
        <v>-0.39999999999999997</v>
      </c>
      <c r="N34" s="93">
        <v>-1</v>
      </c>
      <c r="O34" s="148">
        <v>0</v>
      </c>
      <c r="P34" s="93">
        <f t="shared" si="4"/>
        <v>46.599999999999994</v>
      </c>
      <c r="Q34" s="120">
        <f t="shared" si="1"/>
        <v>30</v>
      </c>
      <c r="R34" s="22"/>
    </row>
    <row r="35" spans="1:19" ht="16.5" thickBot="1" x14ac:dyDescent="0.3">
      <c r="A35" s="731">
        <f t="shared" si="3"/>
        <v>31</v>
      </c>
      <c r="B35" s="349">
        <v>6456</v>
      </c>
      <c r="C35" s="125" t="s">
        <v>449</v>
      </c>
      <c r="D35" s="93">
        <v>0</v>
      </c>
      <c r="E35" s="148">
        <v>0</v>
      </c>
      <c r="F35" s="93">
        <v>141.60999999999999</v>
      </c>
      <c r="G35" s="148">
        <v>0</v>
      </c>
      <c r="H35" s="93">
        <v>0</v>
      </c>
      <c r="I35" s="148">
        <v>29.51</v>
      </c>
      <c r="J35" s="93">
        <v>1509.39</v>
      </c>
      <c r="K35" s="148">
        <v>0</v>
      </c>
      <c r="L35" s="93">
        <v>-29.51</v>
      </c>
      <c r="M35" s="148">
        <v>0</v>
      </c>
      <c r="N35" s="93">
        <v>0</v>
      </c>
      <c r="O35" s="148">
        <v>4026.44</v>
      </c>
      <c r="P35" s="93">
        <f t="shared" si="4"/>
        <v>5677.4400000000005</v>
      </c>
      <c r="Q35" s="120">
        <f t="shared" si="1"/>
        <v>31</v>
      </c>
      <c r="R35" s="22"/>
    </row>
    <row r="36" spans="1:19" ht="15.75" x14ac:dyDescent="0.25">
      <c r="A36" s="962">
        <f t="shared" si="3"/>
        <v>32</v>
      </c>
      <c r="B36" s="966">
        <v>6460</v>
      </c>
      <c r="C36" s="246" t="s">
        <v>450</v>
      </c>
      <c r="D36" s="964">
        <v>59850.51</v>
      </c>
      <c r="E36" s="965">
        <v>376.52</v>
      </c>
      <c r="F36" s="964">
        <v>-984.80000000000007</v>
      </c>
      <c r="G36" s="965">
        <v>1858.9</v>
      </c>
      <c r="H36" s="964">
        <v>25.21</v>
      </c>
      <c r="I36" s="965">
        <v>1931.4599999999998</v>
      </c>
      <c r="J36" s="964">
        <v>18455.48</v>
      </c>
      <c r="K36" s="965">
        <v>8032.6900000000005</v>
      </c>
      <c r="L36" s="964">
        <v>1841.6799999999998</v>
      </c>
      <c r="M36" s="965">
        <v>129.49</v>
      </c>
      <c r="N36" s="964">
        <v>339.20000000000005</v>
      </c>
      <c r="O36" s="965">
        <v>613.12</v>
      </c>
      <c r="P36" s="964">
        <f t="shared" si="4"/>
        <v>92469.459999999992</v>
      </c>
      <c r="Q36" s="150">
        <f t="shared" si="1"/>
        <v>32</v>
      </c>
      <c r="R36" s="22"/>
    </row>
    <row r="37" spans="1:19" ht="15.75" x14ac:dyDescent="0.25">
      <c r="A37" s="731">
        <f t="shared" si="3"/>
        <v>33</v>
      </c>
      <c r="B37" s="349">
        <v>6470</v>
      </c>
      <c r="C37" s="125" t="s">
        <v>451</v>
      </c>
      <c r="D37" s="93">
        <v>3310.77</v>
      </c>
      <c r="E37" s="148">
        <v>74.650000000000006</v>
      </c>
      <c r="F37" s="93">
        <v>53.66</v>
      </c>
      <c r="G37" s="148">
        <v>0</v>
      </c>
      <c r="H37" s="93">
        <v>-20.86</v>
      </c>
      <c r="I37" s="148">
        <v>0</v>
      </c>
      <c r="J37" s="93">
        <v>-120.89000000000001</v>
      </c>
      <c r="K37" s="148">
        <v>-3.23</v>
      </c>
      <c r="L37" s="93">
        <v>-51.96</v>
      </c>
      <c r="M37" s="148">
        <v>86.920000000000016</v>
      </c>
      <c r="N37" s="93">
        <v>0</v>
      </c>
      <c r="O37" s="148">
        <v>234.01000000000005</v>
      </c>
      <c r="P37" s="93">
        <f t="shared" si="4"/>
        <v>3563.07</v>
      </c>
      <c r="Q37" s="120">
        <f t="shared" si="1"/>
        <v>33</v>
      </c>
      <c r="R37" s="22"/>
    </row>
    <row r="38" spans="1:19" ht="15.75" x14ac:dyDescent="0.25">
      <c r="A38" s="731">
        <f t="shared" si="3"/>
        <v>34</v>
      </c>
      <c r="B38" s="349">
        <v>6477</v>
      </c>
      <c r="C38" s="125" t="s">
        <v>452</v>
      </c>
      <c r="D38" s="93">
        <v>552.77</v>
      </c>
      <c r="E38" s="148">
        <v>422.7</v>
      </c>
      <c r="F38" s="93">
        <v>-59.82</v>
      </c>
      <c r="G38" s="148">
        <v>0</v>
      </c>
      <c r="H38" s="93">
        <v>0.28999999999999998</v>
      </c>
      <c r="I38" s="148">
        <v>-2.21</v>
      </c>
      <c r="J38" s="93">
        <v>104.87</v>
      </c>
      <c r="K38" s="148">
        <v>205.63</v>
      </c>
      <c r="L38" s="93">
        <v>40.67</v>
      </c>
      <c r="M38" s="148">
        <v>17.459999999999994</v>
      </c>
      <c r="N38" s="93">
        <v>44.96</v>
      </c>
      <c r="O38" s="148">
        <v>-6563.91</v>
      </c>
      <c r="P38" s="93">
        <f t="shared" si="4"/>
        <v>-5236.59</v>
      </c>
      <c r="Q38" s="120">
        <f t="shared" si="1"/>
        <v>34</v>
      </c>
      <c r="R38" s="22"/>
    </row>
    <row r="39" spans="1:19" ht="15.75" x14ac:dyDescent="0.25">
      <c r="A39" s="731">
        <f t="shared" si="3"/>
        <v>35</v>
      </c>
      <c r="B39" s="349">
        <v>6678</v>
      </c>
      <c r="C39" s="125" t="s">
        <v>453</v>
      </c>
      <c r="D39" s="93">
        <v>19.93</v>
      </c>
      <c r="E39" s="148">
        <v>5.22</v>
      </c>
      <c r="F39" s="93">
        <v>8.15</v>
      </c>
      <c r="G39" s="148">
        <v>0</v>
      </c>
      <c r="H39" s="93">
        <v>-0.11</v>
      </c>
      <c r="I39" s="148">
        <v>1.3900000000000001</v>
      </c>
      <c r="J39" s="93">
        <v>490.78</v>
      </c>
      <c r="K39" s="148">
        <v>390.16</v>
      </c>
      <c r="L39" s="93">
        <v>2.57</v>
      </c>
      <c r="M39" s="148">
        <v>37.4</v>
      </c>
      <c r="N39" s="93">
        <v>4.21</v>
      </c>
      <c r="O39" s="148">
        <v>2723</v>
      </c>
      <c r="P39" s="93">
        <f t="shared" si="4"/>
        <v>3682.7</v>
      </c>
      <c r="Q39" s="120">
        <f t="shared" si="1"/>
        <v>35</v>
      </c>
      <c r="R39" s="22"/>
    </row>
    <row r="40" spans="1:19" ht="16.5" thickBot="1" x14ac:dyDescent="0.3">
      <c r="A40" s="963">
        <f t="shared" si="3"/>
        <v>36</v>
      </c>
      <c r="B40" s="463">
        <v>6774</v>
      </c>
      <c r="C40" s="126" t="s">
        <v>454</v>
      </c>
      <c r="D40" s="915">
        <v>7.06</v>
      </c>
      <c r="E40" s="717">
        <v>86.240000000000009</v>
      </c>
      <c r="F40" s="915">
        <v>32.950000000000003</v>
      </c>
      <c r="G40" s="717">
        <v>0</v>
      </c>
      <c r="H40" s="915">
        <v>-4.3899999999999997</v>
      </c>
      <c r="I40" s="717">
        <v>-1.5</v>
      </c>
      <c r="J40" s="915">
        <v>4058.56</v>
      </c>
      <c r="K40" s="717">
        <v>2019.05</v>
      </c>
      <c r="L40" s="915">
        <v>-61.98</v>
      </c>
      <c r="M40" s="717">
        <v>-76.990000000000009</v>
      </c>
      <c r="N40" s="915">
        <v>11.809999999999999</v>
      </c>
      <c r="O40" s="717">
        <v>34470.089999999997</v>
      </c>
      <c r="P40" s="915">
        <f t="shared" si="4"/>
        <v>40540.899999999994</v>
      </c>
      <c r="Q40" s="121">
        <f t="shared" si="1"/>
        <v>36</v>
      </c>
      <c r="R40" s="22"/>
    </row>
    <row r="41" spans="1:19" ht="17.25" customHeight="1" x14ac:dyDescent="0.25">
      <c r="A41" s="731">
        <f t="shared" si="3"/>
        <v>37</v>
      </c>
      <c r="B41" s="349">
        <v>6790</v>
      </c>
      <c r="C41" s="125" t="s">
        <v>455</v>
      </c>
      <c r="D41" s="93">
        <v>-47.62</v>
      </c>
      <c r="E41" s="148">
        <v>-0.27</v>
      </c>
      <c r="F41" s="93">
        <v>4.05</v>
      </c>
      <c r="G41" s="148">
        <v>0</v>
      </c>
      <c r="H41" s="93">
        <v>-0.52</v>
      </c>
      <c r="I41" s="148">
        <v>0</v>
      </c>
      <c r="J41" s="93">
        <v>-313.79000000000002</v>
      </c>
      <c r="K41" s="148">
        <v>-412.11</v>
      </c>
      <c r="L41" s="93">
        <v>-0.46</v>
      </c>
      <c r="M41" s="148">
        <v>8.01</v>
      </c>
      <c r="N41" s="93">
        <v>8.91</v>
      </c>
      <c r="O41" s="148">
        <v>-3412.23</v>
      </c>
      <c r="P41" s="93">
        <f t="shared" si="4"/>
        <v>-4166.03</v>
      </c>
      <c r="Q41" s="120">
        <f t="shared" si="1"/>
        <v>37</v>
      </c>
      <c r="R41" s="22"/>
    </row>
    <row r="42" spans="1:19" ht="15.75" x14ac:dyDescent="0.25">
      <c r="A42" s="731">
        <f t="shared" si="3"/>
        <v>38</v>
      </c>
      <c r="B42" s="349">
        <v>6985</v>
      </c>
      <c r="C42" s="125" t="s">
        <v>456</v>
      </c>
      <c r="D42" s="93">
        <v>19246.96</v>
      </c>
      <c r="E42" s="148">
        <v>19265.97</v>
      </c>
      <c r="F42" s="93">
        <v>25419.53</v>
      </c>
      <c r="G42" s="148">
        <v>20760.12</v>
      </c>
      <c r="H42" s="93">
        <v>7214.33</v>
      </c>
      <c r="I42" s="148">
        <v>14371.890000000001</v>
      </c>
      <c r="J42" s="93">
        <v>3089.59</v>
      </c>
      <c r="K42" s="148">
        <v>1949.18</v>
      </c>
      <c r="L42" s="93">
        <v>4447.21</v>
      </c>
      <c r="M42" s="148">
        <v>107.20000000000005</v>
      </c>
      <c r="N42" s="93">
        <v>733.12000000000012</v>
      </c>
      <c r="O42" s="148">
        <v>18353.54</v>
      </c>
      <c r="P42" s="93">
        <f t="shared" si="4"/>
        <v>134958.63999999998</v>
      </c>
      <c r="Q42" s="120">
        <f t="shared" si="1"/>
        <v>38</v>
      </c>
      <c r="R42" s="22"/>
    </row>
    <row r="43" spans="1:19" ht="15.75" x14ac:dyDescent="0.25">
      <c r="A43" s="731">
        <f t="shared" si="3"/>
        <v>39</v>
      </c>
      <c r="B43" s="960">
        <v>7077</v>
      </c>
      <c r="C43" s="125" t="s">
        <v>457</v>
      </c>
      <c r="D43" s="93">
        <v>0</v>
      </c>
      <c r="E43" s="148">
        <v>0.01</v>
      </c>
      <c r="F43" s="93">
        <v>0</v>
      </c>
      <c r="G43" s="148">
        <v>0</v>
      </c>
      <c r="H43" s="93">
        <v>0</v>
      </c>
      <c r="I43" s="148">
        <v>0</v>
      </c>
      <c r="J43" s="93">
        <v>6.67</v>
      </c>
      <c r="K43" s="148">
        <v>0</v>
      </c>
      <c r="L43" s="93">
        <v>0.36</v>
      </c>
      <c r="M43" s="148">
        <v>0</v>
      </c>
      <c r="N43" s="93">
        <v>0</v>
      </c>
      <c r="O43" s="148">
        <v>9.9999999999999992E-2</v>
      </c>
      <c r="P43" s="93">
        <f t="shared" si="4"/>
        <v>7.14</v>
      </c>
      <c r="Q43" s="120">
        <f t="shared" si="1"/>
        <v>39</v>
      </c>
      <c r="R43" s="22"/>
    </row>
    <row r="44" spans="1:19" ht="15.75" x14ac:dyDescent="0.25">
      <c r="A44" s="731">
        <f t="shared" si="3"/>
        <v>40</v>
      </c>
      <c r="B44" s="349">
        <v>7087</v>
      </c>
      <c r="C44" s="125" t="s">
        <v>458</v>
      </c>
      <c r="D44" s="93">
        <v>-0.01</v>
      </c>
      <c r="E44" s="148">
        <v>0</v>
      </c>
      <c r="F44" s="93">
        <v>0</v>
      </c>
      <c r="G44" s="148">
        <v>0</v>
      </c>
      <c r="H44" s="93">
        <v>0</v>
      </c>
      <c r="I44" s="148">
        <v>0</v>
      </c>
      <c r="J44" s="93">
        <v>0</v>
      </c>
      <c r="K44" s="148">
        <v>0</v>
      </c>
      <c r="L44" s="93">
        <v>0</v>
      </c>
      <c r="M44" s="148">
        <v>0</v>
      </c>
      <c r="N44" s="93">
        <v>0</v>
      </c>
      <c r="O44" s="148">
        <v>0</v>
      </c>
      <c r="P44" s="119">
        <f t="shared" si="4"/>
        <v>-0.01</v>
      </c>
      <c r="Q44" s="349">
        <f t="shared" si="1"/>
        <v>40</v>
      </c>
      <c r="R44" s="22"/>
    </row>
    <row r="45" spans="1:19" ht="15.75" x14ac:dyDescent="0.25">
      <c r="A45" s="731">
        <f t="shared" si="3"/>
        <v>41</v>
      </c>
      <c r="B45" s="349">
        <v>7088</v>
      </c>
      <c r="C45" s="149" t="s">
        <v>459</v>
      </c>
      <c r="D45" s="93">
        <v>1.68</v>
      </c>
      <c r="E45" s="148">
        <v>0.6</v>
      </c>
      <c r="F45" s="93">
        <v>0.63</v>
      </c>
      <c r="G45" s="148">
        <v>0.02</v>
      </c>
      <c r="H45" s="93">
        <v>0</v>
      </c>
      <c r="I45" s="148">
        <v>0.71</v>
      </c>
      <c r="J45" s="93">
        <v>0.03</v>
      </c>
      <c r="K45" s="148">
        <v>0.03</v>
      </c>
      <c r="L45" s="93">
        <v>6.73</v>
      </c>
      <c r="M45" s="148">
        <v>2.97</v>
      </c>
      <c r="N45" s="93">
        <v>0.01</v>
      </c>
      <c r="O45" s="148">
        <v>1.54</v>
      </c>
      <c r="P45" s="93">
        <f t="shared" si="4"/>
        <v>14.95</v>
      </c>
      <c r="Q45" s="120">
        <f t="shared" si="1"/>
        <v>41</v>
      </c>
      <c r="R45" s="22"/>
    </row>
    <row r="46" spans="1:19" ht="15.75" x14ac:dyDescent="0.25">
      <c r="A46" s="731">
        <f t="shared" si="3"/>
        <v>42</v>
      </c>
      <c r="B46" s="349">
        <v>7999</v>
      </c>
      <c r="C46" s="149" t="s">
        <v>460</v>
      </c>
      <c r="D46" s="481">
        <f>993.25-'WP 12 PTO'!D9</f>
        <v>703.64</v>
      </c>
      <c r="E46" s="922">
        <f>471.41-'WP 12 PTO'!E9</f>
        <v>471.41</v>
      </c>
      <c r="F46" s="481">
        <f>9939.42-'WP 12 PTO'!F9</f>
        <v>122.28000000000065</v>
      </c>
      <c r="G46" s="922">
        <f>7019.28-'WP 12 PTO'!G9</f>
        <v>3.1599999999998545</v>
      </c>
      <c r="H46" s="481">
        <f>904297.97-'WP 12 PTO'!H9</f>
        <v>-12.200000000069849</v>
      </c>
      <c r="I46" s="922">
        <f>125120.67-'WP 12 PTO'!I9</f>
        <v>0</v>
      </c>
      <c r="J46" s="481">
        <f>8040.78-'WP 12 PTO'!J9</f>
        <v>10.820000000000618</v>
      </c>
      <c r="K46" s="922">
        <f>1847.8-'WP 12 PTO'!K9</f>
        <v>21.659999999999854</v>
      </c>
      <c r="L46" s="481">
        <f>33326.28-'WP 12 PTO'!L9</f>
        <v>25758.339999999997</v>
      </c>
      <c r="M46" s="922">
        <f>1381.62-'WP 12 PTO'!M9</f>
        <v>-25236.17</v>
      </c>
      <c r="N46" s="481">
        <f>32100.79-'WP 12 PTO'!N9</f>
        <v>12.920000000001892</v>
      </c>
      <c r="O46" s="922">
        <f>16.67-'WP 12 PTO'!O9</f>
        <v>16.670000000000002</v>
      </c>
      <c r="P46" s="481">
        <f t="shared" si="4"/>
        <v>1872.5299999999315</v>
      </c>
      <c r="Q46" s="120">
        <f t="shared" si="1"/>
        <v>42</v>
      </c>
      <c r="R46" s="934"/>
      <c r="S46" s="935"/>
    </row>
    <row r="47" spans="1:19" ht="15.75" x14ac:dyDescent="0.25">
      <c r="A47" s="731">
        <f t="shared" si="3"/>
        <v>43</v>
      </c>
      <c r="B47" s="349"/>
      <c r="C47" s="125"/>
      <c r="D47" s="93"/>
      <c r="E47" s="148"/>
      <c r="F47" s="93"/>
      <c r="G47" s="148"/>
      <c r="H47" s="93"/>
      <c r="I47" s="148"/>
      <c r="J47" s="93"/>
      <c r="K47" s="148"/>
      <c r="L47" s="93"/>
      <c r="M47" s="148"/>
      <c r="N47" s="93"/>
      <c r="O47" s="148"/>
      <c r="P47" s="93"/>
      <c r="Q47" s="120">
        <f t="shared" si="1"/>
        <v>43</v>
      </c>
      <c r="R47" s="22"/>
    </row>
    <row r="48" spans="1:19" ht="16.5" thickBot="1" x14ac:dyDescent="0.3">
      <c r="A48" s="731">
        <f t="shared" si="3"/>
        <v>44</v>
      </c>
      <c r="B48" s="701"/>
      <c r="C48" s="353" t="s">
        <v>461</v>
      </c>
      <c r="D48" s="485">
        <f t="shared" ref="D48:P48" si="5">SUM(D4:D46)</f>
        <v>-37691.936400000006</v>
      </c>
      <c r="E48" s="487">
        <f t="shared" si="5"/>
        <v>1547.0199999999745</v>
      </c>
      <c r="F48" s="485">
        <f t="shared" si="5"/>
        <v>-39959.269999999997</v>
      </c>
      <c r="G48" s="487">
        <f t="shared" si="5"/>
        <v>-20206.699999999993</v>
      </c>
      <c r="H48" s="485">
        <f t="shared" si="5"/>
        <v>-33290.790000000095</v>
      </c>
      <c r="I48" s="487">
        <f t="shared" si="5"/>
        <v>-8321.7699999999622</v>
      </c>
      <c r="J48" s="485">
        <f t="shared" si="5"/>
        <v>11176.389999999938</v>
      </c>
      <c r="K48" s="487">
        <f t="shared" si="5"/>
        <v>13199.319999999963</v>
      </c>
      <c r="L48" s="485">
        <f t="shared" si="5"/>
        <v>-9473.9899999999834</v>
      </c>
      <c r="M48" s="487">
        <f t="shared" si="5"/>
        <v>-98229.600730000078</v>
      </c>
      <c r="N48" s="485">
        <f t="shared" si="5"/>
        <v>-77236.260000000024</v>
      </c>
      <c r="O48" s="487">
        <f t="shared" si="5"/>
        <v>-83995.520150000259</v>
      </c>
      <c r="P48" s="485">
        <f t="shared" si="5"/>
        <v>-382483.1072800004</v>
      </c>
      <c r="Q48" s="120">
        <f t="shared" si="1"/>
        <v>44</v>
      </c>
      <c r="R48" s="22"/>
    </row>
    <row r="49" spans="1:19" ht="17.25" thickTop="1" thickBot="1" x14ac:dyDescent="0.3">
      <c r="A49" s="963">
        <f t="shared" si="3"/>
        <v>45</v>
      </c>
      <c r="B49" s="124"/>
      <c r="C49" s="940"/>
      <c r="D49" s="928"/>
      <c r="E49" s="904"/>
      <c r="F49" s="928"/>
      <c r="G49" s="904"/>
      <c r="H49" s="928"/>
      <c r="I49" s="904"/>
      <c r="J49" s="317"/>
      <c r="K49" s="451"/>
      <c r="L49" s="317"/>
      <c r="M49" s="904"/>
      <c r="N49" s="928"/>
      <c r="O49" s="904"/>
      <c r="P49" s="317"/>
      <c r="Q49" s="121">
        <f t="shared" si="1"/>
        <v>45</v>
      </c>
      <c r="R49" s="22"/>
      <c r="S49" s="372"/>
    </row>
    <row r="50" spans="1:19" ht="15.75" x14ac:dyDescent="0.25">
      <c r="A50" s="731">
        <f t="shared" si="3"/>
        <v>46</v>
      </c>
      <c r="B50" s="122"/>
      <c r="C50" s="941"/>
      <c r="D50" s="932"/>
      <c r="E50" s="905"/>
      <c r="F50" s="932"/>
      <c r="G50" s="719"/>
      <c r="H50" s="78"/>
      <c r="I50" s="719"/>
      <c r="J50" s="932"/>
      <c r="K50" s="905"/>
      <c r="L50" s="932"/>
      <c r="M50" s="905"/>
      <c r="N50" s="932"/>
      <c r="O50" s="905"/>
      <c r="P50" s="78"/>
      <c r="Q50" s="150">
        <f t="shared" si="1"/>
        <v>46</v>
      </c>
      <c r="R50" s="22"/>
      <c r="S50" s="372"/>
    </row>
    <row r="51" spans="1:19" ht="15.75" x14ac:dyDescent="0.25">
      <c r="A51" s="731">
        <f t="shared" si="3"/>
        <v>47</v>
      </c>
      <c r="B51" s="123"/>
      <c r="C51" s="125" t="s">
        <v>487</v>
      </c>
      <c r="D51" s="929">
        <f t="shared" ref="D51:P51" si="6">D48</f>
        <v>-37691.936400000006</v>
      </c>
      <c r="E51" s="720">
        <f t="shared" si="6"/>
        <v>1547.0199999999745</v>
      </c>
      <c r="F51" s="929">
        <f t="shared" si="6"/>
        <v>-39959.269999999997</v>
      </c>
      <c r="G51" s="720">
        <f t="shared" si="6"/>
        <v>-20206.699999999993</v>
      </c>
      <c r="H51" s="929">
        <f t="shared" si="6"/>
        <v>-33290.790000000095</v>
      </c>
      <c r="I51" s="720">
        <f t="shared" si="6"/>
        <v>-8321.7699999999622</v>
      </c>
      <c r="J51" s="929">
        <f t="shared" si="6"/>
        <v>11176.389999999938</v>
      </c>
      <c r="K51" s="720">
        <f t="shared" si="6"/>
        <v>13199.319999999963</v>
      </c>
      <c r="L51" s="929">
        <f t="shared" si="6"/>
        <v>-9473.9899999999834</v>
      </c>
      <c r="M51" s="720">
        <f t="shared" si="6"/>
        <v>-98229.600730000078</v>
      </c>
      <c r="N51" s="929">
        <f t="shared" si="6"/>
        <v>-77236.260000000024</v>
      </c>
      <c r="O51" s="720">
        <f t="shared" si="6"/>
        <v>-83995.520150000259</v>
      </c>
      <c r="P51" s="929">
        <f t="shared" si="6"/>
        <v>-382483.1072800004</v>
      </c>
      <c r="Q51" s="120">
        <f t="shared" si="1"/>
        <v>47</v>
      </c>
      <c r="R51" s="22"/>
    </row>
    <row r="52" spans="1:19" ht="15.75" x14ac:dyDescent="0.25">
      <c r="A52" s="731">
        <f t="shared" si="3"/>
        <v>48</v>
      </c>
      <c r="B52" s="123"/>
      <c r="C52" s="125" t="s">
        <v>462</v>
      </c>
      <c r="D52" s="930">
        <f>'WP 4 Monthly TRBAA '!C19</f>
        <v>-37691.936400000006</v>
      </c>
      <c r="E52" s="721">
        <f>'WP 4 Monthly TRBAA '!D19</f>
        <v>1547.0199999999745</v>
      </c>
      <c r="F52" s="930">
        <f>'WP 4 Monthly TRBAA '!E19</f>
        <v>-39959.269999999997</v>
      </c>
      <c r="G52" s="721">
        <f>'WP 4 Monthly TRBAA '!F19</f>
        <v>-20206.699999999993</v>
      </c>
      <c r="H52" s="930">
        <f>'WP 4 Monthly TRBAA '!G19</f>
        <v>-33290.790000000095</v>
      </c>
      <c r="I52" s="721">
        <f>'WP 4 Monthly TRBAA '!H19</f>
        <v>-8321.7699999999622</v>
      </c>
      <c r="J52" s="930">
        <f>'WP 4 Monthly TRBAA '!I19</f>
        <v>11176.389999999938</v>
      </c>
      <c r="K52" s="721">
        <f>'WP 4 Monthly TRBAA '!J19</f>
        <v>13199.319999999963</v>
      </c>
      <c r="L52" s="930">
        <f>'WP 4 Monthly TRBAA '!K19</f>
        <v>-9473.9899999999834</v>
      </c>
      <c r="M52" s="908">
        <f>'WP 4 Monthly TRBAA '!L19</f>
        <v>-98229.600730000078</v>
      </c>
      <c r="N52" s="930">
        <f>'WP 4 Monthly TRBAA '!M19</f>
        <v>-77236.260000000024</v>
      </c>
      <c r="O52" s="721">
        <f>'WP 4 Monthly TRBAA '!N19</f>
        <v>-83995.520150000259</v>
      </c>
      <c r="P52" s="930">
        <f>SUM(D52:O52)</f>
        <v>-382483.10728000058</v>
      </c>
      <c r="Q52" s="120">
        <f t="shared" si="1"/>
        <v>48</v>
      </c>
      <c r="R52" s="22"/>
    </row>
    <row r="53" spans="1:19" ht="16.5" thickBot="1" x14ac:dyDescent="0.3">
      <c r="A53" s="963">
        <f t="shared" si="3"/>
        <v>49</v>
      </c>
      <c r="B53" s="124"/>
      <c r="C53" s="126" t="s">
        <v>75</v>
      </c>
      <c r="D53" s="931">
        <f>D51-D52</f>
        <v>0</v>
      </c>
      <c r="E53" s="909">
        <f t="shared" ref="E53:P53" si="7">E51-E52</f>
        <v>0</v>
      </c>
      <c r="F53" s="933">
        <f t="shared" si="7"/>
        <v>0</v>
      </c>
      <c r="G53" s="723">
        <f t="shared" si="7"/>
        <v>0</v>
      </c>
      <c r="H53" s="931">
        <f t="shared" si="7"/>
        <v>0</v>
      </c>
      <c r="I53" s="723">
        <f t="shared" si="7"/>
        <v>0</v>
      </c>
      <c r="J53" s="931">
        <f t="shared" si="7"/>
        <v>0</v>
      </c>
      <c r="K53" s="723">
        <f t="shared" si="7"/>
        <v>0</v>
      </c>
      <c r="L53" s="931">
        <f t="shared" si="7"/>
        <v>0</v>
      </c>
      <c r="M53" s="906">
        <f t="shared" si="7"/>
        <v>0</v>
      </c>
      <c r="N53" s="931">
        <f t="shared" si="7"/>
        <v>0</v>
      </c>
      <c r="O53" s="723">
        <f t="shared" si="7"/>
        <v>0</v>
      </c>
      <c r="P53" s="931">
        <f t="shared" si="7"/>
        <v>0</v>
      </c>
      <c r="Q53" s="121">
        <f t="shared" si="1"/>
        <v>49</v>
      </c>
      <c r="R53" s="22"/>
    </row>
    <row r="54" spans="1:19" ht="15.75" x14ac:dyDescent="0.25">
      <c r="B54" s="22"/>
      <c r="C54" s="22"/>
      <c r="D54" s="78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40"/>
    </row>
    <row r="55" spans="1:19" ht="15.75" x14ac:dyDescent="0.25">
      <c r="B55" s="22"/>
      <c r="C55" s="22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151"/>
    </row>
    <row r="56" spans="1:19" ht="15.75" x14ac:dyDescent="0.25">
      <c r="B56" s="22"/>
      <c r="C56" s="22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</row>
    <row r="57" spans="1:19" ht="15.75" x14ac:dyDescent="0.25">
      <c r="B57" s="22"/>
      <c r="C57" s="22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</row>
    <row r="58" spans="1:19" ht="15.75" x14ac:dyDescent="0.25">
      <c r="B58" s="22"/>
      <c r="C58" s="22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</row>
    <row r="59" spans="1:19" ht="15.75" x14ac:dyDescent="0.25">
      <c r="B59" s="22"/>
      <c r="C59" s="22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</row>
    <row r="60" spans="1:19" ht="15.75" x14ac:dyDescent="0.25">
      <c r="B60" s="22"/>
      <c r="C60" s="22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</row>
    <row r="61" spans="1:19" ht="15.75" x14ac:dyDescent="0.25">
      <c r="B61" s="22"/>
      <c r="C61" s="22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</row>
    <row r="62" spans="1:19" ht="15.75" x14ac:dyDescent="0.25">
      <c r="B62" s="22"/>
      <c r="C62" s="22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</row>
    <row r="63" spans="1:19" ht="15.75" x14ac:dyDescent="0.25">
      <c r="B63" s="22"/>
      <c r="C63" s="22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</row>
    <row r="64" spans="1:19" ht="15.75" x14ac:dyDescent="0.25">
      <c r="B64" s="22"/>
      <c r="C64" s="22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</row>
    <row r="65" spans="2:16" ht="15.75" x14ac:dyDescent="0.25">
      <c r="B65" s="22"/>
      <c r="C65" s="22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</row>
    <row r="66" spans="2:16" ht="15.75" x14ac:dyDescent="0.25">
      <c r="B66" s="22"/>
      <c r="C66" s="22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6" ht="15.75" x14ac:dyDescent="0.25">
      <c r="B67" s="22"/>
      <c r="C67" s="22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6" ht="15.75" x14ac:dyDescent="0.25">
      <c r="B68" s="22"/>
      <c r="C68" s="22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</row>
    <row r="69" spans="2:16" ht="15.75" x14ac:dyDescent="0.25">
      <c r="B69" s="22"/>
      <c r="C69" s="22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</row>
    <row r="70" spans="2:16" ht="15.75" x14ac:dyDescent="0.25">
      <c r="B70" s="22"/>
      <c r="C70" s="22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</row>
    <row r="71" spans="2:16" ht="15.75" x14ac:dyDescent="0.25">
      <c r="B71" s="22"/>
      <c r="C71" s="22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</row>
    <row r="72" spans="2:16" ht="15.75" x14ac:dyDescent="0.25">
      <c r="B72" s="22"/>
      <c r="C72" s="22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</row>
    <row r="73" spans="2:16" ht="15.75" x14ac:dyDescent="0.25">
      <c r="B73" s="22"/>
      <c r="C73" s="22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</row>
    <row r="74" spans="2:16" ht="15.75" x14ac:dyDescent="0.25">
      <c r="B74" s="22"/>
      <c r="C74" s="22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</row>
    <row r="75" spans="2:16" ht="15.75" x14ac:dyDescent="0.25">
      <c r="B75" s="22"/>
      <c r="C75" s="22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</row>
    <row r="76" spans="2:16" ht="15.75" x14ac:dyDescent="0.25">
      <c r="B76" s="22"/>
      <c r="C76" s="22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</row>
    <row r="77" spans="2:16" ht="15.75" x14ac:dyDescent="0.25">
      <c r="B77" s="22"/>
      <c r="C77" s="22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</row>
    <row r="78" spans="2:16" ht="15.75" x14ac:dyDescent="0.25">
      <c r="B78" s="22"/>
      <c r="C78" s="22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</row>
    <row r="79" spans="2:16" ht="15.75" x14ac:dyDescent="0.25">
      <c r="B79" s="22"/>
      <c r="C79" s="22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</row>
    <row r="80" spans="2:16" ht="15.75" x14ac:dyDescent="0.25">
      <c r="B80" s="22"/>
      <c r="C80" s="22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</row>
    <row r="81" spans="2:16" ht="15.75" x14ac:dyDescent="0.25">
      <c r="B81" s="22"/>
      <c r="C81" s="22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</row>
    <row r="82" spans="2:16" ht="15.75" x14ac:dyDescent="0.25">
      <c r="B82" s="22"/>
      <c r="C82" s="22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2:16" ht="15.75" x14ac:dyDescent="0.25">
      <c r="B83" s="22"/>
      <c r="C83" s="22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</row>
    <row r="84" spans="2:16" ht="15.75" x14ac:dyDescent="0.25">
      <c r="B84" s="22"/>
      <c r="C84" s="22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2:16" ht="15.75" x14ac:dyDescent="0.25">
      <c r="B85" s="22"/>
      <c r="C85" s="22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2:16" ht="15.75" x14ac:dyDescent="0.25">
      <c r="B86" s="22"/>
      <c r="C86" s="22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2:16" ht="15.75" x14ac:dyDescent="0.25">
      <c r="B87" s="22"/>
      <c r="C87" s="22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</row>
    <row r="88" spans="2:16" ht="15.75" x14ac:dyDescent="0.25">
      <c r="B88" s="22"/>
      <c r="C88" s="22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</row>
    <row r="89" spans="2:16" ht="15.75" x14ac:dyDescent="0.25">
      <c r="B89" s="22"/>
      <c r="C89" s="22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</row>
    <row r="90" spans="2:16" ht="15.75" x14ac:dyDescent="0.25">
      <c r="B90" s="22"/>
      <c r="C90" s="22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</row>
    <row r="91" spans="2:16" ht="15.75" x14ac:dyDescent="0.25">
      <c r="B91" s="22"/>
      <c r="C91" s="22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</row>
    <row r="92" spans="2:16" ht="15.75" x14ac:dyDescent="0.25">
      <c r="B92" s="22"/>
      <c r="C92" s="22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</row>
  </sheetData>
  <printOptions horizontalCentered="1"/>
  <pageMargins left="0" right="0" top="1.25" bottom="0.5" header="0.5" footer="0.25"/>
  <pageSetup scale="65" fitToWidth="2" fitToHeight="2" orientation="portrait" r:id="rId1"/>
  <headerFooter alignWithMargins="0">
    <oddHeader>&amp;C&amp;"Times New Roman,Bold"&amp;14San Diego Gas &amp;&amp; Electric Company
2026 TRBAA Rate Filing
Details of Monthly ETC Cost Differentials</oddHeader>
    <oddFooter>&amp;L&amp;"Times New Roman,Regular"&amp;12&amp;F&amp;C&amp;"Times New Roman,Regular"&amp;12Page - 10.&amp;P&amp;R&amp;"Times New Roman,Regular"&amp;12&amp;A</oddFooter>
  </headerFooter>
  <colBreaks count="2" manualBreakCount="2">
    <brk id="7" min="2" max="64" man="1"/>
    <brk id="11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F48"/>
  <sheetViews>
    <sheetView zoomScale="80" zoomScaleNormal="80" workbookViewId="0">
      <selection activeCell="C28" sqref="C28"/>
    </sheetView>
  </sheetViews>
  <sheetFormatPr defaultColWidth="9.42578125" defaultRowHeight="15.75" x14ac:dyDescent="0.25"/>
  <cols>
    <col min="1" max="1" width="5.42578125" style="107" bestFit="1" customWidth="1"/>
    <col min="2" max="2" width="38.5703125" style="131" bestFit="1" customWidth="1"/>
    <col min="3" max="3" width="28.7109375" style="107" bestFit="1" customWidth="1"/>
    <col min="4" max="4" width="47.7109375" style="107" customWidth="1"/>
    <col min="5" max="5" width="5.42578125" style="107" bestFit="1" customWidth="1"/>
    <col min="6" max="6" width="2.42578125" style="107" bestFit="1" customWidth="1"/>
    <col min="7" max="11" width="9.42578125" style="107"/>
    <col min="12" max="12" width="10.5703125" style="107" bestFit="1" customWidth="1"/>
    <col min="13" max="16384" width="9.42578125" style="107"/>
  </cols>
  <sheetData>
    <row r="2" spans="1:6" x14ac:dyDescent="0.25">
      <c r="A2" s="977" t="s">
        <v>1</v>
      </c>
      <c r="B2" s="977"/>
      <c r="C2" s="977"/>
      <c r="D2" s="977"/>
      <c r="E2" s="977"/>
    </row>
    <row r="3" spans="1:6" x14ac:dyDescent="0.25">
      <c r="A3" s="977" t="str">
        <f>'WP 8 CT4575'!A3:E3</f>
        <v>2026 - TRBAA Rate Filing</v>
      </c>
      <c r="B3" s="977"/>
      <c r="C3" s="977"/>
      <c r="D3" s="977"/>
      <c r="E3" s="977"/>
    </row>
    <row r="4" spans="1:6" x14ac:dyDescent="0.25">
      <c r="A4" s="977" t="s">
        <v>463</v>
      </c>
      <c r="B4" s="977"/>
      <c r="C4" s="977"/>
      <c r="D4" s="977"/>
      <c r="E4" s="977"/>
    </row>
    <row r="5" spans="1:6" ht="16.5" thickBot="1" x14ac:dyDescent="0.3">
      <c r="A5" s="338"/>
      <c r="B5" s="661"/>
      <c r="C5" s="662"/>
      <c r="D5" s="338"/>
      <c r="E5" s="338"/>
    </row>
    <row r="6" spans="1:6" ht="39.75" customHeight="1" thickBot="1" x14ac:dyDescent="0.3">
      <c r="A6" s="663" t="s">
        <v>69</v>
      </c>
      <c r="B6" s="337" t="s">
        <v>402</v>
      </c>
      <c r="C6" s="678" t="s">
        <v>464</v>
      </c>
      <c r="D6" s="589" t="s">
        <v>16</v>
      </c>
      <c r="E6" s="665" t="s">
        <v>69</v>
      </c>
    </row>
    <row r="7" spans="1:6" x14ac:dyDescent="0.25">
      <c r="A7" s="453"/>
      <c r="B7" s="783"/>
      <c r="C7" s="431"/>
      <c r="D7" s="430"/>
      <c r="E7" s="454"/>
    </row>
    <row r="8" spans="1:6" x14ac:dyDescent="0.25">
      <c r="A8" s="334">
        <v>1</v>
      </c>
      <c r="B8" s="108">
        <f>'WP 7 Wheeling Revenues'!B11</f>
        <v>45566</v>
      </c>
      <c r="C8" s="19">
        <f>'WP 5 CAISO Charges'!C19</f>
        <v>45.436400000000006</v>
      </c>
      <c r="D8" s="23" t="s">
        <v>465</v>
      </c>
      <c r="E8" s="335">
        <f>A8</f>
        <v>1</v>
      </c>
      <c r="F8" s="784"/>
    </row>
    <row r="9" spans="1:6" x14ac:dyDescent="0.25">
      <c r="A9" s="334">
        <f>A8+1</f>
        <v>2</v>
      </c>
      <c r="B9" s="108"/>
      <c r="C9" s="19"/>
      <c r="D9" s="10"/>
      <c r="E9" s="335">
        <f t="shared" ref="E9:E33" si="0">A9</f>
        <v>2</v>
      </c>
      <c r="F9" s="784"/>
    </row>
    <row r="10" spans="1:6" x14ac:dyDescent="0.25">
      <c r="A10" s="334">
        <f t="shared" ref="A10:A32" si="1">A9+1</f>
        <v>3</v>
      </c>
      <c r="B10" s="108">
        <f>'WP 7 Wheeling Revenues'!B13</f>
        <v>45597</v>
      </c>
      <c r="C10" s="31">
        <f>'WP 5 CAISO Charges'!D19</f>
        <v>-1684.73</v>
      </c>
      <c r="D10" s="23" t="str">
        <f>D8</f>
        <v>Work paper No. 5; Page 5.1 and 5.2; Line 13</v>
      </c>
      <c r="E10" s="335">
        <f t="shared" si="0"/>
        <v>3</v>
      </c>
    </row>
    <row r="11" spans="1:6" x14ac:dyDescent="0.25">
      <c r="A11" s="334">
        <f t="shared" si="1"/>
        <v>4</v>
      </c>
      <c r="B11" s="108"/>
      <c r="C11" s="31"/>
      <c r="D11" s="10"/>
      <c r="E11" s="335">
        <f t="shared" si="0"/>
        <v>4</v>
      </c>
    </row>
    <row r="12" spans="1:6" ht="16.5" thickBot="1" x14ac:dyDescent="0.3">
      <c r="A12" s="336">
        <f t="shared" si="1"/>
        <v>5</v>
      </c>
      <c r="B12" s="109">
        <f>'WP 7 Wheeling Revenues'!B15</f>
        <v>45627</v>
      </c>
      <c r="C12" s="58">
        <f>'WP 5 CAISO Charges'!E19</f>
        <v>9817.14</v>
      </c>
      <c r="D12" s="647" t="str">
        <f>D8</f>
        <v>Work paper No. 5; Page 5.1 and 5.2; Line 13</v>
      </c>
      <c r="E12" s="339">
        <f t="shared" si="0"/>
        <v>5</v>
      </c>
    </row>
    <row r="13" spans="1:6" x14ac:dyDescent="0.25">
      <c r="A13" s="334">
        <f t="shared" si="1"/>
        <v>6</v>
      </c>
      <c r="B13" s="108"/>
      <c r="C13" s="31"/>
      <c r="D13" s="23"/>
      <c r="E13" s="335">
        <f t="shared" si="0"/>
        <v>6</v>
      </c>
    </row>
    <row r="14" spans="1:6" x14ac:dyDescent="0.25">
      <c r="A14" s="334">
        <f t="shared" si="1"/>
        <v>7</v>
      </c>
      <c r="B14" s="108">
        <f>'WP 7 Wheeling Revenues'!B17</f>
        <v>45658</v>
      </c>
      <c r="C14" s="31">
        <f>'WP 5 CAISO Charges'!F19</f>
        <v>5272.84</v>
      </c>
      <c r="D14" s="23" t="str">
        <f>D8</f>
        <v>Work paper No. 5; Page 5.1 and 5.2; Line 13</v>
      </c>
      <c r="E14" s="335">
        <f t="shared" si="0"/>
        <v>7</v>
      </c>
    </row>
    <row r="15" spans="1:6" x14ac:dyDescent="0.25">
      <c r="A15" s="334">
        <f t="shared" si="1"/>
        <v>8</v>
      </c>
      <c r="B15" s="108"/>
      <c r="C15" s="31"/>
      <c r="D15" s="10"/>
      <c r="E15" s="335">
        <f t="shared" si="0"/>
        <v>8</v>
      </c>
    </row>
    <row r="16" spans="1:6" x14ac:dyDescent="0.25">
      <c r="A16" s="334">
        <f t="shared" si="1"/>
        <v>9</v>
      </c>
      <c r="B16" s="108">
        <f>'WP 7 Wheeling Revenues'!B19</f>
        <v>45689</v>
      </c>
      <c r="C16" s="31">
        <f>'WP 5 CAISO Charges'!G19</f>
        <v>584235.94000000006</v>
      </c>
      <c r="D16" s="23" t="str">
        <f>D8</f>
        <v>Work paper No. 5; Page 5.1 and 5.2; Line 13</v>
      </c>
      <c r="E16" s="335">
        <f t="shared" si="0"/>
        <v>9</v>
      </c>
    </row>
    <row r="17" spans="1:5" x14ac:dyDescent="0.25">
      <c r="A17" s="334">
        <f t="shared" si="1"/>
        <v>10</v>
      </c>
      <c r="B17" s="108"/>
      <c r="C17" s="31"/>
      <c r="D17" s="10"/>
      <c r="E17" s="335">
        <f t="shared" si="0"/>
        <v>10</v>
      </c>
    </row>
    <row r="18" spans="1:5" ht="16.5" thickBot="1" x14ac:dyDescent="0.3">
      <c r="A18" s="336">
        <f t="shared" si="1"/>
        <v>11</v>
      </c>
      <c r="B18" s="109">
        <f>'WP 7 Wheeling Revenues'!B21</f>
        <v>45717</v>
      </c>
      <c r="C18" s="58">
        <f>'WP 5 CAISO Charges'!H19</f>
        <v>-243469.66000000003</v>
      </c>
      <c r="D18" s="647" t="str">
        <f>D8</f>
        <v>Work paper No. 5; Page 5.1 and 5.2; Line 13</v>
      </c>
      <c r="E18" s="339">
        <f t="shared" si="0"/>
        <v>11</v>
      </c>
    </row>
    <row r="19" spans="1:5" x14ac:dyDescent="0.25">
      <c r="A19" s="334">
        <f t="shared" si="1"/>
        <v>12</v>
      </c>
      <c r="B19" s="108"/>
      <c r="C19" s="31"/>
      <c r="D19" s="10"/>
      <c r="E19" s="335">
        <f t="shared" si="0"/>
        <v>12</v>
      </c>
    </row>
    <row r="20" spans="1:5" x14ac:dyDescent="0.25">
      <c r="A20" s="334">
        <f t="shared" si="1"/>
        <v>13</v>
      </c>
      <c r="B20" s="108">
        <f>'WP 7 Wheeling Revenues'!B23</f>
        <v>45748</v>
      </c>
      <c r="C20" s="31">
        <f>'WP 5 CAISO Charges'!I19</f>
        <v>-708536.49</v>
      </c>
      <c r="D20" s="23" t="str">
        <f>D8</f>
        <v>Work paper No. 5; Page 5.1 and 5.2; Line 13</v>
      </c>
      <c r="E20" s="335">
        <f t="shared" si="0"/>
        <v>13</v>
      </c>
    </row>
    <row r="21" spans="1:5" x14ac:dyDescent="0.25">
      <c r="A21" s="334">
        <f t="shared" si="1"/>
        <v>14</v>
      </c>
      <c r="B21" s="108"/>
      <c r="C21" s="31"/>
      <c r="D21" s="10"/>
      <c r="E21" s="335">
        <f t="shared" si="0"/>
        <v>14</v>
      </c>
    </row>
    <row r="22" spans="1:5" x14ac:dyDescent="0.25">
      <c r="A22" s="334">
        <f t="shared" si="1"/>
        <v>15</v>
      </c>
      <c r="B22" s="108">
        <f>'WP 7 Wheeling Revenues'!B25</f>
        <v>45778</v>
      </c>
      <c r="C22" s="31">
        <f>'WP 5 CAISO Charges'!J19</f>
        <v>-420256.04</v>
      </c>
      <c r="D22" s="23" t="str">
        <f>D8</f>
        <v>Work paper No. 5; Page 5.1 and 5.2; Line 13</v>
      </c>
      <c r="E22" s="335">
        <f t="shared" si="0"/>
        <v>15</v>
      </c>
    </row>
    <row r="23" spans="1:5" x14ac:dyDescent="0.25">
      <c r="A23" s="334">
        <f t="shared" si="1"/>
        <v>16</v>
      </c>
      <c r="B23" s="108"/>
      <c r="C23" s="31"/>
      <c r="D23" s="10"/>
      <c r="E23" s="335">
        <f t="shared" si="0"/>
        <v>16</v>
      </c>
    </row>
    <row r="24" spans="1:5" ht="16.5" thickBot="1" x14ac:dyDescent="0.3">
      <c r="A24" s="336">
        <f t="shared" si="1"/>
        <v>17</v>
      </c>
      <c r="B24" s="109">
        <f>'WP 7 Wheeling Revenues'!B27</f>
        <v>45809</v>
      </c>
      <c r="C24" s="58">
        <f>'WP 5 CAISO Charges'!K19</f>
        <v>-409471.99</v>
      </c>
      <c r="D24" s="647" t="str">
        <f>D8</f>
        <v>Work paper No. 5; Page 5.1 and 5.2; Line 13</v>
      </c>
      <c r="E24" s="339">
        <f t="shared" si="0"/>
        <v>17</v>
      </c>
    </row>
    <row r="25" spans="1:5" x14ac:dyDescent="0.25">
      <c r="A25" s="334">
        <f t="shared" si="1"/>
        <v>18</v>
      </c>
      <c r="B25" s="108"/>
      <c r="C25" s="31"/>
      <c r="D25" s="10"/>
      <c r="E25" s="335">
        <f t="shared" si="0"/>
        <v>18</v>
      </c>
    </row>
    <row r="26" spans="1:5" x14ac:dyDescent="0.25">
      <c r="A26" s="334">
        <f t="shared" si="1"/>
        <v>19</v>
      </c>
      <c r="B26" s="108">
        <f>'WP 7 Wheeling Revenues'!B29</f>
        <v>45839</v>
      </c>
      <c r="C26" s="31">
        <f>'WP 5 CAISO Charges'!L19</f>
        <v>-382624.48926999996</v>
      </c>
      <c r="D26" s="23" t="str">
        <f>D8</f>
        <v>Work paper No. 5; Page 5.1 and 5.2; Line 13</v>
      </c>
      <c r="E26" s="335">
        <f t="shared" si="0"/>
        <v>19</v>
      </c>
    </row>
    <row r="27" spans="1:5" x14ac:dyDescent="0.25">
      <c r="A27" s="334">
        <f t="shared" si="1"/>
        <v>20</v>
      </c>
      <c r="B27" s="108"/>
      <c r="C27" s="31"/>
      <c r="D27" s="10"/>
      <c r="E27" s="335">
        <f t="shared" si="0"/>
        <v>20</v>
      </c>
    </row>
    <row r="28" spans="1:5" x14ac:dyDescent="0.25">
      <c r="A28" s="334">
        <f t="shared" si="1"/>
        <v>21</v>
      </c>
      <c r="B28" s="108">
        <f>'WP 7 Wheeling Revenues'!B31</f>
        <v>45870</v>
      </c>
      <c r="C28" s="31">
        <f>'WP 5 CAISO Charges'!M19</f>
        <v>32087.87</v>
      </c>
      <c r="D28" s="23" t="str">
        <f>D8</f>
        <v>Work paper No. 5; Page 5.1 and 5.2; Line 13</v>
      </c>
      <c r="E28" s="335">
        <f t="shared" si="0"/>
        <v>21</v>
      </c>
    </row>
    <row r="29" spans="1:5" x14ac:dyDescent="0.25">
      <c r="A29" s="334">
        <f t="shared" si="1"/>
        <v>22</v>
      </c>
      <c r="B29" s="108"/>
      <c r="C29" s="31"/>
      <c r="D29" s="10"/>
      <c r="E29" s="335">
        <f t="shared" si="0"/>
        <v>22</v>
      </c>
    </row>
    <row r="30" spans="1:5" ht="16.5" thickBot="1" x14ac:dyDescent="0.3">
      <c r="A30" s="336">
        <f t="shared" si="1"/>
        <v>23</v>
      </c>
      <c r="B30" s="109">
        <f>'WP 7 Wheeling Revenues'!B33</f>
        <v>45901</v>
      </c>
      <c r="C30" s="82">
        <f>'WP 5 CAISO Charges'!N19</f>
        <v>-4056877.0898500001</v>
      </c>
      <c r="D30" s="647" t="str">
        <f>D8</f>
        <v>Work paper No. 5; Page 5.1 and 5.2; Line 13</v>
      </c>
      <c r="E30" s="339">
        <f t="shared" si="0"/>
        <v>23</v>
      </c>
    </row>
    <row r="31" spans="1:5" x14ac:dyDescent="0.25">
      <c r="A31" s="334">
        <f t="shared" si="1"/>
        <v>24</v>
      </c>
      <c r="B31" s="108"/>
      <c r="C31" s="44"/>
      <c r="D31" s="23"/>
      <c r="E31" s="335">
        <f t="shared" si="0"/>
        <v>24</v>
      </c>
    </row>
    <row r="32" spans="1:5" ht="16.5" thickBot="1" x14ac:dyDescent="0.3">
      <c r="A32" s="334">
        <f t="shared" si="1"/>
        <v>25</v>
      </c>
      <c r="B32" s="132" t="s">
        <v>406</v>
      </c>
      <c r="C32" s="73">
        <f>SUM(C8:C30)</f>
        <v>-5591461.26272</v>
      </c>
      <c r="D32" s="29" t="s">
        <v>407</v>
      </c>
      <c r="E32" s="335">
        <f t="shared" si="0"/>
        <v>25</v>
      </c>
    </row>
    <row r="33" spans="1:5" ht="16.5" thickTop="1" x14ac:dyDescent="0.25">
      <c r="A33" s="334">
        <f>A32+1</f>
        <v>26</v>
      </c>
      <c r="B33" s="679"/>
      <c r="C33" s="19"/>
      <c r="D33" s="680"/>
      <c r="E33" s="335">
        <f t="shared" si="0"/>
        <v>26</v>
      </c>
    </row>
    <row r="34" spans="1:5" ht="34.35" customHeight="1" thickBot="1" x14ac:dyDescent="0.3">
      <c r="A34" s="669">
        <f>A33+1</f>
        <v>27</v>
      </c>
      <c r="B34" s="676" t="s">
        <v>466</v>
      </c>
      <c r="C34" s="192">
        <f>C32</f>
        <v>-5591461.26272</v>
      </c>
      <c r="D34" s="29" t="s">
        <v>409</v>
      </c>
      <c r="E34" s="671">
        <f>E33+1</f>
        <v>27</v>
      </c>
    </row>
    <row r="35" spans="1:5" ht="17.25" thickTop="1" thickBot="1" x14ac:dyDescent="0.3">
      <c r="A35" s="336">
        <f>A34+1</f>
        <v>28</v>
      </c>
      <c r="B35" s="337"/>
      <c r="C35" s="785"/>
      <c r="D35" s="681"/>
      <c r="E35" s="339">
        <f>E34+1</f>
        <v>28</v>
      </c>
    </row>
    <row r="36" spans="1:5" x14ac:dyDescent="0.25">
      <c r="B36" s="333"/>
      <c r="C36" s="72"/>
    </row>
    <row r="37" spans="1:5" ht="18.75" x14ac:dyDescent="0.25">
      <c r="A37" s="677"/>
      <c r="B37" s="107"/>
      <c r="C37" s="133"/>
      <c r="D37" s="133"/>
    </row>
    <row r="38" spans="1:5" x14ac:dyDescent="0.25">
      <c r="B38" s="133"/>
      <c r="C38" s="133"/>
      <c r="D38" s="133"/>
    </row>
    <row r="39" spans="1:5" x14ac:dyDescent="0.25">
      <c r="B39" s="133"/>
      <c r="C39" s="133"/>
      <c r="D39" s="133"/>
    </row>
    <row r="40" spans="1:5" x14ac:dyDescent="0.25">
      <c r="A40" s="415"/>
      <c r="B40" s="316"/>
      <c r="C40" s="133"/>
      <c r="D40" s="133"/>
    </row>
    <row r="41" spans="1:5" x14ac:dyDescent="0.25">
      <c r="B41" s="193"/>
      <c r="C41" s="133"/>
      <c r="D41" s="133"/>
    </row>
    <row r="42" spans="1:5" x14ac:dyDescent="0.25">
      <c r="B42" s="193"/>
      <c r="C42" s="133"/>
      <c r="D42" s="133"/>
    </row>
    <row r="43" spans="1:5" x14ac:dyDescent="0.25">
      <c r="B43" s="193"/>
      <c r="C43" s="133"/>
      <c r="D43" s="133"/>
    </row>
    <row r="44" spans="1:5" x14ac:dyDescent="0.25">
      <c r="B44" s="316"/>
      <c r="C44" s="133"/>
      <c r="D44" s="133"/>
    </row>
    <row r="45" spans="1:5" x14ac:dyDescent="0.25">
      <c r="B45" s="133"/>
      <c r="C45" s="133"/>
      <c r="D45" s="133"/>
    </row>
    <row r="46" spans="1:5" x14ac:dyDescent="0.25">
      <c r="B46" s="315"/>
      <c r="C46" s="133"/>
      <c r="D46" s="133"/>
    </row>
    <row r="47" spans="1:5" x14ac:dyDescent="0.25">
      <c r="B47" s="193"/>
      <c r="C47" s="133"/>
      <c r="D47" s="133"/>
    </row>
    <row r="48" spans="1:5" x14ac:dyDescent="0.25">
      <c r="B48" s="133"/>
      <c r="C48" s="133"/>
      <c r="D48" s="133"/>
    </row>
  </sheetData>
  <mergeCells count="3">
    <mergeCell ref="A2:E2"/>
    <mergeCell ref="A3:E3"/>
    <mergeCell ref="A4:E4"/>
  </mergeCells>
  <printOptions horizontalCentered="1"/>
  <pageMargins left="0" right="0" top="0.5" bottom="0.75" header="0.25" footer="0.25"/>
  <pageSetup scale="90" orientation="landscape" r:id="rId1"/>
  <headerFooter alignWithMargins="0">
    <oddFooter>&amp;L&amp;"Times New Roman,Regular"&amp;12&amp;F&amp;C&amp;"Times New Roman,Regular"&amp;12Page 11.1&amp;R&amp;"Times New Roman,Regular"&amp;12&amp;A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67"/>
  <sheetViews>
    <sheetView topLeftCell="A12" zoomScale="80" zoomScaleNormal="80" workbookViewId="0">
      <selection activeCell="E13" sqref="E13"/>
    </sheetView>
  </sheetViews>
  <sheetFormatPr defaultColWidth="8.5703125" defaultRowHeight="12.75" x14ac:dyDescent="0.2"/>
  <cols>
    <col min="1" max="1" width="5.5703125" style="1" customWidth="1"/>
    <col min="2" max="2" width="27.5703125" style="1" customWidth="1"/>
    <col min="3" max="3" width="22.5703125" style="1" customWidth="1"/>
    <col min="4" max="4" width="18.5703125" style="1" bestFit="1" customWidth="1"/>
    <col min="5" max="5" width="20.5703125" style="1" customWidth="1"/>
    <col min="6" max="6" width="26.28515625" style="1" bestFit="1" customWidth="1"/>
    <col min="7" max="7" width="46.42578125" style="1" bestFit="1" customWidth="1"/>
    <col min="8" max="8" width="5.5703125" style="1" customWidth="1"/>
    <col min="9" max="9" width="8.5703125" style="1" customWidth="1"/>
    <col min="10" max="10" width="12.5703125" style="1" customWidth="1"/>
    <col min="11" max="11" width="12.5703125" style="1" bestFit="1" customWidth="1"/>
    <col min="12" max="16384" width="8.5703125" style="1"/>
  </cols>
  <sheetData>
    <row r="2" spans="1:11" s="3" customFormat="1" ht="18" customHeight="1" x14ac:dyDescent="0.25">
      <c r="A2" s="5" t="s">
        <v>0</v>
      </c>
      <c r="B2" s="5"/>
      <c r="C2" s="5"/>
      <c r="D2" s="5"/>
      <c r="E2" s="5"/>
      <c r="F2" s="5"/>
      <c r="G2" s="5"/>
      <c r="H2" s="41"/>
      <c r="I2" s="1"/>
      <c r="J2" s="1"/>
      <c r="K2" s="1"/>
    </row>
    <row r="3" spans="1:11" s="3" customFormat="1" ht="18" customHeight="1" x14ac:dyDescent="0.25">
      <c r="A3" s="5" t="s">
        <v>25</v>
      </c>
      <c r="B3" s="5"/>
      <c r="C3" s="5"/>
      <c r="D3" s="5"/>
      <c r="E3" s="5"/>
      <c r="F3" s="5"/>
      <c r="G3" s="5"/>
      <c r="H3" s="41"/>
      <c r="I3" s="1"/>
      <c r="J3" s="1"/>
      <c r="K3" s="1"/>
    </row>
    <row r="4" spans="1:11" s="3" customFormat="1" ht="18" customHeight="1" x14ac:dyDescent="0.25">
      <c r="A4" s="5" t="str">
        <f>'Stmnt BD - Forecast KWH'!A4</f>
        <v>2026 - TRBAA Rate Filing</v>
      </c>
      <c r="B4" s="5"/>
      <c r="C4" s="5"/>
      <c r="D4" s="5"/>
      <c r="E4" s="5"/>
      <c r="F4" s="5"/>
      <c r="G4" s="5"/>
      <c r="H4" s="41"/>
      <c r="I4" s="1"/>
      <c r="J4" s="1"/>
      <c r="K4" s="1"/>
    </row>
    <row r="5" spans="1:11" s="3" customFormat="1" ht="18" customHeight="1" x14ac:dyDescent="0.25">
      <c r="A5" s="5" t="s">
        <v>514</v>
      </c>
      <c r="B5" s="5"/>
      <c r="C5" s="5"/>
      <c r="D5" s="5"/>
      <c r="E5" s="5"/>
      <c r="F5" s="5"/>
      <c r="G5" s="5"/>
      <c r="H5" s="41"/>
      <c r="I5" s="1"/>
      <c r="J5" s="1"/>
      <c r="K5" s="1"/>
    </row>
    <row r="6" spans="1:11" ht="15.75" x14ac:dyDescent="0.2">
      <c r="A6" s="5" t="s">
        <v>26</v>
      </c>
      <c r="B6" s="5"/>
      <c r="C6" s="5"/>
      <c r="D6" s="5"/>
      <c r="E6" s="5"/>
      <c r="F6" s="41"/>
      <c r="G6" s="41"/>
      <c r="H6" s="41"/>
    </row>
    <row r="7" spans="1:11" ht="16.5" thickBot="1" x14ac:dyDescent="0.3">
      <c r="A7" s="22"/>
      <c r="B7" s="22"/>
      <c r="C7" s="22"/>
      <c r="D7" s="22"/>
      <c r="E7" s="22"/>
      <c r="F7" s="22"/>
      <c r="G7" s="22"/>
      <c r="H7" s="22"/>
    </row>
    <row r="8" spans="1:11" ht="15.75" x14ac:dyDescent="0.25">
      <c r="A8" s="286"/>
      <c r="B8" s="542"/>
      <c r="C8" s="455" t="s">
        <v>3</v>
      </c>
      <c r="D8" s="760" t="s">
        <v>4</v>
      </c>
      <c r="E8" s="543" t="s">
        <v>5</v>
      </c>
      <c r="F8" s="543" t="s">
        <v>27</v>
      </c>
      <c r="G8" s="551"/>
      <c r="H8" s="544"/>
    </row>
    <row r="9" spans="1:11" ht="15.75" x14ac:dyDescent="0.25">
      <c r="A9" s="545"/>
      <c r="B9" s="94"/>
      <c r="C9" s="94"/>
      <c r="D9" s="94"/>
      <c r="E9" s="75" t="s">
        <v>28</v>
      </c>
      <c r="F9" s="75" t="s">
        <v>29</v>
      </c>
      <c r="G9" s="75"/>
      <c r="H9" s="546"/>
    </row>
    <row r="10" spans="1:11" ht="15.75" x14ac:dyDescent="0.25">
      <c r="A10" s="547" t="s">
        <v>8</v>
      </c>
      <c r="B10" s="75"/>
      <c r="C10" s="75" t="s">
        <v>18</v>
      </c>
      <c r="D10" s="75" t="s">
        <v>7</v>
      </c>
      <c r="E10" s="158" t="s">
        <v>30</v>
      </c>
      <c r="F10" s="158" t="s">
        <v>31</v>
      </c>
      <c r="G10" s="75"/>
      <c r="H10" s="548" t="s">
        <v>8</v>
      </c>
    </row>
    <row r="11" spans="1:11" ht="16.5" thickBot="1" x14ac:dyDescent="0.3">
      <c r="A11" s="565" t="s">
        <v>11</v>
      </c>
      <c r="B11" s="153" t="s">
        <v>32</v>
      </c>
      <c r="C11" s="153" t="s">
        <v>33</v>
      </c>
      <c r="D11" s="153" t="s">
        <v>34</v>
      </c>
      <c r="E11" s="567" t="s">
        <v>9</v>
      </c>
      <c r="F11" s="567" t="s">
        <v>35</v>
      </c>
      <c r="G11" s="153" t="s">
        <v>16</v>
      </c>
      <c r="H11" s="566" t="s">
        <v>11</v>
      </c>
    </row>
    <row r="12" spans="1:11" ht="15.75" x14ac:dyDescent="0.25">
      <c r="A12" s="262"/>
      <c r="B12" s="764"/>
      <c r="C12" s="764"/>
      <c r="D12" s="764"/>
      <c r="E12" s="188"/>
      <c r="F12" s="188"/>
      <c r="G12" s="10"/>
      <c r="H12" s="263"/>
    </row>
    <row r="13" spans="1:11" ht="15.75" x14ac:dyDescent="0.25">
      <c r="A13" s="262">
        <v>1</v>
      </c>
      <c r="B13" s="106">
        <f>'Stmnt BD - Forecast KWH'!B12</f>
        <v>46023</v>
      </c>
      <c r="C13" s="491">
        <f>'WP 1.2 Forecast Sales'!C14</f>
        <v>1518216.7931788256</v>
      </c>
      <c r="D13" s="491">
        <f>'WP 1.2 Forecast Sales'!C13</f>
        <v>7.5685555555555553</v>
      </c>
      <c r="E13" s="44">
        <f>C13-D13</f>
        <v>1518209.2246232701</v>
      </c>
      <c r="F13" s="44">
        <f>E13*$E$31</f>
        <v>1581063.0865226737</v>
      </c>
      <c r="G13" s="240" t="s">
        <v>36</v>
      </c>
      <c r="H13" s="263">
        <v>1</v>
      </c>
      <c r="J13" s="179"/>
    </row>
    <row r="14" spans="1:11" ht="15.75" x14ac:dyDescent="0.25">
      <c r="A14" s="262">
        <f>A13+1</f>
        <v>2</v>
      </c>
      <c r="B14" s="106">
        <f>'Stmnt BD - Forecast KWH'!B13</f>
        <v>46054</v>
      </c>
      <c r="C14" s="491">
        <f>'WP 1.2 Forecast Sales'!D14</f>
        <v>1382160.7822211981</v>
      </c>
      <c r="D14" s="491">
        <f>'WP 1.2 Forecast Sales'!D13</f>
        <v>7.5685555555555553</v>
      </c>
      <c r="E14" s="44">
        <f t="shared" ref="E14:E24" si="0">C14-D14</f>
        <v>1382153.2136656425</v>
      </c>
      <c r="F14" s="44">
        <f t="shared" ref="F14:F24" si="1">E14*$E$31</f>
        <v>1439374.3567114002</v>
      </c>
      <c r="G14" s="240" t="str">
        <f>$G$13</f>
        <v>Cols. A to C, WP No. 1; Page 1.2; Lines 10, 9 &amp; 12</v>
      </c>
      <c r="H14" s="263">
        <f>H13+1</f>
        <v>2</v>
      </c>
      <c r="J14" s="179"/>
    </row>
    <row r="15" spans="1:11" ht="15.75" x14ac:dyDescent="0.25">
      <c r="A15" s="262">
        <f t="shared" ref="A15:A40" si="2">A14+1</f>
        <v>3</v>
      </c>
      <c r="B15" s="106">
        <f>'Stmnt BD - Forecast KWH'!B14</f>
        <v>46082</v>
      </c>
      <c r="C15" s="491">
        <f>'WP 1.2 Forecast Sales'!E14</f>
        <v>1318972.9256639367</v>
      </c>
      <c r="D15" s="491">
        <f>'WP 1.2 Forecast Sales'!E13</f>
        <v>7.5685555555555553</v>
      </c>
      <c r="E15" s="44">
        <f t="shared" si="0"/>
        <v>1318965.3571083811</v>
      </c>
      <c r="F15" s="44">
        <f t="shared" si="1"/>
        <v>1373570.5228926681</v>
      </c>
      <c r="G15" s="240" t="str">
        <f t="shared" ref="G15:G24" si="3">$G$13</f>
        <v>Cols. A to C, WP No. 1; Page 1.2; Lines 10, 9 &amp; 12</v>
      </c>
      <c r="H15" s="263">
        <f t="shared" ref="H15:H40" si="4">H14+1</f>
        <v>3</v>
      </c>
      <c r="J15" s="179"/>
    </row>
    <row r="16" spans="1:11" ht="15.75" x14ac:dyDescent="0.25">
      <c r="A16" s="262">
        <f t="shared" si="2"/>
        <v>4</v>
      </c>
      <c r="B16" s="106">
        <f>'Stmnt BD - Forecast KWH'!B15</f>
        <v>46113</v>
      </c>
      <c r="C16" s="491">
        <f>'WP 1.2 Forecast Sales'!F14</f>
        <v>1247204.6924278149</v>
      </c>
      <c r="D16" s="491">
        <f>'WP 1.2 Forecast Sales'!F13</f>
        <v>7.5685555555555553</v>
      </c>
      <c r="E16" s="44">
        <f t="shared" si="0"/>
        <v>1247197.1238722594</v>
      </c>
      <c r="F16" s="44">
        <f t="shared" si="1"/>
        <v>1298831.084800571</v>
      </c>
      <c r="G16" s="240" t="str">
        <f t="shared" si="3"/>
        <v>Cols. A to C, WP No. 1; Page 1.2; Lines 10, 9 &amp; 12</v>
      </c>
      <c r="H16" s="263">
        <f t="shared" si="4"/>
        <v>4</v>
      </c>
      <c r="J16" s="179"/>
    </row>
    <row r="17" spans="1:11" ht="15.75" x14ac:dyDescent="0.25">
      <c r="A17" s="262">
        <f t="shared" si="2"/>
        <v>5</v>
      </c>
      <c r="B17" s="106">
        <f>'Stmnt BD - Forecast KWH'!B16</f>
        <v>46143</v>
      </c>
      <c r="C17" s="491">
        <f>'WP 1.2 Forecast Sales'!G14</f>
        <v>1232791.1341776883</v>
      </c>
      <c r="D17" s="491">
        <f>'WP 1.2 Forecast Sales'!G13</f>
        <v>7.5685555555555553</v>
      </c>
      <c r="E17" s="44">
        <f t="shared" si="0"/>
        <v>1232783.5656221327</v>
      </c>
      <c r="F17" s="44">
        <f t="shared" si="1"/>
        <v>1283820.8052388891</v>
      </c>
      <c r="G17" s="240" t="str">
        <f t="shared" si="3"/>
        <v>Cols. A to C, WP No. 1; Page 1.2; Lines 10, 9 &amp; 12</v>
      </c>
      <c r="H17" s="263">
        <f t="shared" si="4"/>
        <v>5</v>
      </c>
      <c r="J17" s="179"/>
    </row>
    <row r="18" spans="1:11" ht="15.75" x14ac:dyDescent="0.25">
      <c r="A18" s="262">
        <f t="shared" si="2"/>
        <v>6</v>
      </c>
      <c r="B18" s="106">
        <f>'Stmnt BD - Forecast KWH'!B17</f>
        <v>46174</v>
      </c>
      <c r="C18" s="491">
        <f>'WP 1.2 Forecast Sales'!H14</f>
        <v>1295474.2839283552</v>
      </c>
      <c r="D18" s="491">
        <f>'WP 1.2 Forecast Sales'!H13</f>
        <v>7.5685555555555553</v>
      </c>
      <c r="E18" s="44">
        <f t="shared" si="0"/>
        <v>1295466.7153727997</v>
      </c>
      <c r="F18" s="44">
        <f t="shared" si="1"/>
        <v>1349099.0373892337</v>
      </c>
      <c r="G18" s="240" t="str">
        <f t="shared" si="3"/>
        <v>Cols. A to C, WP No. 1; Page 1.2; Lines 10, 9 &amp; 12</v>
      </c>
      <c r="H18" s="263">
        <f t="shared" si="4"/>
        <v>6</v>
      </c>
      <c r="J18" s="179"/>
    </row>
    <row r="19" spans="1:11" ht="15.75" x14ac:dyDescent="0.25">
      <c r="A19" s="262">
        <f t="shared" si="2"/>
        <v>7</v>
      </c>
      <c r="B19" s="106">
        <f>'Stmnt BD - Forecast KWH'!B18</f>
        <v>46204</v>
      </c>
      <c r="C19" s="491">
        <f>'WP 1.2 Forecast Sales'!I14</f>
        <v>1509254.908089702</v>
      </c>
      <c r="D19" s="491">
        <f>'WP 1.2 Forecast Sales'!I13</f>
        <v>7.5685555555555553</v>
      </c>
      <c r="E19" s="44">
        <f t="shared" si="0"/>
        <v>1509247.3395341465</v>
      </c>
      <c r="F19" s="44">
        <f t="shared" si="1"/>
        <v>1571730.1793908603</v>
      </c>
      <c r="G19" s="240" t="str">
        <f t="shared" si="3"/>
        <v>Cols. A to C, WP No. 1; Page 1.2; Lines 10, 9 &amp; 12</v>
      </c>
      <c r="H19" s="263">
        <f t="shared" si="4"/>
        <v>7</v>
      </c>
      <c r="J19" s="179"/>
    </row>
    <row r="20" spans="1:11" ht="15.75" x14ac:dyDescent="0.25">
      <c r="A20" s="262">
        <f t="shared" si="2"/>
        <v>8</v>
      </c>
      <c r="B20" s="106">
        <f>'Stmnt BD - Forecast KWH'!B19</f>
        <v>46235</v>
      </c>
      <c r="C20" s="491">
        <f>'WP 1.2 Forecast Sales'!J14</f>
        <v>1698745.9922994559</v>
      </c>
      <c r="D20" s="491">
        <f>'WP 1.2 Forecast Sales'!J13</f>
        <v>7.5685555555555553</v>
      </c>
      <c r="E20" s="44">
        <f t="shared" si="0"/>
        <v>1698738.4237439004</v>
      </c>
      <c r="F20" s="44">
        <f t="shared" si="1"/>
        <v>1769066.1944868981</v>
      </c>
      <c r="G20" s="240" t="str">
        <f t="shared" si="3"/>
        <v>Cols. A to C, WP No. 1; Page 1.2; Lines 10, 9 &amp; 12</v>
      </c>
      <c r="H20" s="263">
        <f t="shared" si="4"/>
        <v>8</v>
      </c>
      <c r="J20" s="179"/>
    </row>
    <row r="21" spans="1:11" ht="15.75" x14ac:dyDescent="0.25">
      <c r="A21" s="262">
        <f t="shared" si="2"/>
        <v>9</v>
      </c>
      <c r="B21" s="106">
        <f>'Stmnt BD - Forecast KWH'!B20</f>
        <v>46266</v>
      </c>
      <c r="C21" s="491">
        <f>'WP 1.2 Forecast Sales'!K14</f>
        <v>1817181.1109841049</v>
      </c>
      <c r="D21" s="491">
        <f>'WP 1.2 Forecast Sales'!K13</f>
        <v>7.5685555555555553</v>
      </c>
      <c r="E21" s="44">
        <f t="shared" si="0"/>
        <v>1817173.5424285494</v>
      </c>
      <c r="F21" s="44">
        <f t="shared" si="1"/>
        <v>1892404.5270850915</v>
      </c>
      <c r="G21" s="240" t="str">
        <f t="shared" si="3"/>
        <v>Cols. A to C, WP No. 1; Page 1.2; Lines 10, 9 &amp; 12</v>
      </c>
      <c r="H21" s="263">
        <f t="shared" si="4"/>
        <v>9</v>
      </c>
      <c r="J21" s="179"/>
    </row>
    <row r="22" spans="1:11" ht="15.75" x14ac:dyDescent="0.25">
      <c r="A22" s="262">
        <f t="shared" si="2"/>
        <v>10</v>
      </c>
      <c r="B22" s="106">
        <f>'Stmnt BD - Forecast KWH'!B21</f>
        <v>46296</v>
      </c>
      <c r="C22" s="491">
        <f>'WP 1.2 Forecast Sales'!L14</f>
        <v>1540390.8334026271</v>
      </c>
      <c r="D22" s="491">
        <f>'WP 1.2 Forecast Sales'!L13</f>
        <v>7.5685555555555553</v>
      </c>
      <c r="E22" s="44">
        <f t="shared" si="0"/>
        <v>1540383.2648470716</v>
      </c>
      <c r="F22" s="44">
        <f t="shared" si="1"/>
        <v>1604155.1320117405</v>
      </c>
      <c r="G22" s="240" t="str">
        <f t="shared" si="3"/>
        <v>Cols. A to C, WP No. 1; Page 1.2; Lines 10, 9 &amp; 12</v>
      </c>
      <c r="H22" s="263">
        <f t="shared" si="4"/>
        <v>10</v>
      </c>
      <c r="J22" s="179"/>
    </row>
    <row r="23" spans="1:11" ht="15.75" x14ac:dyDescent="0.25">
      <c r="A23" s="262">
        <f t="shared" si="2"/>
        <v>11</v>
      </c>
      <c r="B23" s="106">
        <f>'Stmnt BD - Forecast KWH'!B22</f>
        <v>46327</v>
      </c>
      <c r="C23" s="491">
        <f>'WP 1.2 Forecast Sales'!M14</f>
        <v>1383763.5899495056</v>
      </c>
      <c r="D23" s="491">
        <f>'WP 1.2 Forecast Sales'!M13</f>
        <v>7.5685555555555553</v>
      </c>
      <c r="E23" s="44">
        <f t="shared" si="0"/>
        <v>1383756.0213939501</v>
      </c>
      <c r="F23" s="44">
        <f t="shared" si="1"/>
        <v>1441043.5206796597</v>
      </c>
      <c r="G23" s="240" t="str">
        <f t="shared" si="3"/>
        <v>Cols. A to C, WP No. 1; Page 1.2; Lines 10, 9 &amp; 12</v>
      </c>
      <c r="H23" s="263">
        <f t="shared" si="4"/>
        <v>11</v>
      </c>
      <c r="J23" s="179"/>
    </row>
    <row r="24" spans="1:11" ht="15.75" x14ac:dyDescent="0.25">
      <c r="A24" s="262">
        <f t="shared" si="2"/>
        <v>12</v>
      </c>
      <c r="B24" s="106">
        <f>'Stmnt BD - Forecast KWH'!B23</f>
        <v>46357</v>
      </c>
      <c r="C24" s="491">
        <f>'WP 1.2 Forecast Sales'!N14</f>
        <v>1487362.6120918402</v>
      </c>
      <c r="D24" s="491">
        <f>'WP 1.2 Forecast Sales'!N13</f>
        <v>7.5685555555555553</v>
      </c>
      <c r="E24" s="44">
        <f t="shared" si="0"/>
        <v>1487355.0435362847</v>
      </c>
      <c r="F24" s="51">
        <f t="shared" si="1"/>
        <v>1548931.542338687</v>
      </c>
      <c r="G24" s="240" t="str">
        <f t="shared" si="3"/>
        <v>Cols. A to C, WP No. 1; Page 1.2; Lines 10, 9 &amp; 12</v>
      </c>
      <c r="H24" s="263">
        <f t="shared" si="4"/>
        <v>12</v>
      </c>
      <c r="J24" s="179"/>
    </row>
    <row r="25" spans="1:11" ht="15.75" x14ac:dyDescent="0.25">
      <c r="A25" s="262">
        <f t="shared" si="2"/>
        <v>13</v>
      </c>
      <c r="B25" s="52"/>
      <c r="C25" s="492"/>
      <c r="D25" s="52"/>
      <c r="E25" s="53"/>
      <c r="F25" s="45"/>
      <c r="G25" s="49"/>
      <c r="H25" s="263">
        <f t="shared" si="4"/>
        <v>13</v>
      </c>
    </row>
    <row r="26" spans="1:11" ht="16.5" thickBot="1" x14ac:dyDescent="0.3">
      <c r="A26" s="262">
        <f t="shared" si="2"/>
        <v>14</v>
      </c>
      <c r="B26" s="13" t="s">
        <v>18</v>
      </c>
      <c r="C26" s="498">
        <f>SUM(C13:C25)</f>
        <v>17431519.658415057</v>
      </c>
      <c r="D26" s="498">
        <f>SUM(D13:D25)</f>
        <v>90.822666666666635</v>
      </c>
      <c r="E26" s="47">
        <f>SUM(E13:E24)</f>
        <v>17431428.835748386</v>
      </c>
      <c r="F26" s="47">
        <f>SUM(F13:F24)</f>
        <v>18153089.989548374</v>
      </c>
      <c r="G26" s="49" t="s">
        <v>19</v>
      </c>
      <c r="H26" s="263">
        <f t="shared" si="4"/>
        <v>14</v>
      </c>
      <c r="J26" s="297"/>
      <c r="K26" s="179"/>
    </row>
    <row r="27" spans="1:11" ht="16.5" thickTop="1" x14ac:dyDescent="0.25">
      <c r="A27" s="262">
        <f t="shared" si="2"/>
        <v>15</v>
      </c>
      <c r="B27" s="32"/>
      <c r="C27" s="494"/>
      <c r="D27" s="494"/>
      <c r="E27" s="45"/>
      <c r="F27" s="501"/>
      <c r="G27" s="49"/>
      <c r="H27" s="263">
        <f t="shared" si="4"/>
        <v>15</v>
      </c>
      <c r="J27" s="297"/>
      <c r="K27" s="179"/>
    </row>
    <row r="28" spans="1:11" ht="16.5" thickBot="1" x14ac:dyDescent="0.3">
      <c r="A28" s="262">
        <f t="shared" si="2"/>
        <v>16</v>
      </c>
      <c r="B28" s="56" t="s">
        <v>37</v>
      </c>
      <c r="C28" s="494"/>
      <c r="D28" s="494"/>
      <c r="E28" s="504">
        <f>E26</f>
        <v>17431428.835748386</v>
      </c>
      <c r="F28" s="45"/>
      <c r="G28" s="505" t="s">
        <v>38</v>
      </c>
      <c r="H28" s="263">
        <f t="shared" si="4"/>
        <v>16</v>
      </c>
      <c r="J28" s="297"/>
      <c r="K28" s="179"/>
    </row>
    <row r="29" spans="1:11" ht="16.5" thickTop="1" x14ac:dyDescent="0.25">
      <c r="A29" s="262">
        <f t="shared" si="2"/>
        <v>17</v>
      </c>
      <c r="B29" s="495"/>
      <c r="C29" s="496"/>
      <c r="D29" s="496"/>
      <c r="E29" s="503"/>
      <c r="F29" s="502"/>
      <c r="G29" s="497"/>
      <c r="H29" s="263">
        <f t="shared" si="4"/>
        <v>17</v>
      </c>
      <c r="J29" s="297"/>
      <c r="K29" s="179"/>
    </row>
    <row r="30" spans="1:11" ht="15.75" x14ac:dyDescent="0.25">
      <c r="A30" s="262">
        <f t="shared" si="2"/>
        <v>18</v>
      </c>
      <c r="B30" s="32"/>
      <c r="C30" s="500"/>
      <c r="D30" s="500"/>
      <c r="E30" s="48"/>
      <c r="F30" s="45"/>
      <c r="G30" s="49"/>
      <c r="H30" s="263">
        <f t="shared" si="4"/>
        <v>18</v>
      </c>
      <c r="J30" s="297"/>
      <c r="K30" s="179"/>
    </row>
    <row r="31" spans="1:11" ht="19.5" thickBot="1" x14ac:dyDescent="0.3">
      <c r="A31" s="262">
        <f t="shared" si="2"/>
        <v>19</v>
      </c>
      <c r="B31" s="56" t="s">
        <v>39</v>
      </c>
      <c r="C31" s="491">
        <v>34669766.045696683</v>
      </c>
      <c r="D31" s="491">
        <v>36106622.107246794</v>
      </c>
      <c r="E31" s="539">
        <f>ROUND(D31/C31,4)</f>
        <v>1.0414000000000001</v>
      </c>
      <c r="F31" s="45"/>
      <c r="G31" s="49" t="s">
        <v>40</v>
      </c>
      <c r="H31" s="263">
        <f t="shared" si="4"/>
        <v>19</v>
      </c>
      <c r="J31" s="297"/>
      <c r="K31" s="179"/>
    </row>
    <row r="32" spans="1:11" ht="16.5" thickTop="1" x14ac:dyDescent="0.25">
      <c r="A32" s="262">
        <f t="shared" si="2"/>
        <v>20</v>
      </c>
      <c r="B32" s="499"/>
      <c r="C32" s="493"/>
      <c r="D32" s="493"/>
      <c r="E32" s="506"/>
      <c r="F32" s="502"/>
      <c r="G32" s="497"/>
      <c r="H32" s="263">
        <f t="shared" si="4"/>
        <v>20</v>
      </c>
      <c r="J32" s="297"/>
      <c r="K32" s="179"/>
    </row>
    <row r="33" spans="1:11" ht="15.75" x14ac:dyDescent="0.25">
      <c r="A33" s="262">
        <f t="shared" si="2"/>
        <v>21</v>
      </c>
      <c r="B33" s="56"/>
      <c r="C33" s="494"/>
      <c r="D33" s="494"/>
      <c r="E33" s="501"/>
      <c r="F33" s="501"/>
      <c r="G33" s="49"/>
      <c r="H33" s="263">
        <f t="shared" si="4"/>
        <v>21</v>
      </c>
      <c r="J33" s="297"/>
      <c r="K33" s="179"/>
    </row>
    <row r="34" spans="1:11" ht="15.75" x14ac:dyDescent="0.25">
      <c r="A34" s="262">
        <f t="shared" si="2"/>
        <v>22</v>
      </c>
      <c r="B34" s="56" t="s">
        <v>41</v>
      </c>
      <c r="C34" s="494"/>
      <c r="D34" s="494"/>
      <c r="E34" s="501"/>
      <c r="F34" s="501">
        <f>F26</f>
        <v>18153089.989548374</v>
      </c>
      <c r="G34" s="505" t="s">
        <v>42</v>
      </c>
      <c r="H34" s="263">
        <f t="shared" si="4"/>
        <v>22</v>
      </c>
      <c r="J34" s="297"/>
      <c r="K34" s="179"/>
    </row>
    <row r="35" spans="1:11" ht="15.75" x14ac:dyDescent="0.25">
      <c r="A35" s="262">
        <f t="shared" si="2"/>
        <v>23</v>
      </c>
      <c r="B35" s="56"/>
      <c r="C35" s="494"/>
      <c r="D35" s="494"/>
      <c r="E35" s="501"/>
      <c r="F35" s="501"/>
      <c r="G35" s="49"/>
      <c r="H35" s="263">
        <f t="shared" si="4"/>
        <v>23</v>
      </c>
      <c r="J35" s="297"/>
      <c r="K35" s="179"/>
    </row>
    <row r="36" spans="1:11" ht="18.75" x14ac:dyDescent="0.25">
      <c r="A36" s="262">
        <f t="shared" si="2"/>
        <v>24</v>
      </c>
      <c r="B36" s="56" t="s">
        <v>43</v>
      </c>
      <c r="C36" s="50"/>
      <c r="D36" s="50"/>
      <c r="E36" s="501"/>
      <c r="F36" s="501">
        <v>79.528916853147251</v>
      </c>
      <c r="G36" s="49" t="s">
        <v>44</v>
      </c>
      <c r="H36" s="263">
        <f t="shared" si="4"/>
        <v>24</v>
      </c>
      <c r="J36" s="297"/>
      <c r="K36" s="179"/>
    </row>
    <row r="37" spans="1:11" ht="15.75" x14ac:dyDescent="0.25">
      <c r="A37" s="262">
        <f t="shared" si="2"/>
        <v>25</v>
      </c>
      <c r="B37" s="56"/>
      <c r="C37" s="50"/>
      <c r="D37" s="50"/>
      <c r="E37" s="48"/>
      <c r="F37" s="45"/>
      <c r="G37" s="505"/>
      <c r="H37" s="263">
        <f t="shared" si="4"/>
        <v>25</v>
      </c>
      <c r="J37" s="297"/>
      <c r="K37" s="179"/>
    </row>
    <row r="38" spans="1:11" ht="18.75" x14ac:dyDescent="0.25">
      <c r="A38" s="187">
        <f t="shared" si="2"/>
        <v>26</v>
      </c>
      <c r="B38" s="56" t="s">
        <v>45</v>
      </c>
      <c r="C38" s="50"/>
      <c r="D38" s="50"/>
      <c r="E38" s="48"/>
      <c r="F38" s="46">
        <v>-39900.601703728731</v>
      </c>
      <c r="G38" s="49" t="s">
        <v>46</v>
      </c>
      <c r="H38" s="263">
        <f t="shared" si="4"/>
        <v>26</v>
      </c>
      <c r="J38" s="297"/>
      <c r="K38" s="179"/>
    </row>
    <row r="39" spans="1:11" ht="15.75" x14ac:dyDescent="0.25">
      <c r="A39" s="262">
        <f t="shared" si="2"/>
        <v>27</v>
      </c>
      <c r="B39" s="66"/>
      <c r="C39" s="22"/>
      <c r="D39" s="22"/>
      <c r="E39" s="91"/>
      <c r="F39" s="765"/>
      <c r="G39" s="49"/>
      <c r="H39" s="263">
        <f t="shared" si="4"/>
        <v>27</v>
      </c>
    </row>
    <row r="40" spans="1:11" ht="16.5" thickBot="1" x14ac:dyDescent="0.3">
      <c r="A40" s="187">
        <f t="shared" si="2"/>
        <v>28</v>
      </c>
      <c r="B40" s="66" t="s">
        <v>47</v>
      </c>
      <c r="C40" s="22"/>
      <c r="D40" s="22"/>
      <c r="E40" s="235"/>
      <c r="F40" s="766">
        <f>F34+F36+F38</f>
        <v>18113268.916761499</v>
      </c>
      <c r="G40" s="756" t="s">
        <v>48</v>
      </c>
      <c r="H40" s="263">
        <f t="shared" si="4"/>
        <v>28</v>
      </c>
    </row>
    <row r="41" spans="1:11" ht="17.25" thickTop="1" thickBot="1" x14ac:dyDescent="0.3">
      <c r="A41" s="300"/>
      <c r="B41" s="80"/>
      <c r="C41" s="80"/>
      <c r="D41" s="80"/>
      <c r="E41" s="552"/>
      <c r="F41" s="579"/>
      <c r="G41" s="81"/>
      <c r="H41" s="301"/>
    </row>
    <row r="42" spans="1:11" ht="15.75" x14ac:dyDescent="0.25">
      <c r="A42" s="22"/>
      <c r="B42" s="22"/>
      <c r="C42" s="22"/>
      <c r="D42" s="22"/>
      <c r="E42" s="22"/>
      <c r="F42" s="22"/>
      <c r="G42" s="22"/>
      <c r="H42" s="22"/>
    </row>
    <row r="43" spans="1:11" ht="18.75" x14ac:dyDescent="0.25">
      <c r="A43" s="413">
        <v>1</v>
      </c>
      <c r="B43" s="22" t="s">
        <v>49</v>
      </c>
      <c r="C43" s="22"/>
      <c r="D43" s="22"/>
      <c r="E43" s="54"/>
      <c r="F43" s="22"/>
      <c r="G43" s="22"/>
      <c r="H43" s="22"/>
    </row>
    <row r="44" spans="1:11" ht="18.75" x14ac:dyDescent="0.25">
      <c r="A44" s="413">
        <v>2</v>
      </c>
      <c r="B44" s="22" t="s">
        <v>515</v>
      </c>
      <c r="C44" s="22"/>
      <c r="D44" s="22"/>
      <c r="E44" s="22"/>
      <c r="F44" s="22"/>
      <c r="G44" s="22"/>
      <c r="H44" s="22"/>
    </row>
    <row r="45" spans="1:11" ht="15.75" x14ac:dyDescent="0.25">
      <c r="A45" s="22"/>
      <c r="B45" s="22" t="s">
        <v>516</v>
      </c>
      <c r="C45" s="22"/>
      <c r="D45" s="22"/>
      <c r="E45" s="22"/>
      <c r="F45" s="22"/>
      <c r="G45" s="22"/>
      <c r="H45" s="22"/>
    </row>
    <row r="46" spans="1:11" ht="18.75" x14ac:dyDescent="0.25">
      <c r="A46" s="413">
        <v>3</v>
      </c>
      <c r="B46" s="460" t="s">
        <v>50</v>
      </c>
      <c r="C46" s="460"/>
      <c r="D46" s="460"/>
      <c r="E46" s="22"/>
      <c r="F46" s="22"/>
      <c r="G46" s="22"/>
      <c r="H46" s="22"/>
    </row>
    <row r="47" spans="1:11" ht="18.75" x14ac:dyDescent="0.25">
      <c r="A47" s="413">
        <v>4</v>
      </c>
      <c r="B47" s="50" t="s">
        <v>51</v>
      </c>
      <c r="C47" s="50"/>
      <c r="D47" s="50"/>
      <c r="E47" s="22"/>
      <c r="F47" s="22"/>
      <c r="G47" s="22"/>
      <c r="H47" s="22"/>
    </row>
    <row r="48" spans="1:11" ht="15.75" x14ac:dyDescent="0.25">
      <c r="A48" s="22"/>
      <c r="B48" s="22"/>
      <c r="C48" s="22"/>
      <c r="D48" s="22"/>
      <c r="E48" s="22"/>
      <c r="F48" s="22"/>
      <c r="G48" s="22"/>
      <c r="H48" s="22"/>
    </row>
    <row r="49" spans="1:8" ht="15.75" x14ac:dyDescent="0.25">
      <c r="A49" s="22"/>
      <c r="B49" s="22"/>
      <c r="C49" s="22"/>
      <c r="D49" s="22"/>
      <c r="E49" s="22"/>
      <c r="F49" s="22"/>
      <c r="G49" s="22"/>
      <c r="H49" s="22"/>
    </row>
    <row r="50" spans="1:8" ht="15.75" x14ac:dyDescent="0.25">
      <c r="A50" s="22"/>
      <c r="B50" s="22"/>
      <c r="C50" s="22"/>
      <c r="D50" s="22"/>
      <c r="E50" s="22"/>
      <c r="F50" s="22"/>
      <c r="G50" s="22"/>
      <c r="H50" s="22"/>
    </row>
    <row r="51" spans="1:8" ht="15.75" x14ac:dyDescent="0.25">
      <c r="A51" s="22"/>
      <c r="B51" s="22"/>
      <c r="C51" s="22"/>
      <c r="D51" s="22"/>
      <c r="E51" s="22"/>
      <c r="F51" s="22"/>
      <c r="G51" s="22"/>
      <c r="H51" s="22"/>
    </row>
    <row r="52" spans="1:8" ht="15.75" x14ac:dyDescent="0.25">
      <c r="A52" s="22"/>
      <c r="B52" s="22"/>
      <c r="C52" s="22"/>
      <c r="D52" s="22"/>
      <c r="E52" s="22"/>
      <c r="F52" s="22"/>
      <c r="G52" s="22"/>
      <c r="H52" s="22"/>
    </row>
    <row r="53" spans="1:8" ht="15.75" x14ac:dyDescent="0.25">
      <c r="A53" s="22"/>
      <c r="B53" s="22"/>
      <c r="C53" s="22"/>
      <c r="D53" s="22"/>
      <c r="E53" s="22"/>
      <c r="F53" s="22"/>
      <c r="G53" s="22"/>
      <c r="H53" s="22"/>
    </row>
    <row r="54" spans="1:8" ht="15.75" x14ac:dyDescent="0.25">
      <c r="A54" s="22"/>
      <c r="B54" s="22"/>
      <c r="C54" s="22"/>
      <c r="D54" s="22"/>
      <c r="E54" s="22"/>
      <c r="F54" s="22"/>
      <c r="G54" s="22"/>
      <c r="H54" s="22"/>
    </row>
    <row r="55" spans="1:8" ht="15.75" x14ac:dyDescent="0.25">
      <c r="A55" s="22"/>
      <c r="B55" s="22"/>
      <c r="C55" s="22"/>
      <c r="D55" s="22"/>
      <c r="E55" s="22"/>
      <c r="F55" s="22"/>
      <c r="G55" s="22"/>
      <c r="H55" s="22"/>
    </row>
    <row r="56" spans="1:8" ht="15.75" x14ac:dyDescent="0.25">
      <c r="A56" s="22"/>
      <c r="B56" s="22"/>
      <c r="C56" s="22"/>
      <c r="D56" s="22"/>
      <c r="E56" s="22"/>
      <c r="F56" s="22"/>
      <c r="G56" s="22"/>
      <c r="H56" s="22"/>
    </row>
    <row r="57" spans="1:8" ht="15.75" x14ac:dyDescent="0.25">
      <c r="A57" s="22"/>
      <c r="B57" s="22"/>
      <c r="C57" s="22"/>
      <c r="D57" s="22"/>
      <c r="E57" s="22"/>
      <c r="F57" s="22"/>
      <c r="G57" s="22"/>
      <c r="H57" s="22"/>
    </row>
    <row r="58" spans="1:8" ht="15.75" x14ac:dyDescent="0.25">
      <c r="A58" s="22"/>
      <c r="B58" s="22"/>
      <c r="C58" s="22"/>
      <c r="D58" s="22"/>
      <c r="E58" s="22"/>
      <c r="F58" s="22"/>
      <c r="G58" s="22"/>
      <c r="H58" s="22"/>
    </row>
    <row r="59" spans="1:8" ht="15.75" x14ac:dyDescent="0.25">
      <c r="A59" s="22"/>
      <c r="B59" s="22"/>
      <c r="C59" s="22"/>
      <c r="D59" s="22"/>
      <c r="E59" s="22"/>
      <c r="F59" s="22"/>
      <c r="G59" s="22"/>
      <c r="H59" s="22"/>
    </row>
    <row r="60" spans="1:8" ht="15.75" x14ac:dyDescent="0.25">
      <c r="A60" s="22"/>
      <c r="B60" s="22"/>
      <c r="C60" s="22"/>
      <c r="D60" s="22"/>
      <c r="E60" s="22"/>
      <c r="F60" s="22"/>
      <c r="G60" s="22"/>
      <c r="H60" s="22"/>
    </row>
    <row r="61" spans="1:8" ht="15.75" x14ac:dyDescent="0.25">
      <c r="A61" s="22"/>
      <c r="B61" s="22"/>
      <c r="C61" s="22"/>
      <c r="D61" s="22"/>
      <c r="E61" s="22"/>
      <c r="F61" s="22"/>
      <c r="G61" s="22"/>
      <c r="H61" s="22"/>
    </row>
    <row r="62" spans="1:8" ht="15.75" x14ac:dyDescent="0.25">
      <c r="A62" s="22"/>
      <c r="B62" s="22"/>
      <c r="C62" s="22"/>
      <c r="D62" s="22"/>
      <c r="E62" s="22"/>
      <c r="F62" s="22"/>
      <c r="G62" s="22"/>
      <c r="H62" s="22"/>
    </row>
    <row r="63" spans="1:8" ht="15.75" x14ac:dyDescent="0.25">
      <c r="A63" s="22"/>
      <c r="B63" s="22"/>
      <c r="C63" s="22"/>
      <c r="D63" s="22"/>
      <c r="E63" s="22"/>
      <c r="F63" s="22"/>
      <c r="G63" s="22"/>
      <c r="H63" s="22"/>
    </row>
    <row r="64" spans="1:8" ht="15.75" x14ac:dyDescent="0.25">
      <c r="A64" s="22"/>
      <c r="B64" s="22"/>
      <c r="C64" s="22"/>
      <c r="D64" s="22"/>
      <c r="E64" s="22"/>
      <c r="F64" s="22"/>
      <c r="G64" s="22"/>
      <c r="H64" s="22"/>
    </row>
    <row r="65" spans="1:8" ht="15.75" x14ac:dyDescent="0.25">
      <c r="A65" s="22"/>
      <c r="B65" s="22"/>
      <c r="C65" s="22"/>
      <c r="D65" s="22"/>
      <c r="E65" s="22"/>
      <c r="F65" s="22"/>
      <c r="G65" s="22"/>
      <c r="H65" s="22"/>
    </row>
    <row r="66" spans="1:8" ht="15.75" x14ac:dyDescent="0.25">
      <c r="A66" s="22"/>
      <c r="B66" s="22"/>
      <c r="C66" s="22"/>
      <c r="D66" s="22"/>
      <c r="E66" s="22"/>
      <c r="F66" s="22"/>
      <c r="G66" s="22"/>
      <c r="H66" s="22"/>
    </row>
    <row r="67" spans="1:8" ht="15.75" x14ac:dyDescent="0.25">
      <c r="A67" s="22"/>
      <c r="B67" s="22"/>
      <c r="C67" s="22"/>
      <c r="D67" s="22"/>
      <c r="E67" s="22"/>
      <c r="F67" s="22"/>
      <c r="G67" s="22"/>
      <c r="H67" s="22"/>
    </row>
  </sheetData>
  <phoneticPr fontId="0" type="noConversion"/>
  <printOptions horizontalCentered="1"/>
  <pageMargins left="0" right="0" top="0.25" bottom="0.75" header="0.25" footer="0.25"/>
  <pageSetup scale="71" orientation="landscape" r:id="rId1"/>
  <headerFooter alignWithMargins="0">
    <oddFooter>&amp;L&amp;"Times New Roman,Regular"&amp;12&amp;F&amp;C&amp;"Times New Roman,Regular"&amp;12Page 3 of 5&amp;R&amp;"Times New Roman,Regular"&amp;12&amp;A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S53"/>
  <sheetViews>
    <sheetView zoomScale="80" zoomScaleNormal="80" zoomScaleSheetLayoutView="75" workbookViewId="0">
      <selection activeCell="K29" sqref="K29"/>
    </sheetView>
  </sheetViews>
  <sheetFormatPr defaultColWidth="9.42578125" defaultRowHeight="12.75" x14ac:dyDescent="0.2"/>
  <cols>
    <col min="1" max="1" width="5.140625" style="242" bestFit="1" customWidth="1"/>
    <col min="2" max="2" width="12.28515625" style="242" bestFit="1" customWidth="1"/>
    <col min="3" max="3" width="57.7109375" style="242" bestFit="1" customWidth="1"/>
    <col min="4" max="5" width="11.5703125" style="373" customWidth="1"/>
    <col min="6" max="7" width="11.7109375" style="373" customWidth="1"/>
    <col min="8" max="8" width="12.42578125" style="373" customWidth="1"/>
    <col min="9" max="10" width="12.5703125" style="373" customWidth="1"/>
    <col min="11" max="11" width="13.42578125" style="373" customWidth="1"/>
    <col min="12" max="13" width="13.140625" style="373" customWidth="1"/>
    <col min="14" max="14" width="13.85546875" style="373" customWidth="1"/>
    <col min="15" max="16" width="16.42578125" style="373" bestFit="1" customWidth="1"/>
    <col min="17" max="17" width="5.140625" style="242" bestFit="1" customWidth="1"/>
    <col min="18" max="18" width="2.5703125" style="242" bestFit="1" customWidth="1"/>
    <col min="19" max="16384" width="9.42578125" style="242"/>
  </cols>
  <sheetData>
    <row r="2" spans="1:18" ht="16.5" thickBot="1" x14ac:dyDescent="0.3">
      <c r="A2" s="55"/>
      <c r="B2" s="30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55"/>
    </row>
    <row r="3" spans="1:18" ht="38.85" customHeight="1" thickBot="1" x14ac:dyDescent="0.35">
      <c r="A3" s="314" t="s">
        <v>69</v>
      </c>
      <c r="B3" s="314" t="s">
        <v>421</v>
      </c>
      <c r="C3" s="538" t="s">
        <v>467</v>
      </c>
      <c r="D3" s="367">
        <f>'WP 10 ETC Costs'!D3</f>
        <v>45566</v>
      </c>
      <c r="E3" s="366">
        <f>'WP 10 ETC Costs'!E3</f>
        <v>45597</v>
      </c>
      <c r="F3" s="368">
        <f>'WP 10 ETC Costs'!F3</f>
        <v>45627</v>
      </c>
      <c r="G3" s="367">
        <f>'WP 10 ETC Costs'!G3</f>
        <v>45658</v>
      </c>
      <c r="H3" s="366">
        <f>'WP 10 ETC Costs'!H3</f>
        <v>45689</v>
      </c>
      <c r="I3" s="368">
        <f>'WP 10 ETC Costs'!I3</f>
        <v>45717</v>
      </c>
      <c r="J3" s="367">
        <f>'WP 10 ETC Costs'!J3</f>
        <v>45748</v>
      </c>
      <c r="K3" s="366">
        <f>'WP 10 ETC Costs'!K3</f>
        <v>45778</v>
      </c>
      <c r="L3" s="368">
        <f>'WP 10 ETC Costs'!L3</f>
        <v>45809</v>
      </c>
      <c r="M3" s="365">
        <f>'WP 10 ETC Costs'!M3</f>
        <v>45839</v>
      </c>
      <c r="N3" s="366">
        <f>'WP 10 ETC Costs'!N3</f>
        <v>45870</v>
      </c>
      <c r="O3" s="365">
        <f>'WP 10 ETC Costs'!O3</f>
        <v>45901</v>
      </c>
      <c r="P3" s="380" t="s">
        <v>18</v>
      </c>
      <c r="Q3" s="461" t="s">
        <v>69</v>
      </c>
    </row>
    <row r="4" spans="1:18" ht="15.75" x14ac:dyDescent="0.25">
      <c r="A4" s="313"/>
      <c r="B4" s="313"/>
      <c r="C4" s="781"/>
      <c r="D4" s="370"/>
      <c r="E4" s="369"/>
      <c r="F4" s="716"/>
      <c r="G4" s="370"/>
      <c r="H4" s="369"/>
      <c r="I4" s="716"/>
      <c r="J4" s="370"/>
      <c r="K4" s="369"/>
      <c r="L4" s="716"/>
      <c r="M4" s="537"/>
      <c r="N4" s="369"/>
      <c r="O4" s="537"/>
      <c r="P4" s="464"/>
      <c r="Q4" s="462"/>
      <c r="R4" s="3"/>
    </row>
    <row r="5" spans="1:18" ht="15.75" x14ac:dyDescent="0.25">
      <c r="A5" s="731">
        <f>A4+1</f>
        <v>1</v>
      </c>
      <c r="B5" s="731">
        <v>1592</v>
      </c>
      <c r="C5" s="884" t="s">
        <v>423</v>
      </c>
      <c r="D5" s="733">
        <v>-192.06871000000001</v>
      </c>
      <c r="E5" s="734">
        <v>0</v>
      </c>
      <c r="F5" s="735">
        <v>0</v>
      </c>
      <c r="G5" s="733">
        <v>0</v>
      </c>
      <c r="H5" s="734">
        <v>0</v>
      </c>
      <c r="I5" s="735">
        <v>0</v>
      </c>
      <c r="J5" s="733">
        <v>0</v>
      </c>
      <c r="K5" s="734">
        <v>0</v>
      </c>
      <c r="L5" s="735">
        <v>0</v>
      </c>
      <c r="M5" s="736">
        <v>-184.07356999999999</v>
      </c>
      <c r="N5" s="734">
        <v>0</v>
      </c>
      <c r="O5" s="736">
        <v>0</v>
      </c>
      <c r="P5" s="737">
        <f>SUM(D5:O5)</f>
        <v>-376.14228000000003</v>
      </c>
      <c r="Q5" s="732">
        <f>A5</f>
        <v>1</v>
      </c>
      <c r="R5" s="3"/>
    </row>
    <row r="6" spans="1:18" ht="15.75" x14ac:dyDescent="0.25">
      <c r="A6" s="731">
        <f>A5+1</f>
        <v>2</v>
      </c>
      <c r="B6" s="731"/>
      <c r="C6" s="885"/>
      <c r="D6" s="370"/>
      <c r="E6" s="369"/>
      <c r="F6" s="716"/>
      <c r="G6" s="370"/>
      <c r="H6" s="369"/>
      <c r="I6" s="716"/>
      <c r="J6" s="370"/>
      <c r="K6" s="369"/>
      <c r="L6" s="716"/>
      <c r="M6" s="537"/>
      <c r="N6" s="369"/>
      <c r="O6" s="537"/>
      <c r="P6" s="464"/>
      <c r="Q6" s="732">
        <f t="shared" ref="Q6:Q17" si="0">A6</f>
        <v>2</v>
      </c>
      <c r="R6" s="3"/>
    </row>
    <row r="7" spans="1:18" ht="15.75" x14ac:dyDescent="0.25">
      <c r="A7" s="731">
        <f t="shared" ref="A7:A23" si="1">A6+1</f>
        <v>3</v>
      </c>
      <c r="B7" s="120">
        <v>7989</v>
      </c>
      <c r="C7" s="22" t="s">
        <v>437</v>
      </c>
      <c r="D7" s="117">
        <v>0</v>
      </c>
      <c r="E7" s="44">
        <v>-1684.73</v>
      </c>
      <c r="F7" s="119">
        <v>0</v>
      </c>
      <c r="G7" s="117">
        <v>-1743.28</v>
      </c>
      <c r="H7" s="44">
        <v>-320074.23</v>
      </c>
      <c r="I7" s="119">
        <v>-368590.33</v>
      </c>
      <c r="J7" s="117">
        <v>-716566.45</v>
      </c>
      <c r="K7" s="44">
        <v>-422082.18</v>
      </c>
      <c r="L7" s="119">
        <v>-417039.93</v>
      </c>
      <c r="M7" s="93">
        <v>-409044.76999999996</v>
      </c>
      <c r="N7" s="44">
        <v>0</v>
      </c>
      <c r="O7" s="93">
        <v>-383155.20000000001</v>
      </c>
      <c r="P7" s="148">
        <f>SUM(D7:O7)</f>
        <v>-3039981.1</v>
      </c>
      <c r="Q7" s="732">
        <f t="shared" si="0"/>
        <v>3</v>
      </c>
    </row>
    <row r="8" spans="1:18" ht="15.75" x14ac:dyDescent="0.25">
      <c r="A8" s="731">
        <f t="shared" si="1"/>
        <v>4</v>
      </c>
      <c r="B8" s="120"/>
      <c r="C8" s="22"/>
      <c r="D8" s="350"/>
      <c r="E8" s="141"/>
      <c r="F8" s="328"/>
      <c r="G8" s="350"/>
      <c r="H8" s="141"/>
      <c r="I8" s="328"/>
      <c r="J8" s="350"/>
      <c r="K8" s="141"/>
      <c r="L8" s="328"/>
      <c r="M8" s="327"/>
      <c r="N8" s="141"/>
      <c r="O8" s="327"/>
      <c r="P8" s="465"/>
      <c r="Q8" s="732">
        <f t="shared" si="0"/>
        <v>4</v>
      </c>
    </row>
    <row r="9" spans="1:18" ht="15.75" x14ac:dyDescent="0.25">
      <c r="A9" s="731">
        <f t="shared" si="1"/>
        <v>5</v>
      </c>
      <c r="B9" s="120">
        <v>7999</v>
      </c>
      <c r="C9" s="22" t="s">
        <v>460</v>
      </c>
      <c r="D9" s="117">
        <v>289.61</v>
      </c>
      <c r="E9" s="44">
        <v>0</v>
      </c>
      <c r="F9" s="119">
        <v>9817.14</v>
      </c>
      <c r="G9" s="117">
        <v>7016.12</v>
      </c>
      <c r="H9" s="44">
        <v>904310.17</v>
      </c>
      <c r="I9" s="119">
        <v>125120.67</v>
      </c>
      <c r="J9" s="117">
        <v>8029.9599999999991</v>
      </c>
      <c r="K9" s="44">
        <v>1826.14</v>
      </c>
      <c r="L9" s="119">
        <v>7567.9400000000005</v>
      </c>
      <c r="M9" s="93">
        <v>26617.789999999997</v>
      </c>
      <c r="N9" s="44">
        <v>32087.87</v>
      </c>
      <c r="O9" s="93">
        <v>0</v>
      </c>
      <c r="P9" s="148">
        <f>SUM(D9:O9)</f>
        <v>1122683.4100000001</v>
      </c>
      <c r="Q9" s="732">
        <f t="shared" si="0"/>
        <v>5</v>
      </c>
      <c r="R9" s="22"/>
    </row>
    <row r="10" spans="1:18" ht="15.75" x14ac:dyDescent="0.25">
      <c r="A10" s="731">
        <f t="shared" si="1"/>
        <v>6</v>
      </c>
      <c r="B10" s="120"/>
      <c r="C10" s="22"/>
      <c r="D10" s="117"/>
      <c r="E10" s="44"/>
      <c r="F10" s="119"/>
      <c r="G10" s="117"/>
      <c r="H10" s="44"/>
      <c r="I10" s="119"/>
      <c r="J10" s="117"/>
      <c r="K10" s="44"/>
      <c r="L10" s="119"/>
      <c r="M10" s="93"/>
      <c r="N10" s="44"/>
      <c r="O10" s="969" t="s">
        <v>468</v>
      </c>
      <c r="P10" s="148"/>
      <c r="Q10" s="732">
        <f t="shared" si="0"/>
        <v>6</v>
      </c>
      <c r="R10" s="22"/>
    </row>
    <row r="11" spans="1:18" ht="15.75" x14ac:dyDescent="0.25">
      <c r="A11" s="731">
        <f t="shared" si="1"/>
        <v>7</v>
      </c>
      <c r="B11" s="120">
        <v>8526</v>
      </c>
      <c r="C11" s="22" t="s">
        <v>438</v>
      </c>
      <c r="D11" s="117">
        <v>-52.104889999999997</v>
      </c>
      <c r="E11" s="44">
        <v>0</v>
      </c>
      <c r="F11" s="119">
        <v>0</v>
      </c>
      <c r="G11" s="117">
        <v>0</v>
      </c>
      <c r="H11" s="44">
        <v>0</v>
      </c>
      <c r="I11" s="119">
        <v>0</v>
      </c>
      <c r="J11" s="117">
        <v>0</v>
      </c>
      <c r="K11" s="44">
        <v>0</v>
      </c>
      <c r="L11" s="119">
        <v>0</v>
      </c>
      <c r="M11" s="93">
        <v>-13.435700000000001</v>
      </c>
      <c r="N11" s="44">
        <v>0</v>
      </c>
      <c r="O11" s="93">
        <v>-3673721.8898499999</v>
      </c>
      <c r="P11" s="148">
        <f>SUM(D11:O11)</f>
        <v>-3673787.4304399998</v>
      </c>
      <c r="Q11" s="732">
        <f t="shared" si="0"/>
        <v>7</v>
      </c>
      <c r="R11" s="22"/>
    </row>
    <row r="12" spans="1:18" ht="15.75" x14ac:dyDescent="0.25">
      <c r="A12" s="731">
        <f t="shared" si="1"/>
        <v>8</v>
      </c>
      <c r="B12" s="120"/>
      <c r="C12" s="22"/>
      <c r="D12" s="117"/>
      <c r="E12" s="44"/>
      <c r="F12" s="119"/>
      <c r="G12" s="117"/>
      <c r="H12" s="44"/>
      <c r="I12" s="119"/>
      <c r="J12" s="117"/>
      <c r="K12" s="44"/>
      <c r="L12" s="119"/>
      <c r="M12" s="93"/>
      <c r="N12" s="44"/>
      <c r="O12" s="93"/>
      <c r="P12" s="148"/>
      <c r="Q12" s="732">
        <f t="shared" si="0"/>
        <v>8</v>
      </c>
      <c r="R12" s="22"/>
    </row>
    <row r="13" spans="1:18" ht="15.75" x14ac:dyDescent="0.25">
      <c r="A13" s="731">
        <f t="shared" si="1"/>
        <v>9</v>
      </c>
      <c r="B13" s="120">
        <v>8989</v>
      </c>
      <c r="C13" s="22" t="s">
        <v>470</v>
      </c>
      <c r="D13" s="117">
        <v>0</v>
      </c>
      <c r="E13" s="44">
        <v>0</v>
      </c>
      <c r="F13" s="119">
        <v>0</v>
      </c>
      <c r="G13" s="117">
        <v>0</v>
      </c>
      <c r="H13" s="44">
        <v>0</v>
      </c>
      <c r="I13" s="119">
        <v>0</v>
      </c>
      <c r="J13" s="117">
        <v>0</v>
      </c>
      <c r="K13" s="44">
        <v>0</v>
      </c>
      <c r="L13" s="119">
        <v>0</v>
      </c>
      <c r="M13" s="93">
        <v>0</v>
      </c>
      <c r="N13" s="44">
        <v>0</v>
      </c>
      <c r="O13" s="93">
        <v>0</v>
      </c>
      <c r="P13" s="148">
        <f>SUM(D13:O13)</f>
        <v>0</v>
      </c>
      <c r="Q13" s="732">
        <f t="shared" si="0"/>
        <v>9</v>
      </c>
      <c r="R13" s="22"/>
    </row>
    <row r="14" spans="1:18" ht="15.75" x14ac:dyDescent="0.25">
      <c r="A14" s="731">
        <f t="shared" si="1"/>
        <v>10</v>
      </c>
      <c r="B14" s="120"/>
      <c r="C14" s="22"/>
      <c r="D14" s="117"/>
      <c r="E14" s="44"/>
      <c r="F14" s="119"/>
      <c r="G14" s="117"/>
      <c r="H14" s="44"/>
      <c r="I14" s="119"/>
      <c r="J14" s="117"/>
      <c r="K14" s="44"/>
      <c r="L14" s="119"/>
      <c r="M14" s="93"/>
      <c r="N14" s="44"/>
      <c r="O14" s="93"/>
      <c r="P14" s="148"/>
      <c r="Q14" s="732">
        <f t="shared" si="0"/>
        <v>10</v>
      </c>
      <c r="R14" s="22"/>
    </row>
    <row r="15" spans="1:18" ht="15.75" x14ac:dyDescent="0.25">
      <c r="A15" s="731">
        <f t="shared" si="1"/>
        <v>11</v>
      </c>
      <c r="B15" s="120">
        <v>8999</v>
      </c>
      <c r="C15" s="22" t="s">
        <v>469</v>
      </c>
      <c r="D15" s="117">
        <v>0</v>
      </c>
      <c r="E15" s="44">
        <v>0</v>
      </c>
      <c r="F15" s="119">
        <v>0</v>
      </c>
      <c r="G15" s="117">
        <v>0</v>
      </c>
      <c r="H15" s="44">
        <v>0</v>
      </c>
      <c r="I15" s="119">
        <v>0</v>
      </c>
      <c r="J15" s="117">
        <v>0</v>
      </c>
      <c r="K15" s="44">
        <v>0</v>
      </c>
      <c r="L15" s="119">
        <v>0</v>
      </c>
      <c r="M15" s="93">
        <v>0</v>
      </c>
      <c r="N15" s="44">
        <v>0</v>
      </c>
      <c r="O15" s="93">
        <v>0</v>
      </c>
      <c r="P15" s="148">
        <f>SUM(D15:O15)</f>
        <v>0</v>
      </c>
      <c r="Q15" s="732">
        <f t="shared" si="0"/>
        <v>11</v>
      </c>
      <c r="R15" s="22"/>
    </row>
    <row r="16" spans="1:18" ht="15.75" x14ac:dyDescent="0.25">
      <c r="A16" s="731">
        <f t="shared" si="1"/>
        <v>12</v>
      </c>
      <c r="B16" s="120"/>
      <c r="C16" s="22"/>
      <c r="D16" s="482"/>
      <c r="E16" s="475"/>
      <c r="F16" s="483"/>
      <c r="G16" s="482"/>
      <c r="H16" s="475"/>
      <c r="I16" s="483"/>
      <c r="J16" s="482"/>
      <c r="K16" s="475"/>
      <c r="L16" s="483"/>
      <c r="M16" s="484"/>
      <c r="N16" s="475"/>
      <c r="O16" s="484"/>
      <c r="P16" s="486"/>
      <c r="Q16" s="732">
        <f t="shared" si="0"/>
        <v>12</v>
      </c>
      <c r="R16" s="22"/>
    </row>
    <row r="17" spans="1:19" ht="16.5" thickBot="1" x14ac:dyDescent="0.3">
      <c r="A17" s="731">
        <f t="shared" si="1"/>
        <v>13</v>
      </c>
      <c r="B17" s="186"/>
      <c r="C17" s="3" t="s">
        <v>461</v>
      </c>
      <c r="D17" s="488">
        <f t="shared" ref="D17:P17" si="2">SUM(D5:D15)</f>
        <v>45.436400000000006</v>
      </c>
      <c r="E17" s="192">
        <f t="shared" si="2"/>
        <v>-1684.73</v>
      </c>
      <c r="F17" s="485">
        <f t="shared" si="2"/>
        <v>9817.14</v>
      </c>
      <c r="G17" s="488">
        <f t="shared" si="2"/>
        <v>5272.84</v>
      </c>
      <c r="H17" s="192">
        <f t="shared" si="2"/>
        <v>584235.94000000006</v>
      </c>
      <c r="I17" s="489">
        <f t="shared" si="2"/>
        <v>-243469.66000000003</v>
      </c>
      <c r="J17" s="488">
        <f t="shared" si="2"/>
        <v>-708536.49</v>
      </c>
      <c r="K17" s="192">
        <f t="shared" si="2"/>
        <v>-420256.04</v>
      </c>
      <c r="L17" s="489">
        <f t="shared" si="2"/>
        <v>-409471.99</v>
      </c>
      <c r="M17" s="488">
        <f t="shared" si="2"/>
        <v>-382624.48926999996</v>
      </c>
      <c r="N17" s="192">
        <f t="shared" si="2"/>
        <v>32087.87</v>
      </c>
      <c r="O17" s="485">
        <f t="shared" si="2"/>
        <v>-4056877.0898500001</v>
      </c>
      <c r="P17" s="487">
        <f t="shared" si="2"/>
        <v>-5591461.26272</v>
      </c>
      <c r="Q17" s="732">
        <f t="shared" si="0"/>
        <v>13</v>
      </c>
      <c r="R17" s="22"/>
    </row>
    <row r="18" spans="1:19" ht="17.25" thickTop="1" thickBot="1" x14ac:dyDescent="0.3">
      <c r="A18" s="121">
        <f t="shared" si="1"/>
        <v>14</v>
      </c>
      <c r="B18" s="126"/>
      <c r="C18" s="853"/>
      <c r="D18" s="323"/>
      <c r="E18" s="318"/>
      <c r="F18" s="450"/>
      <c r="G18" s="449"/>
      <c r="H18" s="318"/>
      <c r="I18" s="450"/>
      <c r="J18" s="449"/>
      <c r="K18" s="318"/>
      <c r="L18" s="450"/>
      <c r="M18" s="317"/>
      <c r="N18" s="318"/>
      <c r="O18" s="317"/>
      <c r="P18" s="451"/>
      <c r="Q18" s="463">
        <f t="shared" ref="Q18:Q23" si="3">Q17+1</f>
        <v>14</v>
      </c>
      <c r="R18" s="22"/>
      <c r="S18" s="372"/>
    </row>
    <row r="19" spans="1:19" ht="15.75" x14ac:dyDescent="0.25">
      <c r="A19" s="150">
        <f t="shared" si="1"/>
        <v>15</v>
      </c>
      <c r="B19" s="246"/>
      <c r="C19" s="886"/>
      <c r="D19" s="311"/>
      <c r="E19" s="310"/>
      <c r="F19" s="312"/>
      <c r="G19" s="525"/>
      <c r="H19" s="303"/>
      <c r="I19" s="524"/>
      <c r="J19" s="311"/>
      <c r="K19" s="310"/>
      <c r="L19" s="312"/>
      <c r="M19" s="311"/>
      <c r="N19" s="310"/>
      <c r="O19" s="312"/>
      <c r="P19" s="719"/>
      <c r="Q19" s="459">
        <f t="shared" si="3"/>
        <v>15</v>
      </c>
      <c r="R19" s="22"/>
      <c r="S19" s="372"/>
    </row>
    <row r="20" spans="1:19" s="782" customFormat="1" ht="31.5" x14ac:dyDescent="0.2">
      <c r="A20" s="887">
        <f t="shared" si="1"/>
        <v>16</v>
      </c>
      <c r="B20" s="374"/>
      <c r="C20" s="888" t="s">
        <v>471</v>
      </c>
      <c r="D20" s="375">
        <f t="shared" ref="D20:O20" si="4">D17</f>
        <v>45.436400000000006</v>
      </c>
      <c r="E20" s="357">
        <f t="shared" si="4"/>
        <v>-1684.73</v>
      </c>
      <c r="F20" s="376">
        <f t="shared" si="4"/>
        <v>9817.14</v>
      </c>
      <c r="G20" s="375">
        <f t="shared" si="4"/>
        <v>5272.84</v>
      </c>
      <c r="H20" s="357">
        <f t="shared" si="4"/>
        <v>584235.94000000006</v>
      </c>
      <c r="I20" s="376">
        <f t="shared" si="4"/>
        <v>-243469.66000000003</v>
      </c>
      <c r="J20" s="375">
        <f t="shared" si="4"/>
        <v>-708536.49</v>
      </c>
      <c r="K20" s="357">
        <f t="shared" si="4"/>
        <v>-420256.04</v>
      </c>
      <c r="L20" s="376">
        <f t="shared" si="4"/>
        <v>-409471.99</v>
      </c>
      <c r="M20" s="375">
        <f t="shared" si="4"/>
        <v>-382624.48926999996</v>
      </c>
      <c r="N20" s="357">
        <f t="shared" si="4"/>
        <v>32087.87</v>
      </c>
      <c r="O20" s="376">
        <f t="shared" si="4"/>
        <v>-4056877.0898500001</v>
      </c>
      <c r="P20" s="843">
        <f>P17</f>
        <v>-5591461.26272</v>
      </c>
      <c r="Q20" s="842">
        <f t="shared" si="3"/>
        <v>16</v>
      </c>
      <c r="R20" s="371"/>
    </row>
    <row r="21" spans="1:19" ht="15.75" x14ac:dyDescent="0.25">
      <c r="A21" s="120">
        <f t="shared" si="1"/>
        <v>17</v>
      </c>
      <c r="B21" s="125"/>
      <c r="C21" s="219" t="s">
        <v>472</v>
      </c>
      <c r="D21" s="363">
        <f>'WP 4 Monthly TRBAA '!C20</f>
        <v>45.436400000000006</v>
      </c>
      <c r="E21" s="154">
        <f>'WP 4 Monthly TRBAA '!D20</f>
        <v>-1684.73</v>
      </c>
      <c r="F21" s="364">
        <f>'WP 4 Monthly TRBAA '!E20</f>
        <v>9817.14</v>
      </c>
      <c r="G21" s="363">
        <f>'WP 4 Monthly TRBAA '!F20</f>
        <v>5272.84</v>
      </c>
      <c r="H21" s="154">
        <f>'WP 4 Monthly TRBAA '!G20</f>
        <v>584235.94000000006</v>
      </c>
      <c r="I21" s="364">
        <f>'WP 4 Monthly TRBAA '!H20</f>
        <v>-243469.66000000003</v>
      </c>
      <c r="J21" s="363">
        <f>'WP 4 Monthly TRBAA '!I20</f>
        <v>-708536.49</v>
      </c>
      <c r="K21" s="154">
        <f>'WP 4 Monthly TRBAA '!J20</f>
        <v>-420256.04</v>
      </c>
      <c r="L21" s="364">
        <f>'WP 4 Monthly TRBAA '!K20</f>
        <v>-409471.99</v>
      </c>
      <c r="M21" s="363">
        <f>'WP 4 Monthly TRBAA '!L20</f>
        <v>-382624.48926999996</v>
      </c>
      <c r="N21" s="154">
        <f>'WP 4 Monthly TRBAA '!M20</f>
        <v>32087.87</v>
      </c>
      <c r="O21" s="364">
        <f>'WP 4 Monthly TRBAA '!N20</f>
        <v>-4056877.0898500001</v>
      </c>
      <c r="P21" s="721">
        <f>'WP 4 Monthly TRBAA '!O20</f>
        <v>-5591461.26272</v>
      </c>
      <c r="Q21" s="349">
        <f t="shared" si="3"/>
        <v>17</v>
      </c>
      <c r="R21" s="22"/>
    </row>
    <row r="22" spans="1:19" ht="16.5" thickBot="1" x14ac:dyDescent="0.3">
      <c r="A22" s="120">
        <f t="shared" si="1"/>
        <v>18</v>
      </c>
      <c r="B22" s="125"/>
      <c r="C22" s="219" t="s">
        <v>75</v>
      </c>
      <c r="D22" s="320">
        <f>D20-D21</f>
        <v>0</v>
      </c>
      <c r="E22" s="319">
        <f t="shared" ref="E22:P22" si="5">E20-E21</f>
        <v>0</v>
      </c>
      <c r="F22" s="322">
        <f t="shared" si="5"/>
        <v>0</v>
      </c>
      <c r="G22" s="320">
        <f t="shared" si="5"/>
        <v>0</v>
      </c>
      <c r="H22" s="155">
        <f t="shared" si="5"/>
        <v>0</v>
      </c>
      <c r="I22" s="321">
        <f t="shared" si="5"/>
        <v>0</v>
      </c>
      <c r="J22" s="320">
        <f t="shared" si="5"/>
        <v>0</v>
      </c>
      <c r="K22" s="155">
        <f t="shared" si="5"/>
        <v>0</v>
      </c>
      <c r="L22" s="321">
        <f t="shared" si="5"/>
        <v>0</v>
      </c>
      <c r="M22" s="320">
        <f t="shared" si="5"/>
        <v>0</v>
      </c>
      <c r="N22" s="155">
        <f t="shared" si="5"/>
        <v>0</v>
      </c>
      <c r="O22" s="321">
        <f t="shared" si="5"/>
        <v>0</v>
      </c>
      <c r="P22" s="722">
        <f t="shared" si="5"/>
        <v>0</v>
      </c>
      <c r="Q22" s="349">
        <f t="shared" si="3"/>
        <v>18</v>
      </c>
      <c r="R22" s="22"/>
    </row>
    <row r="23" spans="1:19" ht="17.25" thickTop="1" thickBot="1" x14ac:dyDescent="0.3">
      <c r="A23" s="121">
        <f t="shared" si="1"/>
        <v>19</v>
      </c>
      <c r="B23" s="126"/>
      <c r="C23" s="212"/>
      <c r="D23" s="323"/>
      <c r="E23" s="304"/>
      <c r="F23" s="128"/>
      <c r="G23" s="127"/>
      <c r="H23" s="304"/>
      <c r="I23" s="128"/>
      <c r="J23" s="127"/>
      <c r="K23" s="304"/>
      <c r="L23" s="128"/>
      <c r="M23" s="127"/>
      <c r="N23" s="304"/>
      <c r="O23" s="128"/>
      <c r="P23" s="723"/>
      <c r="Q23" s="463">
        <f t="shared" si="3"/>
        <v>19</v>
      </c>
      <c r="R23" s="22"/>
    </row>
    <row r="24" spans="1:19" ht="15.75" x14ac:dyDescent="0.25">
      <c r="B24" s="22"/>
      <c r="C24" s="22"/>
      <c r="D24" s="78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40"/>
    </row>
    <row r="25" spans="1:19" ht="33" customHeight="1" x14ac:dyDescent="0.25">
      <c r="A25" s="381" t="s">
        <v>414</v>
      </c>
      <c r="B25" s="993" t="s">
        <v>473</v>
      </c>
      <c r="C25" s="993"/>
      <c r="D25" s="993"/>
      <c r="E25" s="993"/>
      <c r="F25" s="993"/>
      <c r="G25" s="993"/>
      <c r="H25" s="993"/>
      <c r="I25" s="993"/>
      <c r="J25" s="993"/>
      <c r="K25" s="306"/>
      <c r="L25" s="306"/>
      <c r="M25" s="306"/>
      <c r="N25" s="306"/>
      <c r="O25" s="306"/>
      <c r="P25" s="151"/>
    </row>
    <row r="26" spans="1:19" ht="15.75" x14ac:dyDescent="0.25">
      <c r="B26" s="22"/>
      <c r="C26" s="22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</row>
    <row r="27" spans="1:19" ht="51.6" customHeight="1" x14ac:dyDescent="0.2">
      <c r="A27" s="889" t="s">
        <v>468</v>
      </c>
      <c r="B27" s="993" t="s">
        <v>524</v>
      </c>
      <c r="C27" s="993"/>
      <c r="D27" s="993"/>
      <c r="E27" s="993"/>
      <c r="F27" s="993"/>
      <c r="G27" s="993"/>
      <c r="H27" s="993"/>
      <c r="I27" s="993"/>
      <c r="J27" s="993"/>
    </row>
    <row r="28" spans="1:19" ht="18.75" x14ac:dyDescent="0.25">
      <c r="A28" s="889"/>
      <c r="B28" s="891"/>
      <c r="C28" s="891"/>
      <c r="D28" s="78"/>
      <c r="E28" s="78"/>
      <c r="F28" s="78"/>
      <c r="G28" s="78"/>
    </row>
    <row r="29" spans="1:19" ht="15.75" x14ac:dyDescent="0.25">
      <c r="B29" s="22" t="s">
        <v>228</v>
      </c>
      <c r="C29" s="890"/>
      <c r="D29" s="78"/>
      <c r="E29" s="78"/>
      <c r="F29" s="78"/>
      <c r="G29" s="78"/>
      <c r="H29" s="78"/>
      <c r="I29" s="78"/>
      <c r="J29" s="902"/>
      <c r="L29" s="78"/>
      <c r="M29" s="78"/>
      <c r="N29" s="78"/>
      <c r="O29" s="970">
        <v>-1684969.52</v>
      </c>
      <c r="P29" s="893">
        <f>SUM(O29)</f>
        <v>-1684969.52</v>
      </c>
    </row>
    <row r="30" spans="1:19" ht="15.75" x14ac:dyDescent="0.25">
      <c r="B30" s="22" t="s">
        <v>229</v>
      </c>
      <c r="C30" s="22"/>
      <c r="D30" s="78"/>
      <c r="E30" s="78"/>
      <c r="F30" s="78"/>
      <c r="G30" s="78"/>
      <c r="H30" s="78"/>
      <c r="I30" s="78"/>
      <c r="J30" s="880"/>
      <c r="L30" s="78"/>
      <c r="M30" s="78"/>
      <c r="N30" s="78"/>
      <c r="O30" s="970">
        <v>-1988752.37</v>
      </c>
      <c r="P30" s="894">
        <f>SUM(O30)</f>
        <v>-1988752.37</v>
      </c>
    </row>
    <row r="31" spans="1:19" ht="16.5" thickBot="1" x14ac:dyDescent="0.3">
      <c r="B31" s="22" t="s">
        <v>18</v>
      </c>
      <c r="C31" s="22"/>
      <c r="D31" s="78"/>
      <c r="E31" s="78"/>
      <c r="F31" s="78"/>
      <c r="G31" s="78"/>
      <c r="H31" s="78"/>
      <c r="I31" s="892"/>
      <c r="J31" s="902"/>
      <c r="L31" s="78"/>
      <c r="M31" s="78"/>
      <c r="N31" s="892" t="s">
        <v>468</v>
      </c>
      <c r="O31" s="895">
        <f>SUM(O29:O30)</f>
        <v>-3673721.89</v>
      </c>
      <c r="P31" s="895">
        <f>SUM(P29:P30)</f>
        <v>-3673721.89</v>
      </c>
    </row>
    <row r="32" spans="1:19" ht="16.5" thickTop="1" x14ac:dyDescent="0.25">
      <c r="B32" s="22"/>
      <c r="C32" s="22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</row>
    <row r="33" spans="2:16" ht="15.75" x14ac:dyDescent="0.25">
      <c r="B33" s="22"/>
      <c r="C33" s="22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</row>
    <row r="34" spans="2:16" ht="15.75" x14ac:dyDescent="0.25">
      <c r="B34" s="22"/>
      <c r="C34" s="22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2:16" ht="15.75" x14ac:dyDescent="0.25">
      <c r="B35" s="22"/>
      <c r="C35" s="22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</row>
    <row r="36" spans="2:16" ht="15.75" x14ac:dyDescent="0.25">
      <c r="B36" s="22"/>
      <c r="C36" s="22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</row>
    <row r="37" spans="2:16" ht="15.75" x14ac:dyDescent="0.25">
      <c r="B37" s="22"/>
      <c r="C37" s="22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</row>
    <row r="38" spans="2:16" ht="15.75" x14ac:dyDescent="0.25">
      <c r="B38" s="22"/>
      <c r="C38" s="22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spans="2:16" ht="15.75" x14ac:dyDescent="0.25">
      <c r="B39" s="22"/>
      <c r="C39" s="22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2:16" ht="15.75" x14ac:dyDescent="0.25">
      <c r="B40" s="22"/>
      <c r="C40" s="22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2:16" ht="15.75" x14ac:dyDescent="0.25">
      <c r="B41" s="22"/>
      <c r="C41" s="22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2:16" ht="15.75" x14ac:dyDescent="0.25">
      <c r="B42" s="22"/>
      <c r="C42" s="22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2:16" ht="15.75" x14ac:dyDescent="0.25">
      <c r="B43" s="22"/>
      <c r="C43" s="22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2:16" ht="15.75" x14ac:dyDescent="0.25">
      <c r="B44" s="22"/>
      <c r="C44" s="22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2:16" ht="15.75" x14ac:dyDescent="0.25">
      <c r="B45" s="22"/>
      <c r="C45" s="22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2:16" ht="15.75" x14ac:dyDescent="0.25">
      <c r="B46" s="22"/>
      <c r="C46" s="22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2:16" ht="15.75" x14ac:dyDescent="0.25">
      <c r="B47" s="22"/>
      <c r="C47" s="22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2:16" ht="15.75" x14ac:dyDescent="0.25">
      <c r="B48" s="22"/>
      <c r="C48" s="22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</row>
    <row r="49" spans="2:16" ht="15.75" x14ac:dyDescent="0.25">
      <c r="B49" s="22"/>
      <c r="C49" s="22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</row>
    <row r="50" spans="2:16" ht="15.75" x14ac:dyDescent="0.25">
      <c r="B50" s="22"/>
      <c r="C50" s="22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</row>
    <row r="51" spans="2:16" ht="15.75" x14ac:dyDescent="0.25">
      <c r="B51" s="22"/>
      <c r="C51" s="22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</row>
    <row r="52" spans="2:16" ht="15.75" x14ac:dyDescent="0.25">
      <c r="B52" s="22"/>
      <c r="C52" s="22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</row>
    <row r="53" spans="2:16" ht="15.75" x14ac:dyDescent="0.25">
      <c r="B53" s="22"/>
      <c r="C53" s="22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</row>
  </sheetData>
  <mergeCells count="2">
    <mergeCell ref="B27:J27"/>
    <mergeCell ref="B25:J25"/>
  </mergeCells>
  <printOptions horizontalCentered="1"/>
  <pageMargins left="0.25" right="0.25" top="0.75" bottom="0.5" header="0.5" footer="0.25"/>
  <pageSetup scale="53" orientation="landscape" r:id="rId1"/>
  <headerFooter alignWithMargins="0">
    <oddHeader xml:space="preserve">&amp;C&amp;"Times New Roman,Bold"&amp;12San Diego Gas &amp;&amp; Electric Company
2026 T&amp;K000000RBAA Rate Filing
Details of Monthly Other PTO Related Revenue (Credits)/Charges
</oddHeader>
    <oddFooter>&amp;L&amp;"Times New Roman,Regular"&amp;16&amp;F&amp;C&amp;"Times New Roman,Regular"&amp;16Page 12.&amp;P&amp;R&amp;"Times New Roman,Regular"&amp;16&amp;A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14"/>
  <sheetViews>
    <sheetView zoomScale="80" zoomScaleNormal="80" workbookViewId="0">
      <selection activeCell="R38" sqref="R38"/>
    </sheetView>
  </sheetViews>
  <sheetFormatPr defaultColWidth="9.28515625" defaultRowHeight="15" x14ac:dyDescent="0.25"/>
  <cols>
    <col min="1" max="1" width="20.5703125" style="767" customWidth="1"/>
    <col min="2" max="5" width="7.5703125" style="767" bestFit="1" customWidth="1"/>
    <col min="6" max="6" width="8.28515625" style="767" bestFit="1" customWidth="1"/>
    <col min="7" max="13" width="7.5703125" style="767" bestFit="1" customWidth="1"/>
    <col min="14" max="14" width="11.42578125" style="767" bestFit="1" customWidth="1"/>
    <col min="15" max="16384" width="9.28515625" style="767"/>
  </cols>
  <sheetData>
    <row r="2" spans="1:15" ht="15.75" x14ac:dyDescent="0.25">
      <c r="A2" s="975" t="s">
        <v>0</v>
      </c>
      <c r="B2" s="975"/>
      <c r="C2" s="975"/>
      <c r="D2" s="975"/>
      <c r="E2" s="975"/>
      <c r="F2" s="975"/>
      <c r="G2" s="975"/>
      <c r="H2" s="975"/>
      <c r="I2" s="975"/>
      <c r="J2" s="975"/>
      <c r="K2" s="975"/>
      <c r="L2" s="975"/>
      <c r="M2" s="975"/>
      <c r="N2" s="975"/>
    </row>
    <row r="3" spans="1:15" ht="15.75" x14ac:dyDescent="0.25">
      <c r="A3" s="975" t="s">
        <v>52</v>
      </c>
      <c r="B3" s="975"/>
      <c r="C3" s="975"/>
      <c r="D3" s="975"/>
      <c r="E3" s="975"/>
      <c r="F3" s="975"/>
      <c r="G3" s="975"/>
      <c r="H3" s="975"/>
      <c r="I3" s="975"/>
      <c r="J3" s="975"/>
      <c r="K3" s="975"/>
      <c r="L3" s="975"/>
      <c r="M3" s="975"/>
      <c r="N3" s="975"/>
    </row>
    <row r="4" spans="1:15" ht="15.75" x14ac:dyDescent="0.25">
      <c r="A4" s="975" t="s">
        <v>2</v>
      </c>
      <c r="B4" s="975"/>
      <c r="C4" s="975"/>
      <c r="D4" s="975"/>
      <c r="E4" s="975"/>
      <c r="F4" s="975"/>
      <c r="G4" s="975"/>
      <c r="H4" s="975"/>
      <c r="I4" s="975"/>
      <c r="J4" s="975"/>
      <c r="K4" s="975"/>
      <c r="L4" s="975"/>
      <c r="M4" s="975"/>
      <c r="N4" s="975"/>
    </row>
    <row r="5" spans="1:15" ht="15.75" x14ac:dyDescent="0.25">
      <c r="A5" s="975" t="s">
        <v>517</v>
      </c>
      <c r="B5" s="975"/>
      <c r="C5" s="975"/>
      <c r="D5" s="975"/>
      <c r="E5" s="975"/>
      <c r="F5" s="975"/>
      <c r="G5" s="975"/>
      <c r="H5" s="975"/>
      <c r="I5" s="975"/>
      <c r="J5" s="975"/>
      <c r="K5" s="975"/>
      <c r="L5" s="975"/>
      <c r="M5" s="975"/>
      <c r="N5" s="975"/>
    </row>
    <row r="6" spans="1:15" ht="15.75" x14ac:dyDescent="0.25">
      <c r="A6" s="975" t="s">
        <v>26</v>
      </c>
      <c r="B6" s="975"/>
      <c r="C6" s="975"/>
      <c r="D6" s="975"/>
      <c r="E6" s="975"/>
      <c r="F6" s="975"/>
      <c r="G6" s="975"/>
      <c r="H6" s="975"/>
      <c r="I6" s="975"/>
      <c r="J6" s="975"/>
      <c r="K6" s="975"/>
      <c r="L6" s="975"/>
      <c r="M6" s="975"/>
      <c r="N6" s="975"/>
    </row>
    <row r="7" spans="1:15" ht="16.5" thickBot="1" x14ac:dyDescent="0.3">
      <c r="A7" s="768"/>
      <c r="B7" s="768"/>
      <c r="C7" s="768"/>
      <c r="D7" s="768"/>
      <c r="E7" s="768"/>
      <c r="F7" s="768"/>
      <c r="G7" s="768"/>
      <c r="H7" s="768"/>
      <c r="I7" s="768"/>
      <c r="J7" s="768"/>
      <c r="K7" s="768"/>
      <c r="L7" s="768"/>
      <c r="M7" s="768"/>
      <c r="N7" s="768"/>
    </row>
    <row r="8" spans="1:15" ht="15.75" thickBot="1" x14ac:dyDescent="0.3">
      <c r="A8" s="772" t="s">
        <v>518</v>
      </c>
      <c r="B8" s="769" t="s">
        <v>53</v>
      </c>
      <c r="C8" s="770" t="s">
        <v>54</v>
      </c>
      <c r="D8" s="770" t="s">
        <v>55</v>
      </c>
      <c r="E8" s="770" t="s">
        <v>56</v>
      </c>
      <c r="F8" s="770" t="s">
        <v>57</v>
      </c>
      <c r="G8" s="770" t="s">
        <v>58</v>
      </c>
      <c r="H8" s="770" t="s">
        <v>59</v>
      </c>
      <c r="I8" s="770" t="s">
        <v>60</v>
      </c>
      <c r="J8" s="770" t="s">
        <v>61</v>
      </c>
      <c r="K8" s="770" t="s">
        <v>62</v>
      </c>
      <c r="L8" s="770" t="s">
        <v>63</v>
      </c>
      <c r="M8" s="771" t="s">
        <v>64</v>
      </c>
      <c r="N8" s="772" t="s">
        <v>18</v>
      </c>
      <c r="O8" s="773"/>
    </row>
    <row r="9" spans="1:15" ht="43.5" thickBot="1" x14ac:dyDescent="0.3">
      <c r="A9" s="844" t="s">
        <v>65</v>
      </c>
      <c r="B9" s="968">
        <v>31.270799999999944</v>
      </c>
      <c r="C9" s="968">
        <v>33.680030000000031</v>
      </c>
      <c r="D9" s="968">
        <v>13.719480000000001</v>
      </c>
      <c r="E9" s="968">
        <v>0</v>
      </c>
      <c r="F9" s="968">
        <v>0</v>
      </c>
      <c r="G9" s="968">
        <v>0</v>
      </c>
      <c r="H9" s="968">
        <v>0</v>
      </c>
      <c r="I9" s="968">
        <v>0</v>
      </c>
      <c r="J9" s="968">
        <v>0</v>
      </c>
      <c r="K9" s="968">
        <v>0</v>
      </c>
      <c r="L9" s="968">
        <v>0</v>
      </c>
      <c r="M9" s="968">
        <v>0</v>
      </c>
      <c r="N9" s="845">
        <f>SUM(B9:M9)</f>
        <v>78.670309999999972</v>
      </c>
      <c r="O9" s="773"/>
    </row>
    <row r="10" spans="1:15" x14ac:dyDescent="0.25">
      <c r="A10" s="774"/>
      <c r="B10" s="775"/>
      <c r="C10" s="775"/>
      <c r="D10" s="775"/>
      <c r="E10" s="775"/>
      <c r="F10" s="775"/>
      <c r="G10" s="775"/>
      <c r="H10" s="775"/>
      <c r="I10" s="775"/>
      <c r="J10" s="775"/>
      <c r="K10" s="775"/>
      <c r="L10" s="775"/>
      <c r="M10" s="775"/>
      <c r="N10" s="776"/>
      <c r="O10" s="773"/>
    </row>
    <row r="11" spans="1:15" x14ac:dyDescent="0.25">
      <c r="H11" s="767" t="s">
        <v>66</v>
      </c>
      <c r="N11" s="777">
        <v>1.0109316911627462</v>
      </c>
    </row>
    <row r="12" spans="1:15" x14ac:dyDescent="0.25">
      <c r="N12" s="778"/>
    </row>
    <row r="13" spans="1:15" ht="15.75" thickBot="1" x14ac:dyDescent="0.3">
      <c r="H13" s="767" t="s">
        <v>67</v>
      </c>
      <c r="N13" s="779">
        <f>N9*N11</f>
        <v>79.530309532597471</v>
      </c>
    </row>
    <row r="14" spans="1:15" ht="15.75" thickTop="1" x14ac:dyDescent="0.25">
      <c r="N14" s="780"/>
    </row>
  </sheetData>
  <mergeCells count="5">
    <mergeCell ref="A2:N2"/>
    <mergeCell ref="A3:N3"/>
    <mergeCell ref="A4:N4"/>
    <mergeCell ref="A5:N5"/>
    <mergeCell ref="A6:N6"/>
  </mergeCells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4 of 5&amp;R&amp;"Times New Roman,Regular"&amp;12&amp;A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ADC20-797C-4235-8D22-6E9C71D54D96}">
  <sheetPr>
    <pageSetUpPr fitToPage="1"/>
  </sheetPr>
  <dimension ref="A2:E21"/>
  <sheetViews>
    <sheetView zoomScale="80" zoomScaleNormal="80" workbookViewId="0">
      <selection activeCell="B39" sqref="B39"/>
    </sheetView>
  </sheetViews>
  <sheetFormatPr defaultColWidth="9.28515625" defaultRowHeight="15" x14ac:dyDescent="0.25"/>
  <cols>
    <col min="1" max="1" width="9.28515625" style="827"/>
    <col min="2" max="2" width="54" style="836" customWidth="1"/>
    <col min="3" max="3" width="10.42578125" style="827" bestFit="1" customWidth="1"/>
    <col min="4" max="4" width="30.28515625" style="827" customWidth="1"/>
    <col min="5" max="5" width="12.42578125" style="827" customWidth="1"/>
    <col min="6" max="16384" width="9.28515625" style="827"/>
  </cols>
  <sheetData>
    <row r="2" spans="1:5" ht="15.75" x14ac:dyDescent="0.25">
      <c r="B2" s="976" t="s">
        <v>0</v>
      </c>
      <c r="C2" s="976"/>
      <c r="D2" s="976"/>
    </row>
    <row r="3" spans="1:5" ht="15.75" x14ac:dyDescent="0.25">
      <c r="B3" s="976" t="s">
        <v>52</v>
      </c>
      <c r="C3" s="976"/>
      <c r="D3" s="976"/>
    </row>
    <row r="4" spans="1:5" ht="15.75" x14ac:dyDescent="0.25">
      <c r="B4" s="976" t="s">
        <v>2</v>
      </c>
      <c r="C4" s="976"/>
      <c r="D4" s="976"/>
    </row>
    <row r="5" spans="1:5" ht="15.75" x14ac:dyDescent="0.25">
      <c r="B5" s="976" t="s">
        <v>68</v>
      </c>
      <c r="C5" s="976"/>
      <c r="D5" s="976"/>
    </row>
    <row r="6" spans="1:5" ht="15.75" x14ac:dyDescent="0.25">
      <c r="B6" s="976" t="s">
        <v>519</v>
      </c>
      <c r="C6" s="976"/>
      <c r="D6" s="976"/>
    </row>
    <row r="7" spans="1:5" ht="15.75" x14ac:dyDescent="0.25">
      <c r="B7" s="828"/>
      <c r="C7" s="828"/>
      <c r="D7" s="828"/>
    </row>
    <row r="8" spans="1:5" ht="16.5" thickBot="1" x14ac:dyDescent="0.3">
      <c r="A8" s="829" t="s">
        <v>69</v>
      </c>
      <c r="B8" s="829" t="s">
        <v>70</v>
      </c>
      <c r="C8" s="829" t="s">
        <v>71</v>
      </c>
      <c r="D8" s="829" t="s">
        <v>16</v>
      </c>
      <c r="E8" s="829" t="s">
        <v>69</v>
      </c>
    </row>
    <row r="9" spans="1:5" ht="15.75" x14ac:dyDescent="0.25">
      <c r="A9" s="830"/>
      <c r="B9" s="751"/>
      <c r="C9" s="752"/>
      <c r="D9" s="753"/>
      <c r="E9" s="831"/>
    </row>
    <row r="10" spans="1:5" ht="15.75" x14ac:dyDescent="0.25">
      <c r="A10" s="830">
        <v>1</v>
      </c>
      <c r="B10" s="752" t="s">
        <v>72</v>
      </c>
      <c r="C10" s="752">
        <v>78.670309999999972</v>
      </c>
      <c r="D10" s="753" t="s">
        <v>73</v>
      </c>
      <c r="E10" s="830">
        <v>1</v>
      </c>
    </row>
    <row r="11" spans="1:5" ht="15.75" x14ac:dyDescent="0.25">
      <c r="A11" s="830"/>
      <c r="B11" s="752"/>
      <c r="C11" s="752"/>
      <c r="D11" s="753"/>
      <c r="E11" s="830"/>
    </row>
    <row r="12" spans="1:5" ht="15.75" x14ac:dyDescent="0.25">
      <c r="A12" s="830">
        <f>A10+1</f>
        <v>2</v>
      </c>
      <c r="B12" s="752" t="s">
        <v>74</v>
      </c>
      <c r="C12" s="754">
        <v>39548.498762650997</v>
      </c>
      <c r="D12" s="753" t="s">
        <v>73</v>
      </c>
      <c r="E12" s="830">
        <f>E10+1</f>
        <v>2</v>
      </c>
    </row>
    <row r="13" spans="1:5" ht="15.75" x14ac:dyDescent="0.25">
      <c r="A13" s="830"/>
      <c r="B13" s="752"/>
      <c r="C13" s="752"/>
      <c r="D13" s="753"/>
      <c r="E13" s="830"/>
    </row>
    <row r="14" spans="1:5" ht="15.75" x14ac:dyDescent="0.25">
      <c r="A14" s="830">
        <f>A12+1</f>
        <v>3</v>
      </c>
      <c r="B14" s="752" t="s">
        <v>75</v>
      </c>
      <c r="C14" s="752">
        <f>C10-C12</f>
        <v>-39469.828452650996</v>
      </c>
      <c r="D14" s="753" t="s">
        <v>76</v>
      </c>
      <c r="E14" s="830">
        <f>E12+1</f>
        <v>3</v>
      </c>
    </row>
    <row r="15" spans="1:5" ht="15.75" x14ac:dyDescent="0.25">
      <c r="A15" s="830"/>
      <c r="B15" s="752"/>
      <c r="C15" s="752"/>
      <c r="D15" s="753"/>
      <c r="E15" s="830"/>
    </row>
    <row r="16" spans="1:5" ht="15.75" x14ac:dyDescent="0.25">
      <c r="A16" s="830">
        <f>A14+1</f>
        <v>4</v>
      </c>
      <c r="B16" s="832" t="s">
        <v>66</v>
      </c>
      <c r="C16" s="833">
        <v>1.0109139884302893</v>
      </c>
      <c r="D16" s="753" t="s">
        <v>73</v>
      </c>
      <c r="E16" s="830">
        <f>E14+1</f>
        <v>4</v>
      </c>
    </row>
    <row r="17" spans="1:5" ht="15.75" x14ac:dyDescent="0.25">
      <c r="A17" s="830"/>
      <c r="B17" s="832"/>
      <c r="C17" s="835"/>
      <c r="D17" s="834"/>
      <c r="E17" s="830"/>
    </row>
    <row r="18" spans="1:5" ht="18.75" x14ac:dyDescent="0.25">
      <c r="A18" s="837">
        <f>A16+1</f>
        <v>5</v>
      </c>
      <c r="B18" s="841" t="s">
        <v>77</v>
      </c>
      <c r="C18" s="838">
        <f>C14*C16</f>
        <v>-39900.601703728731</v>
      </c>
      <c r="D18" s="840" t="s">
        <v>78</v>
      </c>
      <c r="E18" s="837">
        <f>E16+1</f>
        <v>5</v>
      </c>
    </row>
    <row r="19" spans="1:5" ht="15.75" x14ac:dyDescent="0.25">
      <c r="A19" s="830"/>
    </row>
    <row r="20" spans="1:5" ht="18.75" x14ac:dyDescent="0.25">
      <c r="A20" s="413">
        <v>1</v>
      </c>
      <c r="B20" s="22" t="s">
        <v>79</v>
      </c>
    </row>
    <row r="21" spans="1:5" ht="15.75" x14ac:dyDescent="0.25">
      <c r="B21" s="839"/>
    </row>
  </sheetData>
  <mergeCells count="5">
    <mergeCell ref="B2:D2"/>
    <mergeCell ref="B3:D3"/>
    <mergeCell ref="B4:D4"/>
    <mergeCell ref="B5:D5"/>
    <mergeCell ref="B6:D6"/>
  </mergeCells>
  <printOptions horizontalCentered="1"/>
  <pageMargins left="0" right="0" top="0.5" bottom="0.75" header="0.25" footer="0.25"/>
  <pageSetup orientation="landscape" r:id="rId1"/>
  <headerFooter alignWithMargins="0">
    <oddFooter>&amp;L            &amp;F&amp;CPage 5 of 5&amp;R&amp;A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52"/>
  <sheetViews>
    <sheetView zoomScale="80" zoomScaleNormal="80" workbookViewId="0">
      <selection activeCell="H34" sqref="H34"/>
    </sheetView>
  </sheetViews>
  <sheetFormatPr defaultColWidth="9.28515625" defaultRowHeight="12.75" x14ac:dyDescent="0.2"/>
  <cols>
    <col min="1" max="1" width="5.5703125" style="242" customWidth="1"/>
    <col min="2" max="2" width="40.5703125" style="242" customWidth="1"/>
    <col min="3" max="6" width="20.5703125" style="242" customWidth="1"/>
    <col min="7" max="7" width="25.5703125" style="242" hidden="1" customWidth="1"/>
    <col min="8" max="8" width="35.5703125" style="242" customWidth="1"/>
    <col min="9" max="9" width="5.5703125" style="242" customWidth="1"/>
    <col min="10" max="16384" width="9.28515625" style="242"/>
  </cols>
  <sheetData>
    <row r="2" spans="1:9" ht="15.75" x14ac:dyDescent="0.2">
      <c r="A2" s="5" t="s">
        <v>80</v>
      </c>
      <c r="B2" s="417"/>
      <c r="C2" s="825"/>
      <c r="D2" s="825"/>
      <c r="E2" s="825"/>
      <c r="F2" s="825"/>
      <c r="G2" s="825"/>
      <c r="H2" s="825"/>
      <c r="I2" s="825"/>
    </row>
    <row r="3" spans="1:9" ht="15.75" x14ac:dyDescent="0.2">
      <c r="A3" s="5" t="s">
        <v>25</v>
      </c>
      <c r="B3" s="5"/>
      <c r="C3" s="41"/>
      <c r="D3" s="41"/>
      <c r="E3" s="41"/>
      <c r="F3" s="41"/>
      <c r="G3" s="41"/>
      <c r="H3" s="41"/>
      <c r="I3" s="41"/>
    </row>
    <row r="4" spans="1:9" ht="15.75" x14ac:dyDescent="0.2">
      <c r="A4" s="977" t="s">
        <v>81</v>
      </c>
      <c r="B4" s="977"/>
      <c r="C4" s="977"/>
      <c r="D4" s="977"/>
      <c r="E4" s="977"/>
      <c r="F4" s="977"/>
      <c r="G4" s="977"/>
      <c r="H4" s="977"/>
      <c r="I4" s="977"/>
    </row>
    <row r="5" spans="1:9" ht="15.75" x14ac:dyDescent="0.2">
      <c r="A5" s="977" t="s">
        <v>82</v>
      </c>
      <c r="B5" s="977"/>
      <c r="C5" s="977"/>
      <c r="D5" s="977"/>
      <c r="E5" s="977"/>
      <c r="F5" s="977"/>
      <c r="G5" s="977"/>
      <c r="H5" s="977"/>
      <c r="I5" s="977"/>
    </row>
    <row r="6" spans="1:9" ht="15.75" x14ac:dyDescent="0.2">
      <c r="A6" s="5" t="s">
        <v>522</v>
      </c>
      <c r="B6" s="5"/>
      <c r="C6" s="382"/>
      <c r="D6" s="382"/>
      <c r="E6" s="382"/>
      <c r="F6" s="383"/>
      <c r="G6" s="382"/>
      <c r="H6" s="382"/>
      <c r="I6" s="41"/>
    </row>
    <row r="7" spans="1:9" ht="16.5" thickBot="1" x14ac:dyDescent="0.3">
      <c r="A7" s="37"/>
      <c r="B7" s="89"/>
      <c r="C7" s="89"/>
      <c r="D7" s="89"/>
      <c r="E7" s="89"/>
      <c r="F7" s="89"/>
      <c r="G7" s="22"/>
      <c r="H7" s="22"/>
      <c r="I7" s="22"/>
    </row>
    <row r="8" spans="1:9" ht="15.75" x14ac:dyDescent="0.25">
      <c r="A8" s="553"/>
      <c r="B8" s="455"/>
      <c r="C8" s="554" t="s">
        <v>3</v>
      </c>
      <c r="D8" s="554" t="s">
        <v>4</v>
      </c>
      <c r="E8" s="554" t="s">
        <v>5</v>
      </c>
      <c r="F8" s="554" t="s">
        <v>83</v>
      </c>
      <c r="G8" s="455"/>
      <c r="H8" s="455"/>
      <c r="I8" s="555"/>
    </row>
    <row r="9" spans="1:9" ht="15.75" x14ac:dyDescent="0.25">
      <c r="A9" s="547"/>
      <c r="B9" s="75"/>
      <c r="C9" s="158" t="s">
        <v>84</v>
      </c>
      <c r="D9" s="158" t="s">
        <v>85</v>
      </c>
      <c r="E9" s="75"/>
      <c r="F9" s="75"/>
      <c r="G9" s="75"/>
      <c r="H9" s="75"/>
      <c r="I9" s="548"/>
    </row>
    <row r="10" spans="1:9" ht="15.75" x14ac:dyDescent="0.25">
      <c r="A10" s="547"/>
      <c r="B10" s="94"/>
      <c r="C10" s="75">
        <v>2026</v>
      </c>
      <c r="D10" s="75">
        <f>C10</f>
        <v>2026</v>
      </c>
      <c r="E10" s="75"/>
      <c r="F10" s="75"/>
      <c r="G10" s="75"/>
      <c r="H10" s="75"/>
      <c r="I10" s="548"/>
    </row>
    <row r="11" spans="1:9" ht="15.75" x14ac:dyDescent="0.25">
      <c r="A11" s="547" t="s">
        <v>8</v>
      </c>
      <c r="B11" s="94"/>
      <c r="C11" s="75" t="s">
        <v>86</v>
      </c>
      <c r="D11" s="75" t="s">
        <v>86</v>
      </c>
      <c r="E11" s="75"/>
      <c r="F11" s="158" t="s">
        <v>87</v>
      </c>
      <c r="G11" s="75"/>
      <c r="H11" s="75"/>
      <c r="I11" s="548" t="s">
        <v>8</v>
      </c>
    </row>
    <row r="12" spans="1:9" ht="19.5" thickBot="1" x14ac:dyDescent="0.3">
      <c r="A12" s="565" t="s">
        <v>11</v>
      </c>
      <c r="B12" s="153" t="s">
        <v>88</v>
      </c>
      <c r="C12" s="567" t="s">
        <v>89</v>
      </c>
      <c r="D12" s="567" t="s">
        <v>90</v>
      </c>
      <c r="E12" s="153" t="s">
        <v>91</v>
      </c>
      <c r="F12" s="153" t="s">
        <v>92</v>
      </c>
      <c r="G12" s="153" t="s">
        <v>16</v>
      </c>
      <c r="H12" s="153" t="s">
        <v>16</v>
      </c>
      <c r="I12" s="566" t="s">
        <v>11</v>
      </c>
    </row>
    <row r="13" spans="1:9" ht="15.75" x14ac:dyDescent="0.25">
      <c r="A13" s="262"/>
      <c r="B13" s="10"/>
      <c r="C13" s="75"/>
      <c r="D13" s="75"/>
      <c r="E13" s="10"/>
      <c r="F13" s="188"/>
      <c r="G13" s="10"/>
      <c r="H13" s="10"/>
      <c r="I13" s="263"/>
    </row>
    <row r="14" spans="1:9" ht="15.75" x14ac:dyDescent="0.25">
      <c r="A14" s="262">
        <v>1</v>
      </c>
      <c r="B14" s="17" t="s">
        <v>93</v>
      </c>
      <c r="C14" s="19">
        <f>'Stmt BG - Page 2'!I28</f>
        <v>-16808904.061393581</v>
      </c>
      <c r="D14" s="19">
        <f>'Stmt BH - Page 1'!I28</f>
        <v>-13546649.654741535</v>
      </c>
      <c r="E14" s="19">
        <f>C14-D14</f>
        <v>-3262254.4066520464</v>
      </c>
      <c r="F14" s="25">
        <f>(C14-D14)/D14</f>
        <v>0.2408163265306125</v>
      </c>
      <c r="G14" s="19"/>
      <c r="H14" s="26" t="s">
        <v>94</v>
      </c>
      <c r="I14" s="263">
        <v>1</v>
      </c>
    </row>
    <row r="15" spans="1:9" ht="15.75" x14ac:dyDescent="0.25">
      <c r="A15" s="262">
        <f>A14+1</f>
        <v>2</v>
      </c>
      <c r="B15" s="11"/>
      <c r="C15" s="19"/>
      <c r="D15" s="19"/>
      <c r="E15" s="19"/>
      <c r="F15" s="19"/>
      <c r="G15" s="384"/>
      <c r="H15" s="26" t="s">
        <v>95</v>
      </c>
      <c r="I15" s="263">
        <f>I14+1</f>
        <v>2</v>
      </c>
    </row>
    <row r="16" spans="1:9" ht="15.75" x14ac:dyDescent="0.25">
      <c r="A16" s="262">
        <f t="shared" ref="A16:A27" si="0">A15+1</f>
        <v>3</v>
      </c>
      <c r="B16" s="17" t="s">
        <v>96</v>
      </c>
      <c r="C16" s="31">
        <f>'Stmt BG - Page 2'!I30</f>
        <v>-7423985.3894206081</v>
      </c>
      <c r="D16" s="31">
        <f>'Stmt BH - Page 1'!I30</f>
        <v>-5983146.1197633194</v>
      </c>
      <c r="E16" s="31">
        <f>C16-D16</f>
        <v>-1440839.2696572887</v>
      </c>
      <c r="F16" s="25">
        <f>(C16-D16)/D16</f>
        <v>0.24081632653061216</v>
      </c>
      <c r="G16" s="19"/>
      <c r="H16" s="26" t="s">
        <v>97</v>
      </c>
      <c r="I16" s="263">
        <f t="shared" ref="I16:I27" si="1">I15+1</f>
        <v>3</v>
      </c>
    </row>
    <row r="17" spans="1:9" ht="15.75" x14ac:dyDescent="0.25">
      <c r="A17" s="262">
        <f t="shared" si="0"/>
        <v>4</v>
      </c>
      <c r="B17" s="385"/>
      <c r="C17" s="31"/>
      <c r="D17" s="31"/>
      <c r="E17" s="31"/>
      <c r="F17" s="25"/>
      <c r="G17" s="19"/>
      <c r="H17" s="26" t="s">
        <v>98</v>
      </c>
      <c r="I17" s="263">
        <f t="shared" si="1"/>
        <v>4</v>
      </c>
    </row>
    <row r="18" spans="1:9" ht="15.75" x14ac:dyDescent="0.25">
      <c r="A18" s="262">
        <f t="shared" si="0"/>
        <v>5</v>
      </c>
      <c r="B18" s="17" t="s">
        <v>99</v>
      </c>
      <c r="C18" s="31">
        <f>'Stmt BG - Page 2'!I32</f>
        <v>-27306335.654923458</v>
      </c>
      <c r="D18" s="31">
        <f>'Stmt BH - Page 1'!I32</f>
        <v>-22006750.774527125</v>
      </c>
      <c r="E18" s="31">
        <f>C18-D18</f>
        <v>-5299584.8803963326</v>
      </c>
      <c r="F18" s="25">
        <f>(C18-D18)/D18</f>
        <v>0.24081632653061244</v>
      </c>
      <c r="G18" s="19"/>
      <c r="H18" s="26" t="s">
        <v>100</v>
      </c>
      <c r="I18" s="263">
        <f t="shared" si="1"/>
        <v>5</v>
      </c>
    </row>
    <row r="19" spans="1:9" ht="15.75" x14ac:dyDescent="0.25">
      <c r="A19" s="262">
        <f t="shared" si="0"/>
        <v>6</v>
      </c>
      <c r="B19" s="17"/>
      <c r="C19" s="31"/>
      <c r="D19" s="31"/>
      <c r="E19" s="31"/>
      <c r="F19" s="25"/>
      <c r="G19" s="19"/>
      <c r="H19" s="26" t="s">
        <v>101</v>
      </c>
      <c r="I19" s="263">
        <f t="shared" si="1"/>
        <v>6</v>
      </c>
    </row>
    <row r="20" spans="1:9" ht="15.75" x14ac:dyDescent="0.25">
      <c r="A20" s="262">
        <f t="shared" si="0"/>
        <v>7</v>
      </c>
      <c r="B20" s="17" t="s">
        <v>102</v>
      </c>
      <c r="C20" s="31">
        <f>'Stmt BG - Page 2'!I34</f>
        <v>-499759.93325098156</v>
      </c>
      <c r="D20" s="31">
        <f>'Stmt BH - Page 1'!I34</f>
        <v>-402767.05146871862</v>
      </c>
      <c r="E20" s="31">
        <f>C20-D20</f>
        <v>-96992.881782262935</v>
      </c>
      <c r="F20" s="25">
        <f>(C20-D20)/D20</f>
        <v>0.24081632653061244</v>
      </c>
      <c r="G20" s="19"/>
      <c r="H20" s="26" t="s">
        <v>103</v>
      </c>
      <c r="I20" s="263">
        <f t="shared" si="1"/>
        <v>7</v>
      </c>
    </row>
    <row r="21" spans="1:9" ht="15.75" x14ac:dyDescent="0.25">
      <c r="A21" s="262">
        <f t="shared" si="0"/>
        <v>8</v>
      </c>
      <c r="B21" s="17"/>
      <c r="C21" s="31"/>
      <c r="D21" s="31"/>
      <c r="E21" s="31"/>
      <c r="F21" s="25"/>
      <c r="G21" s="19"/>
      <c r="H21" s="26" t="s">
        <v>104</v>
      </c>
      <c r="I21" s="263">
        <f t="shared" si="1"/>
        <v>8</v>
      </c>
    </row>
    <row r="22" spans="1:9" ht="15.75" x14ac:dyDescent="0.25">
      <c r="A22" s="262">
        <f t="shared" si="0"/>
        <v>9</v>
      </c>
      <c r="B22" s="17" t="s">
        <v>105</v>
      </c>
      <c r="C22" s="31">
        <f>'Stmt BG - Page 2'!I36</f>
        <v>-689715.44920456281</v>
      </c>
      <c r="D22" s="31">
        <f>'Stmt BH - Page 1'!I36</f>
        <v>-555856.20083920355</v>
      </c>
      <c r="E22" s="31">
        <f>C22-D22</f>
        <v>-133859.24836535926</v>
      </c>
      <c r="F22" s="25">
        <f>(C22-D22)/D22</f>
        <v>0.24081632653061233</v>
      </c>
      <c r="G22" s="19"/>
      <c r="H22" s="26" t="s">
        <v>106</v>
      </c>
      <c r="I22" s="263">
        <f t="shared" si="1"/>
        <v>9</v>
      </c>
    </row>
    <row r="23" spans="1:9" ht="15.75" x14ac:dyDescent="0.25">
      <c r="A23" s="262">
        <f t="shared" si="0"/>
        <v>10</v>
      </c>
      <c r="B23" s="17"/>
      <c r="C23" s="31"/>
      <c r="D23" s="31"/>
      <c r="E23" s="31"/>
      <c r="F23" s="25"/>
      <c r="G23" s="19"/>
      <c r="H23" s="26" t="s">
        <v>107</v>
      </c>
      <c r="I23" s="263">
        <f t="shared" si="1"/>
        <v>10</v>
      </c>
    </row>
    <row r="24" spans="1:9" ht="15.75" x14ac:dyDescent="0.25">
      <c r="A24" s="262">
        <f t="shared" si="0"/>
        <v>11</v>
      </c>
      <c r="B24" s="66" t="s">
        <v>108</v>
      </c>
      <c r="C24" s="31">
        <f>'Stmt BG - Page 2'!I38</f>
        <v>-250048.39008191449</v>
      </c>
      <c r="D24" s="54">
        <f>'Stmt BH - Page 1'!I38</f>
        <v>-201519.26174364815</v>
      </c>
      <c r="E24" s="31">
        <f>C24-D24</f>
        <v>-48529.128338266339</v>
      </c>
      <c r="F24" s="521">
        <f>(C24-D24)/D24</f>
        <v>0.2408163265306125</v>
      </c>
      <c r="G24" s="19"/>
      <c r="H24" s="26" t="s">
        <v>109</v>
      </c>
      <c r="I24" s="263">
        <f t="shared" si="1"/>
        <v>11</v>
      </c>
    </row>
    <row r="25" spans="1:9" ht="15.75" x14ac:dyDescent="0.25">
      <c r="A25" s="262">
        <f t="shared" si="0"/>
        <v>12</v>
      </c>
      <c r="B25" s="17"/>
      <c r="C25" s="31"/>
      <c r="D25" s="31"/>
      <c r="E25" s="31"/>
      <c r="F25" s="25"/>
      <c r="G25" s="19"/>
      <c r="H25" s="26" t="s">
        <v>110</v>
      </c>
      <c r="I25" s="263">
        <f t="shared" si="1"/>
        <v>12</v>
      </c>
    </row>
    <row r="26" spans="1:9" ht="15.75" x14ac:dyDescent="0.25">
      <c r="A26" s="262">
        <f t="shared" si="0"/>
        <v>13</v>
      </c>
      <c r="B26" s="17"/>
      <c r="C26" s="53"/>
      <c r="D26" s="53"/>
      <c r="E26" s="21"/>
      <c r="F26" s="21"/>
      <c r="G26" s="19"/>
      <c r="I26" s="263">
        <f t="shared" si="1"/>
        <v>13</v>
      </c>
    </row>
    <row r="27" spans="1:9" ht="16.5" thickBot="1" x14ac:dyDescent="0.3">
      <c r="A27" s="262">
        <f t="shared" si="0"/>
        <v>14</v>
      </c>
      <c r="B27" s="11" t="s">
        <v>111</v>
      </c>
      <c r="C27" s="386">
        <f>SUM(C14:C24)</f>
        <v>-52978748.878275096</v>
      </c>
      <c r="D27" s="386">
        <f>SUM(D14:D24)</f>
        <v>-42696689.063083552</v>
      </c>
      <c r="E27" s="386">
        <f>SUM(E14:E24)</f>
        <v>-10282059.815191558</v>
      </c>
      <c r="F27" s="387">
        <f>(C27-D27)/D27</f>
        <v>0.24081632653061213</v>
      </c>
      <c r="G27" s="388"/>
      <c r="H27" s="389" t="s">
        <v>112</v>
      </c>
      <c r="I27" s="263">
        <f t="shared" si="1"/>
        <v>14</v>
      </c>
    </row>
    <row r="28" spans="1:9" ht="17.25" thickTop="1" thickBot="1" x14ac:dyDescent="0.3">
      <c r="A28" s="300"/>
      <c r="B28" s="81"/>
      <c r="C28" s="81"/>
      <c r="D28" s="81"/>
      <c r="E28" s="81"/>
      <c r="F28" s="81"/>
      <c r="G28" s="81"/>
      <c r="H28" s="81"/>
      <c r="I28" s="406"/>
    </row>
    <row r="29" spans="1:9" ht="15.75" x14ac:dyDescent="0.25">
      <c r="A29" s="37"/>
      <c r="B29" s="390"/>
    </row>
    <row r="30" spans="1:9" ht="18.75" x14ac:dyDescent="0.25">
      <c r="A30" s="83">
        <v>1</v>
      </c>
      <c r="B30" s="22" t="s">
        <v>523</v>
      </c>
    </row>
    <row r="31" spans="1:9" ht="18.75" x14ac:dyDescent="0.25">
      <c r="A31" s="69"/>
      <c r="B31" s="22"/>
    </row>
    <row r="32" spans="1:9" ht="15.75" x14ac:dyDescent="0.25">
      <c r="A32" s="37"/>
      <c r="B32" s="22"/>
    </row>
    <row r="33" spans="1:8" ht="18.75" x14ac:dyDescent="0.25">
      <c r="A33" s="69"/>
      <c r="B33" s="22"/>
    </row>
    <row r="34" spans="1:8" ht="15.75" x14ac:dyDescent="0.25">
      <c r="A34" s="824"/>
      <c r="B34" s="22"/>
    </row>
    <row r="35" spans="1:8" ht="15.75" x14ac:dyDescent="0.25">
      <c r="A35" s="824"/>
      <c r="B35" s="22"/>
      <c r="C35" s="22"/>
      <c r="D35" s="22"/>
      <c r="E35" s="140"/>
      <c r="F35" s="22"/>
      <c r="G35" s="22"/>
      <c r="H35" s="22"/>
    </row>
    <row r="36" spans="1:8" ht="15.75" x14ac:dyDescent="0.25">
      <c r="A36" s="824"/>
      <c r="B36" s="22"/>
      <c r="C36" s="22"/>
      <c r="D36" s="22"/>
      <c r="E36" s="391"/>
      <c r="F36" s="22"/>
      <c r="G36" s="22"/>
      <c r="H36" s="22"/>
    </row>
    <row r="37" spans="1:8" ht="15.75" x14ac:dyDescent="0.25">
      <c r="A37" s="824"/>
      <c r="B37" s="22"/>
      <c r="C37" s="22"/>
      <c r="D37" s="22"/>
      <c r="E37" s="22"/>
      <c r="F37" s="22"/>
      <c r="G37" s="22"/>
      <c r="H37" s="22"/>
    </row>
    <row r="38" spans="1:8" x14ac:dyDescent="0.2">
      <c r="A38" s="824"/>
    </row>
    <row r="39" spans="1:8" x14ac:dyDescent="0.2">
      <c r="A39" s="824"/>
    </row>
    <row r="40" spans="1:8" x14ac:dyDescent="0.2">
      <c r="A40" s="824"/>
    </row>
    <row r="41" spans="1:8" x14ac:dyDescent="0.2">
      <c r="A41" s="824"/>
    </row>
    <row r="42" spans="1:8" x14ac:dyDescent="0.2">
      <c r="A42" s="824"/>
    </row>
    <row r="43" spans="1:8" x14ac:dyDescent="0.2">
      <c r="A43" s="824"/>
    </row>
    <row r="44" spans="1:8" x14ac:dyDescent="0.2">
      <c r="A44" s="824"/>
    </row>
    <row r="45" spans="1:8" x14ac:dyDescent="0.2">
      <c r="A45" s="824"/>
    </row>
    <row r="46" spans="1:8" x14ac:dyDescent="0.2">
      <c r="A46" s="824"/>
    </row>
    <row r="47" spans="1:8" x14ac:dyDescent="0.2">
      <c r="A47" s="824"/>
    </row>
    <row r="48" spans="1:8" x14ac:dyDescent="0.2">
      <c r="A48" s="824"/>
    </row>
    <row r="49" spans="1:1" x14ac:dyDescent="0.2">
      <c r="A49" s="824"/>
    </row>
    <row r="50" spans="1:1" x14ac:dyDescent="0.2">
      <c r="A50" s="824"/>
    </row>
    <row r="51" spans="1:1" x14ac:dyDescent="0.2">
      <c r="A51" s="824"/>
    </row>
    <row r="52" spans="1:1" x14ac:dyDescent="0.2">
      <c r="A52" s="824"/>
    </row>
  </sheetData>
  <mergeCells count="2">
    <mergeCell ref="A5:I5"/>
    <mergeCell ref="A4:I4"/>
  </mergeCells>
  <printOptions horizontalCentered="1"/>
  <pageMargins left="0.25" right="0.25" top="0.5" bottom="0.5" header="0.25" footer="0.25"/>
  <pageSetup scale="79" orientation="landscape" r:id="rId1"/>
  <headerFooter alignWithMargins="0">
    <oddFooter>&amp;L&amp;"Times New Roman,Regular"&amp;14 &amp;F&amp;C&amp;"Times New Roman,Regular"&amp;14Page 1 of 4&amp;R&amp;"Times New Roman,Regular"&amp;14&amp;A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R143"/>
  <sheetViews>
    <sheetView zoomScale="80" zoomScaleNormal="80" workbookViewId="0">
      <selection activeCell="E28" sqref="E28"/>
    </sheetView>
  </sheetViews>
  <sheetFormatPr defaultColWidth="9.28515625" defaultRowHeight="15.75" x14ac:dyDescent="0.25"/>
  <cols>
    <col min="1" max="1" width="6" style="22" bestFit="1" customWidth="1"/>
    <col min="2" max="2" width="42" style="22" bestFit="1" customWidth="1"/>
    <col min="3" max="8" width="18" style="22" bestFit="1" customWidth="1"/>
    <col min="9" max="9" width="19.42578125" style="22" bestFit="1" customWidth="1"/>
    <col min="10" max="10" width="6" style="22" bestFit="1" customWidth="1"/>
    <col min="11" max="14" width="17.28515625" style="22" bestFit="1" customWidth="1"/>
    <col min="15" max="15" width="18.42578125" style="22" bestFit="1" customWidth="1"/>
    <col min="16" max="16" width="8.5703125" style="22" bestFit="1" customWidth="1"/>
    <col min="17" max="16384" width="9.28515625" style="22"/>
  </cols>
  <sheetData>
    <row r="2" spans="1:16" ht="18" customHeight="1" x14ac:dyDescent="0.25">
      <c r="A2" s="977" t="s">
        <v>80</v>
      </c>
      <c r="B2" s="977"/>
      <c r="C2" s="977"/>
      <c r="D2" s="977"/>
      <c r="E2" s="977"/>
      <c r="F2" s="977"/>
      <c r="G2" s="977"/>
      <c r="H2" s="977"/>
      <c r="I2" s="977"/>
      <c r="J2" s="977"/>
      <c r="K2" s="515"/>
      <c r="L2" s="515"/>
      <c r="M2" s="515"/>
      <c r="N2" s="515"/>
      <c r="O2" s="515"/>
      <c r="P2" s="515"/>
    </row>
    <row r="3" spans="1:16" ht="18" customHeight="1" x14ac:dyDescent="0.25">
      <c r="A3" s="977" t="s">
        <v>25</v>
      </c>
      <c r="B3" s="977"/>
      <c r="C3" s="977"/>
      <c r="D3" s="977"/>
      <c r="E3" s="977"/>
      <c r="F3" s="977"/>
      <c r="G3" s="977"/>
      <c r="H3" s="977"/>
      <c r="I3" s="977"/>
      <c r="J3" s="977"/>
      <c r="K3" s="516"/>
      <c r="L3" s="516"/>
      <c r="M3" s="516"/>
      <c r="N3" s="516"/>
      <c r="O3" s="516"/>
      <c r="P3" s="516"/>
    </row>
    <row r="4" spans="1:16" ht="18" customHeight="1" x14ac:dyDescent="0.25">
      <c r="A4" s="977" t="str">
        <f>'Stmt BG - Page 1'!A4</f>
        <v>Transmission Revenue Balancing Account Adjustment (TRBAA) Revenues Data to Reflect Changed Rates</v>
      </c>
      <c r="B4" s="977"/>
      <c r="C4" s="977"/>
      <c r="D4" s="977"/>
      <c r="E4" s="977"/>
      <c r="F4" s="977"/>
      <c r="G4" s="977"/>
      <c r="H4" s="977"/>
      <c r="I4" s="977"/>
      <c r="J4" s="977"/>
      <c r="K4" s="516"/>
      <c r="L4" s="516"/>
      <c r="M4" s="516"/>
      <c r="N4" s="516"/>
      <c r="O4" s="516"/>
      <c r="P4" s="516"/>
    </row>
    <row r="5" spans="1:16" ht="18" customHeight="1" x14ac:dyDescent="0.25">
      <c r="A5" s="978" t="str">
        <f>'Stmt BG - Page 1'!A6</f>
        <v>Rate Effective Period - Twelve Months Ending December 31, 2026</v>
      </c>
      <c r="B5" s="978"/>
      <c r="C5" s="978"/>
      <c r="D5" s="978"/>
      <c r="E5" s="978"/>
      <c r="F5" s="978"/>
      <c r="G5" s="978"/>
      <c r="H5" s="978"/>
      <c r="I5" s="978"/>
      <c r="J5" s="978"/>
      <c r="K5" s="516"/>
      <c r="L5" s="516"/>
      <c r="M5" s="516"/>
      <c r="N5" s="516"/>
      <c r="O5" s="516"/>
      <c r="P5" s="516"/>
    </row>
    <row r="6" spans="1:16" ht="16.5" thickBot="1" x14ac:dyDescent="0.3">
      <c r="A6" s="517"/>
      <c r="B6" s="517"/>
      <c r="C6" s="517"/>
      <c r="D6" s="517"/>
      <c r="E6" s="517"/>
      <c r="F6" s="517"/>
      <c r="G6" s="517"/>
      <c r="H6" s="517"/>
      <c r="I6" s="517"/>
      <c r="J6" s="517"/>
      <c r="K6" s="41"/>
      <c r="L6" s="41"/>
      <c r="M6" s="41"/>
      <c r="N6" s="41"/>
      <c r="O6" s="41"/>
      <c r="P6" s="41"/>
    </row>
    <row r="7" spans="1:16" x14ac:dyDescent="0.25">
      <c r="A7" s="724" t="s">
        <v>8</v>
      </c>
      <c r="B7" s="542"/>
      <c r="C7" s="588" t="s">
        <v>3</v>
      </c>
      <c r="D7" s="455" t="s">
        <v>4</v>
      </c>
      <c r="E7" s="684" t="s">
        <v>113</v>
      </c>
      <c r="F7" s="455" t="s">
        <v>114</v>
      </c>
      <c r="G7" s="455" t="s">
        <v>115</v>
      </c>
      <c r="H7" s="684" t="s">
        <v>116</v>
      </c>
      <c r="I7" s="554" t="s">
        <v>117</v>
      </c>
      <c r="J7" s="727" t="s">
        <v>8</v>
      </c>
    </row>
    <row r="8" spans="1:16" ht="16.5" thickBot="1" x14ac:dyDescent="0.3">
      <c r="A8" s="725" t="s">
        <v>11</v>
      </c>
      <c r="B8" s="153" t="s">
        <v>88</v>
      </c>
      <c r="C8" s="826">
        <v>46023</v>
      </c>
      <c r="D8" s="826">
        <v>46054</v>
      </c>
      <c r="E8" s="826">
        <v>46082</v>
      </c>
      <c r="F8" s="826">
        <v>46113</v>
      </c>
      <c r="G8" s="826">
        <v>46143</v>
      </c>
      <c r="H8" s="826">
        <v>46174</v>
      </c>
      <c r="I8" s="685"/>
      <c r="J8" s="726" t="s">
        <v>11</v>
      </c>
    </row>
    <row r="9" spans="1:16" x14ac:dyDescent="0.25">
      <c r="A9" s="262"/>
      <c r="B9" s="10"/>
      <c r="C9" s="10"/>
      <c r="D9" s="10"/>
      <c r="E9" s="10"/>
      <c r="F9" s="10"/>
      <c r="G9" s="10"/>
      <c r="H9" s="10"/>
      <c r="I9" s="17"/>
      <c r="J9" s="263"/>
    </row>
    <row r="10" spans="1:16" ht="18.75" x14ac:dyDescent="0.25">
      <c r="A10" s="262">
        <v>1</v>
      </c>
      <c r="B10" s="17" t="s">
        <v>118</v>
      </c>
      <c r="C10" s="19">
        <f>'Stmt BG - Page 3'!C33</f>
        <v>-1720234.9337308877</v>
      </c>
      <c r="D10" s="19">
        <f>'Stmt BG - Page 3'!D33</f>
        <v>-1443834.7845556224</v>
      </c>
      <c r="E10" s="19">
        <f>'Stmt BG - Page 3'!E33</f>
        <v>-1263767.6483839499</v>
      </c>
      <c r="F10" s="19">
        <f>'Stmt BG - Page 3'!F33</f>
        <v>-1032679.9458004714</v>
      </c>
      <c r="G10" s="19">
        <f>'Stmt BG - Page 3'!G33</f>
        <v>-948842.86066227325</v>
      </c>
      <c r="H10" s="19">
        <f>'Stmt BG - Page 3'!H33</f>
        <v>-1021195.2213937974</v>
      </c>
      <c r="I10" s="17"/>
      <c r="J10" s="263">
        <v>1</v>
      </c>
    </row>
    <row r="11" spans="1:16" x14ac:dyDescent="0.25">
      <c r="A11" s="262">
        <f>A10+1</f>
        <v>2</v>
      </c>
      <c r="B11" s="11"/>
      <c r="C11" s="392"/>
      <c r="D11" s="392"/>
      <c r="E11" s="392"/>
      <c r="F11" s="392"/>
      <c r="G11" s="392"/>
      <c r="H11" s="392"/>
      <c r="I11" s="17"/>
      <c r="J11" s="263">
        <f>J10+1</f>
        <v>2</v>
      </c>
    </row>
    <row r="12" spans="1:16" ht="18.75" x14ac:dyDescent="0.25">
      <c r="A12" s="262">
        <f t="shared" ref="A12:A22" si="0">A11+1</f>
        <v>3</v>
      </c>
      <c r="B12" s="17" t="s">
        <v>119</v>
      </c>
      <c r="C12" s="31">
        <f>'Stmt BG - Page 3'!C35</f>
        <v>-612289.08938107046</v>
      </c>
      <c r="D12" s="31">
        <f>'Stmt BG - Page 3'!D35</f>
        <v>-589389.22430646513</v>
      </c>
      <c r="E12" s="31">
        <f>'Stmt BG - Page 3'!E35</f>
        <v>-577306.02786266396</v>
      </c>
      <c r="F12" s="31">
        <f>'Stmt BG - Page 3'!F35</f>
        <v>-571849.11305243697</v>
      </c>
      <c r="G12" s="31">
        <f>'Stmt BG - Page 3'!G35</f>
        <v>-571113.0210776102</v>
      </c>
      <c r="H12" s="31">
        <f>'Stmt BG - Page 3'!H35</f>
        <v>-590186.5211705144</v>
      </c>
      <c r="I12" s="17"/>
      <c r="J12" s="263">
        <f t="shared" ref="J12:J22" si="1">J11+1</f>
        <v>3</v>
      </c>
    </row>
    <row r="13" spans="1:16" x14ac:dyDescent="0.25">
      <c r="A13" s="262">
        <f t="shared" si="0"/>
        <v>4</v>
      </c>
      <c r="B13" s="385"/>
      <c r="C13" s="393"/>
      <c r="D13" s="393"/>
      <c r="E13" s="393"/>
      <c r="F13" s="393"/>
      <c r="G13" s="393"/>
      <c r="H13" s="393"/>
      <c r="I13" s="17"/>
      <c r="J13" s="263">
        <f t="shared" si="1"/>
        <v>4</v>
      </c>
    </row>
    <row r="14" spans="1:16" ht="18.75" x14ac:dyDescent="0.25">
      <c r="A14" s="262">
        <f t="shared" si="0"/>
        <v>5</v>
      </c>
      <c r="B14" s="17" t="s">
        <v>120</v>
      </c>
      <c r="C14" s="31">
        <f>'Stmt BG - Page 3'!C37</f>
        <v>-2185145.1036139359</v>
      </c>
      <c r="D14" s="31">
        <f>'Stmt BG - Page 3'!D37</f>
        <v>-2070207.5016284212</v>
      </c>
      <c r="E14" s="31">
        <f>'Stmt BG - Page 3'!E37</f>
        <v>-2075844.9189314139</v>
      </c>
      <c r="F14" s="31">
        <f>'Stmt BG - Page 3'!F37</f>
        <v>-2087974.2484400957</v>
      </c>
      <c r="G14" s="31">
        <f>'Stmt BG - Page 3'!G37</f>
        <v>-2108059.4617354064</v>
      </c>
      <c r="H14" s="31">
        <f>'Stmt BG - Page 3'!H37</f>
        <v>-2199797.3415474659</v>
      </c>
      <c r="I14" s="17"/>
      <c r="J14" s="263">
        <f t="shared" si="1"/>
        <v>5</v>
      </c>
    </row>
    <row r="15" spans="1:16" x14ac:dyDescent="0.25">
      <c r="A15" s="262">
        <f t="shared" si="0"/>
        <v>6</v>
      </c>
      <c r="B15" s="17"/>
      <c r="C15" s="31"/>
      <c r="D15" s="31"/>
      <c r="E15" s="31"/>
      <c r="F15" s="31"/>
      <c r="G15" s="31"/>
      <c r="H15" s="31"/>
      <c r="I15" s="17"/>
      <c r="J15" s="263">
        <f t="shared" si="1"/>
        <v>6</v>
      </c>
    </row>
    <row r="16" spans="1:16" ht="18.75" x14ac:dyDescent="0.25">
      <c r="A16" s="262">
        <f t="shared" si="0"/>
        <v>7</v>
      </c>
      <c r="B16" s="56" t="s">
        <v>121</v>
      </c>
      <c r="C16" s="31">
        <f>'Stmt BG - Page 3'!C39</f>
        <v>-26663.530312111816</v>
      </c>
      <c r="D16" s="31">
        <f>'Stmt BG - Page 3'!D39</f>
        <v>-26138.521297885254</v>
      </c>
      <c r="E16" s="31">
        <f>'Stmt BG - Page 3'!E39</f>
        <v>-24689.238710656038</v>
      </c>
      <c r="F16" s="31">
        <f>'Stmt BG - Page 3'!F39</f>
        <v>-27276.843229651044</v>
      </c>
      <c r="G16" s="31">
        <f>'Stmt BG - Page 3'!G39</f>
        <v>-41022.958396524329</v>
      </c>
      <c r="H16" s="31">
        <f>'Stmt BG - Page 3'!H39</f>
        <v>-46442.390339975973</v>
      </c>
      <c r="I16" s="17"/>
      <c r="J16" s="263">
        <f t="shared" si="1"/>
        <v>7</v>
      </c>
    </row>
    <row r="17" spans="1:18" x14ac:dyDescent="0.25">
      <c r="A17" s="262">
        <f t="shared" si="0"/>
        <v>8</v>
      </c>
      <c r="B17" s="17"/>
      <c r="C17" s="31"/>
      <c r="D17" s="31"/>
      <c r="E17" s="31"/>
      <c r="F17" s="31"/>
      <c r="G17" s="31"/>
      <c r="H17" s="31"/>
      <c r="I17" s="17"/>
      <c r="J17" s="263">
        <f t="shared" si="1"/>
        <v>8</v>
      </c>
    </row>
    <row r="18" spans="1:18" ht="18.75" x14ac:dyDescent="0.25">
      <c r="A18" s="262">
        <f t="shared" si="0"/>
        <v>9</v>
      </c>
      <c r="B18" s="56" t="s">
        <v>122</v>
      </c>
      <c r="C18" s="31">
        <f>'Stmt BG - Page 3'!C41</f>
        <v>-48932.431243822131</v>
      </c>
      <c r="D18" s="31">
        <f>'Stmt BG - Page 3'!D41</f>
        <v>-49627.360612787343</v>
      </c>
      <c r="E18" s="31">
        <f>'Stmt BG - Page 3'!E41</f>
        <v>-46238.577612009962</v>
      </c>
      <c r="F18" s="31">
        <f>'Stmt BG - Page 3'!F41</f>
        <v>-48003.996317044759</v>
      </c>
      <c r="G18" s="31">
        <f>'Stmt BG - Page 3'!G41</f>
        <v>-57699.433029963373</v>
      </c>
      <c r="H18" s="31">
        <f>'Stmt BG - Page 3'!H41</f>
        <v>-60164.778431750434</v>
      </c>
      <c r="I18" s="17"/>
      <c r="J18" s="263">
        <f t="shared" si="1"/>
        <v>9</v>
      </c>
    </row>
    <row r="19" spans="1:18" x14ac:dyDescent="0.25">
      <c r="A19" s="262">
        <f t="shared" si="0"/>
        <v>10</v>
      </c>
      <c r="B19" s="17"/>
      <c r="C19" s="31"/>
      <c r="D19" s="31"/>
      <c r="E19" s="31"/>
      <c r="F19" s="31"/>
      <c r="G19" s="31"/>
      <c r="H19" s="31"/>
      <c r="I19" s="17"/>
      <c r="J19" s="263">
        <f t="shared" si="1"/>
        <v>10</v>
      </c>
    </row>
    <row r="20" spans="1:18" ht="18.75" x14ac:dyDescent="0.25">
      <c r="A20" s="262">
        <f t="shared" si="0"/>
        <v>11</v>
      </c>
      <c r="B20" s="17" t="s">
        <v>123</v>
      </c>
      <c r="C20" s="38">
        <f>'Stmt BG - Page 3'!C43</f>
        <v>-21432.125772913168</v>
      </c>
      <c r="D20" s="38">
        <f>'Stmt BG - Page 3'!D43</f>
        <v>-21169.463542372047</v>
      </c>
      <c r="E20" s="38">
        <f>'Stmt BG - Page 3'!E43</f>
        <v>-20737.008508784864</v>
      </c>
      <c r="F20" s="38">
        <f>'Stmt BG - Page 3'!F43</f>
        <v>-20357.159331968141</v>
      </c>
      <c r="G20" s="38">
        <f>'Stmt BG - Page 3'!G43</f>
        <v>-20329.802189505161</v>
      </c>
      <c r="H20" s="38">
        <f>'Stmt BG - Page 3'!H43</f>
        <v>-20432.561849806702</v>
      </c>
      <c r="I20" s="17"/>
      <c r="J20" s="263">
        <f t="shared" si="1"/>
        <v>11</v>
      </c>
    </row>
    <row r="21" spans="1:18" x14ac:dyDescent="0.25">
      <c r="A21" s="262">
        <f t="shared" si="0"/>
        <v>12</v>
      </c>
      <c r="B21" s="17"/>
      <c r="C21" s="31"/>
      <c r="D21" s="31"/>
      <c r="E21" s="31"/>
      <c r="F21" s="31"/>
      <c r="G21" s="31"/>
      <c r="H21" s="31"/>
      <c r="I21" s="7"/>
      <c r="J21" s="263">
        <f t="shared" si="1"/>
        <v>12</v>
      </c>
    </row>
    <row r="22" spans="1:18" x14ac:dyDescent="0.25">
      <c r="A22" s="262">
        <f t="shared" si="0"/>
        <v>13</v>
      </c>
      <c r="B22" s="11" t="s">
        <v>124</v>
      </c>
      <c r="C22" s="513">
        <f t="shared" ref="C22:H22" si="2">SUM(C10:C20)</f>
        <v>-4614697.21405474</v>
      </c>
      <c r="D22" s="513">
        <f t="shared" si="2"/>
        <v>-4200366.8559435531</v>
      </c>
      <c r="E22" s="513">
        <f t="shared" si="2"/>
        <v>-4008583.420009478</v>
      </c>
      <c r="F22" s="513">
        <f t="shared" si="2"/>
        <v>-3788141.3061716678</v>
      </c>
      <c r="G22" s="513">
        <f t="shared" si="2"/>
        <v>-3747067.5370912822</v>
      </c>
      <c r="H22" s="513">
        <f t="shared" si="2"/>
        <v>-3938218.8147333111</v>
      </c>
      <c r="I22" s="12"/>
      <c r="J22" s="263">
        <f t="shared" si="1"/>
        <v>13</v>
      </c>
    </row>
    <row r="23" spans="1:18" ht="16.5" thickBot="1" x14ac:dyDescent="0.3">
      <c r="A23" s="300"/>
      <c r="B23" s="557"/>
      <c r="C23" s="558"/>
      <c r="D23" s="686"/>
      <c r="E23" s="559"/>
      <c r="F23" s="686"/>
      <c r="G23" s="559"/>
      <c r="H23" s="686"/>
      <c r="I23" s="560"/>
      <c r="J23" s="406"/>
      <c r="R23" s="143"/>
    </row>
    <row r="24" spans="1:18" ht="16.5" thickBot="1" x14ac:dyDescent="0.3">
      <c r="A24" s="37"/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</row>
    <row r="25" spans="1:18" x14ac:dyDescent="0.25">
      <c r="A25" s="757" t="s">
        <v>8</v>
      </c>
      <c r="B25" s="455"/>
      <c r="C25" s="554" t="str">
        <f t="shared" ref="C25:I25" si="3">C7</f>
        <v>(A)</v>
      </c>
      <c r="D25" s="554" t="str">
        <f t="shared" si="3"/>
        <v>(B)</v>
      </c>
      <c r="E25" s="554" t="str">
        <f t="shared" si="3"/>
        <v>(C)</v>
      </c>
      <c r="F25" s="554" t="str">
        <f t="shared" si="3"/>
        <v>(D)</v>
      </c>
      <c r="G25" s="554" t="str">
        <f t="shared" si="3"/>
        <v>(E)</v>
      </c>
      <c r="H25" s="554" t="str">
        <f t="shared" si="3"/>
        <v>(F)</v>
      </c>
      <c r="I25" s="554" t="str">
        <f t="shared" si="3"/>
        <v>(G)</v>
      </c>
      <c r="J25" s="758" t="s">
        <v>8</v>
      </c>
      <c r="K25" s="395"/>
      <c r="L25" s="395"/>
      <c r="M25" s="395"/>
      <c r="N25" s="395"/>
      <c r="O25" s="395"/>
    </row>
    <row r="26" spans="1:18" ht="16.5" thickBot="1" x14ac:dyDescent="0.3">
      <c r="A26" s="759" t="s">
        <v>11</v>
      </c>
      <c r="B26" s="153" t="s">
        <v>88</v>
      </c>
      <c r="C26" s="687">
        <v>46204</v>
      </c>
      <c r="D26" s="687">
        <v>46235</v>
      </c>
      <c r="E26" s="687">
        <v>46266</v>
      </c>
      <c r="F26" s="687">
        <v>46296</v>
      </c>
      <c r="G26" s="687">
        <v>46327</v>
      </c>
      <c r="H26" s="687">
        <v>46357</v>
      </c>
      <c r="I26" s="579"/>
      <c r="J26" s="568" t="s">
        <v>11</v>
      </c>
      <c r="K26" s="395"/>
      <c r="L26" s="395"/>
      <c r="M26" s="395"/>
      <c r="N26" s="395"/>
      <c r="O26" s="395"/>
    </row>
    <row r="27" spans="1:18" x14ac:dyDescent="0.25">
      <c r="A27" s="262"/>
      <c r="B27" s="10"/>
      <c r="C27" s="10"/>
      <c r="D27" s="10"/>
      <c r="E27" s="10"/>
      <c r="F27" s="10"/>
      <c r="G27" s="10"/>
      <c r="H27" s="10"/>
      <c r="I27" s="10"/>
      <c r="J27" s="263"/>
      <c r="K27" s="395"/>
      <c r="L27" s="395"/>
      <c r="M27" s="395"/>
      <c r="N27" s="395"/>
      <c r="O27" s="395"/>
    </row>
    <row r="28" spans="1:18" ht="18.75" x14ac:dyDescent="0.25">
      <c r="A28" s="262">
        <f>A22+1</f>
        <v>14</v>
      </c>
      <c r="B28" s="17" t="s">
        <v>118</v>
      </c>
      <c r="C28" s="19">
        <f>'Stmt BG - Page 4'!C33</f>
        <v>-1335340.2852332417</v>
      </c>
      <c r="D28" s="19">
        <f>'Stmt BG - Page 4'!D33</f>
        <v>-1785661.0097330224</v>
      </c>
      <c r="E28" s="19">
        <f>'Stmt BG - Page 4'!E33</f>
        <v>-2016067.6888205798</v>
      </c>
      <c r="F28" s="19">
        <f>'Stmt BG - Page 4'!F33</f>
        <v>-1478551.3132382999</v>
      </c>
      <c r="G28" s="19">
        <f>'Stmt BG - Page 4'!G33</f>
        <v>-1271744.8060160056</v>
      </c>
      <c r="H28" s="19">
        <f>'Stmt BG - Page 4'!H33</f>
        <v>-1490983.563825428</v>
      </c>
      <c r="I28" s="19">
        <f>SUM(C10:H10,C28:H28)</f>
        <v>-16808904.061393581</v>
      </c>
      <c r="J28" s="263">
        <f>J22+1</f>
        <v>14</v>
      </c>
      <c r="K28" s="395"/>
      <c r="L28" s="395"/>
      <c r="M28" s="395"/>
      <c r="N28" s="395"/>
      <c r="O28" s="395"/>
    </row>
    <row r="29" spans="1:18" x14ac:dyDescent="0.25">
      <c r="A29" s="262">
        <f>A28+1</f>
        <v>15</v>
      </c>
      <c r="B29" s="11"/>
      <c r="C29" s="392"/>
      <c r="D29" s="392"/>
      <c r="E29" s="392"/>
      <c r="F29" s="392"/>
      <c r="G29" s="392"/>
      <c r="H29" s="392"/>
      <c r="I29" s="392"/>
      <c r="J29" s="263">
        <f>J28+1</f>
        <v>15</v>
      </c>
      <c r="K29" s="395"/>
      <c r="L29" s="395"/>
      <c r="M29" s="395"/>
      <c r="N29" s="395"/>
      <c r="O29" s="395"/>
    </row>
    <row r="30" spans="1:18" ht="18.75" x14ac:dyDescent="0.25">
      <c r="A30" s="262">
        <f t="shared" ref="A30:A40" si="4">A29+1</f>
        <v>16</v>
      </c>
      <c r="B30" s="17" t="s">
        <v>119</v>
      </c>
      <c r="C30" s="31">
        <f>'Stmt BG - Page 4'!C35</f>
        <v>-660663.65069642744</v>
      </c>
      <c r="D30" s="31">
        <f>'Stmt BG - Page 4'!D35</f>
        <v>-696901.39337155141</v>
      </c>
      <c r="E30" s="31">
        <f>'Stmt BG - Page 4'!E35</f>
        <v>-727526.61578373925</v>
      </c>
      <c r="F30" s="31">
        <f>'Stmt BG - Page 4'!F35</f>
        <v>-642499.67344462103</v>
      </c>
      <c r="G30" s="31">
        <f>'Stmt BG - Page 4'!G35</f>
        <v>-593759.30561272614</v>
      </c>
      <c r="H30" s="31">
        <f>'Stmt BG - Page 4'!H35</f>
        <v>-590501.75366078259</v>
      </c>
      <c r="I30" s="19">
        <f>SUM(C12:H12,C30:H30)</f>
        <v>-7423985.3894206081</v>
      </c>
      <c r="J30" s="263">
        <f t="shared" ref="J30:J40" si="5">J29+1</f>
        <v>16</v>
      </c>
      <c r="K30" s="395"/>
      <c r="L30" s="395"/>
      <c r="M30" s="395"/>
      <c r="N30" s="395"/>
      <c r="O30" s="395"/>
    </row>
    <row r="31" spans="1:18" x14ac:dyDescent="0.25">
      <c r="A31" s="262">
        <f t="shared" si="4"/>
        <v>17</v>
      </c>
      <c r="B31" s="385"/>
      <c r="C31" s="393"/>
      <c r="D31" s="393"/>
      <c r="E31" s="393"/>
      <c r="F31" s="393"/>
      <c r="G31" s="393"/>
      <c r="H31" s="393"/>
      <c r="I31" s="31"/>
      <c r="J31" s="263">
        <f t="shared" si="5"/>
        <v>17</v>
      </c>
      <c r="K31" s="395"/>
      <c r="L31" s="395"/>
      <c r="M31" s="395"/>
      <c r="N31" s="395"/>
      <c r="O31" s="395"/>
    </row>
    <row r="32" spans="1:18" ht="18.75" x14ac:dyDescent="0.25">
      <c r="A32" s="262">
        <f t="shared" si="4"/>
        <v>18</v>
      </c>
      <c r="B32" s="17" t="s">
        <v>120</v>
      </c>
      <c r="C32" s="31">
        <f>'Stmt BG - Page 4'!C37</f>
        <v>-2451728.5568182804</v>
      </c>
      <c r="D32" s="31">
        <f>'Stmt BG - Page 4'!D37</f>
        <v>-2535264.2958124918</v>
      </c>
      <c r="E32" s="31">
        <f>'Stmt BG - Page 4'!E37</f>
        <v>-2635731.2944201813</v>
      </c>
      <c r="F32" s="31">
        <f>'Stmt BG - Page 4'!F37</f>
        <v>-2421471.1864129188</v>
      </c>
      <c r="G32" s="31">
        <f>'Stmt BG - Page 4'!G37</f>
        <v>-2213433.8902932326</v>
      </c>
      <c r="H32" s="31">
        <f>'Stmt BG - Page 4'!H37</f>
        <v>-2321677.8552696095</v>
      </c>
      <c r="I32" s="19">
        <f>SUM(C14:H14,C32:H32)</f>
        <v>-27306335.654923458</v>
      </c>
      <c r="J32" s="263">
        <f t="shared" si="5"/>
        <v>18</v>
      </c>
      <c r="K32" s="395"/>
      <c r="L32" s="395"/>
      <c r="M32" s="395"/>
      <c r="N32" s="395"/>
      <c r="O32" s="395"/>
    </row>
    <row r="33" spans="1:15" x14ac:dyDescent="0.25">
      <c r="A33" s="262">
        <f t="shared" si="4"/>
        <v>19</v>
      </c>
      <c r="B33" s="17"/>
      <c r="C33" s="31"/>
      <c r="D33" s="31"/>
      <c r="E33" s="31"/>
      <c r="F33" s="31"/>
      <c r="G33" s="31"/>
      <c r="H33" s="31"/>
      <c r="I33" s="31"/>
      <c r="J33" s="263">
        <f t="shared" si="5"/>
        <v>19</v>
      </c>
      <c r="K33" s="395"/>
      <c r="L33" s="395"/>
      <c r="M33" s="395"/>
      <c r="N33" s="395"/>
      <c r="O33" s="395"/>
    </row>
    <row r="34" spans="1:15" ht="18.75" x14ac:dyDescent="0.25">
      <c r="A34" s="262">
        <f t="shared" si="4"/>
        <v>20</v>
      </c>
      <c r="B34" s="56" t="s">
        <v>121</v>
      </c>
      <c r="C34" s="31">
        <f>'Stmt BG - Page 4'!C39</f>
        <v>-53729.605774830226</v>
      </c>
      <c r="D34" s="31">
        <f>'Stmt BG - Page 4'!D39</f>
        <v>-58826.828880785557</v>
      </c>
      <c r="E34" s="31">
        <f>'Stmt BG - Page 4'!E39</f>
        <v>-57592.192402350942</v>
      </c>
      <c r="F34" s="31">
        <f>'Stmt BG - Page 4'!F39</f>
        <v>-53150.682516845627</v>
      </c>
      <c r="G34" s="31">
        <f>'Stmt BG - Page 4'!G39</f>
        <v>-43840.193528799457</v>
      </c>
      <c r="H34" s="31">
        <f>'Stmt BG - Page 4'!H39</f>
        <v>-40386.947860565255</v>
      </c>
      <c r="I34" s="19">
        <f>SUM(C16:H16,C34:H34)</f>
        <v>-499759.93325098156</v>
      </c>
      <c r="J34" s="263">
        <f t="shared" si="5"/>
        <v>20</v>
      </c>
      <c r="K34" s="395"/>
      <c r="L34" s="395"/>
      <c r="M34" s="395"/>
      <c r="N34" s="395"/>
      <c r="O34" s="395"/>
    </row>
    <row r="35" spans="1:15" x14ac:dyDescent="0.25">
      <c r="A35" s="262">
        <f t="shared" si="4"/>
        <v>21</v>
      </c>
      <c r="B35" s="17"/>
      <c r="C35" s="31"/>
      <c r="D35" s="31"/>
      <c r="E35" s="31"/>
      <c r="F35" s="31"/>
      <c r="G35" s="31"/>
      <c r="H35" s="31"/>
      <c r="I35" s="31"/>
      <c r="J35" s="263">
        <f t="shared" si="5"/>
        <v>21</v>
      </c>
      <c r="K35" s="395"/>
      <c r="L35" s="395"/>
      <c r="M35" s="395"/>
      <c r="N35" s="395"/>
      <c r="O35" s="395"/>
    </row>
    <row r="36" spans="1:15" ht="18.75" x14ac:dyDescent="0.25">
      <c r="A36" s="262">
        <f t="shared" si="4"/>
        <v>22</v>
      </c>
      <c r="B36" s="56" t="s">
        <v>122</v>
      </c>
      <c r="C36" s="31">
        <f>'Stmt BG - Page 4'!C41</f>
        <v>-66346.497827709623</v>
      </c>
      <c r="D36" s="31">
        <f>'Stmt BG - Page 4'!D41</f>
        <v>-66721.389286968057</v>
      </c>
      <c r="E36" s="31">
        <f>'Stmt BG - Page 4'!E41</f>
        <v>-66447.806574093498</v>
      </c>
      <c r="F36" s="31">
        <f>'Stmt BG - Page 4'!F41</f>
        <v>-64201.225762167232</v>
      </c>
      <c r="G36" s="31">
        <f>'Stmt BG - Page 4'!G41</f>
        <v>-60056.497463225882</v>
      </c>
      <c r="H36" s="31">
        <f>'Stmt BG - Page 4'!H41</f>
        <v>-55275.45504302052</v>
      </c>
      <c r="I36" s="19">
        <f>SUM(C18:H18,C36:H36)</f>
        <v>-689715.44920456281</v>
      </c>
      <c r="J36" s="263">
        <f t="shared" si="5"/>
        <v>22</v>
      </c>
      <c r="K36" s="395"/>
      <c r="L36" s="395"/>
      <c r="M36" s="395"/>
      <c r="N36" s="395"/>
      <c r="O36" s="395"/>
    </row>
    <row r="37" spans="1:15" x14ac:dyDescent="0.25">
      <c r="A37" s="262">
        <f t="shared" si="4"/>
        <v>23</v>
      </c>
      <c r="B37" s="17"/>
      <c r="C37" s="31"/>
      <c r="D37" s="31"/>
      <c r="E37" s="31"/>
      <c r="F37" s="31"/>
      <c r="G37" s="31"/>
      <c r="H37" s="31"/>
      <c r="I37" s="31"/>
      <c r="J37" s="263">
        <f t="shared" si="5"/>
        <v>23</v>
      </c>
      <c r="K37" s="395"/>
      <c r="L37" s="395"/>
      <c r="M37" s="395"/>
      <c r="N37" s="395"/>
      <c r="O37" s="395"/>
    </row>
    <row r="38" spans="1:15" ht="18.75" x14ac:dyDescent="0.25">
      <c r="A38" s="262">
        <f t="shared" si="4"/>
        <v>24</v>
      </c>
      <c r="B38" s="17" t="s">
        <v>123</v>
      </c>
      <c r="C38" s="38">
        <f>'Stmt BG - Page 4'!C43</f>
        <v>-20303.315833316967</v>
      </c>
      <c r="D38" s="38">
        <f>'Stmt BG - Page 4'!D43</f>
        <v>-20789.891096637759</v>
      </c>
      <c r="E38" s="38">
        <f>'Stmt BG - Page 4'!E43</f>
        <v>-20530.918181845413</v>
      </c>
      <c r="F38" s="38">
        <f>'Stmt BG - Page 4'!F43</f>
        <v>-20619.25176024509</v>
      </c>
      <c r="G38" s="38">
        <f>'Stmt BG - Page 4'!G43</f>
        <v>-21644.607323618759</v>
      </c>
      <c r="H38" s="38">
        <f>'Stmt BG - Page 4'!H43</f>
        <v>-21702.284690900407</v>
      </c>
      <c r="I38" s="14">
        <f>SUM(C20:H20,C38:H38)</f>
        <v>-250048.39008191449</v>
      </c>
      <c r="J38" s="263">
        <f t="shared" si="5"/>
        <v>24</v>
      </c>
      <c r="K38" s="395"/>
      <c r="L38" s="395"/>
      <c r="M38" s="395"/>
      <c r="N38" s="395"/>
      <c r="O38" s="395"/>
    </row>
    <row r="39" spans="1:15" x14ac:dyDescent="0.25">
      <c r="A39" s="262">
        <f t="shared" si="4"/>
        <v>25</v>
      </c>
      <c r="B39" s="17"/>
      <c r="C39" s="31"/>
      <c r="D39" s="31"/>
      <c r="E39" s="31"/>
      <c r="F39" s="31"/>
      <c r="G39" s="31"/>
      <c r="H39" s="31"/>
      <c r="I39" s="31"/>
      <c r="J39" s="263">
        <f t="shared" si="5"/>
        <v>25</v>
      </c>
      <c r="K39" s="395"/>
      <c r="L39" s="395"/>
      <c r="M39" s="395"/>
      <c r="N39" s="395"/>
      <c r="O39" s="395"/>
    </row>
    <row r="40" spans="1:15" x14ac:dyDescent="0.25">
      <c r="A40" s="262">
        <f t="shared" si="4"/>
        <v>26</v>
      </c>
      <c r="B40" s="11" t="s">
        <v>124</v>
      </c>
      <c r="C40" s="513">
        <f t="shared" ref="C40:I40" si="6">SUM(C28:C38)</f>
        <v>-4588111.9121838063</v>
      </c>
      <c r="D40" s="513">
        <f t="shared" si="6"/>
        <v>-5164164.8081814572</v>
      </c>
      <c r="E40" s="513">
        <f t="shared" si="6"/>
        <v>-5523896.5161827896</v>
      </c>
      <c r="F40" s="513">
        <f t="shared" si="6"/>
        <v>-4680493.3331350973</v>
      </c>
      <c r="G40" s="513">
        <f t="shared" si="6"/>
        <v>-4204479.3002376081</v>
      </c>
      <c r="H40" s="513">
        <f t="shared" si="6"/>
        <v>-4520527.8603503071</v>
      </c>
      <c r="I40" s="513">
        <f t="shared" si="6"/>
        <v>-52978748.878275096</v>
      </c>
      <c r="J40" s="263">
        <f t="shared" si="5"/>
        <v>26</v>
      </c>
      <c r="K40" s="395"/>
      <c r="L40" s="395"/>
      <c r="M40" s="395"/>
      <c r="N40" s="395"/>
      <c r="O40" s="395"/>
    </row>
    <row r="41" spans="1:15" ht="16.5" thickBot="1" x14ac:dyDescent="0.3">
      <c r="A41" s="300"/>
      <c r="B41" s="557"/>
      <c r="C41" s="686"/>
      <c r="D41" s="559"/>
      <c r="E41" s="558"/>
      <c r="F41" s="686"/>
      <c r="G41" s="559"/>
      <c r="H41" s="686"/>
      <c r="I41" s="260"/>
      <c r="J41" s="406"/>
      <c r="K41" s="395"/>
      <c r="L41" s="395"/>
      <c r="M41" s="395"/>
      <c r="N41" s="395"/>
      <c r="O41" s="395"/>
    </row>
    <row r="42" spans="1:15" x14ac:dyDescent="0.25">
      <c r="A42" s="50"/>
      <c r="B42" s="395"/>
      <c r="C42" s="395"/>
      <c r="D42" s="395"/>
      <c r="E42" s="395"/>
      <c r="F42" s="395"/>
      <c r="G42" s="395"/>
      <c r="H42" s="395"/>
      <c r="I42" s="395"/>
      <c r="J42" s="395"/>
      <c r="K42" s="395"/>
      <c r="L42" s="395"/>
      <c r="M42" s="395"/>
      <c r="N42" s="395"/>
      <c r="O42" s="396"/>
    </row>
    <row r="43" spans="1:15" ht="18.75" x14ac:dyDescent="0.25">
      <c r="A43" s="83" t="s">
        <v>125</v>
      </c>
      <c r="B43" s="22" t="s">
        <v>126</v>
      </c>
      <c r="C43" s="242"/>
      <c r="D43" s="242"/>
      <c r="F43" s="519">
        <v>4</v>
      </c>
      <c r="G43" s="22" t="s">
        <v>127</v>
      </c>
    </row>
    <row r="44" spans="1:15" ht="18.75" x14ac:dyDescent="0.25">
      <c r="A44" s="83">
        <v>2</v>
      </c>
      <c r="B44" s="22" t="s">
        <v>128</v>
      </c>
      <c r="C44" s="825"/>
      <c r="D44" s="825"/>
      <c r="F44" s="519">
        <v>5</v>
      </c>
      <c r="G44" s="22" t="s">
        <v>129</v>
      </c>
    </row>
    <row r="45" spans="1:15" ht="18.75" x14ac:dyDescent="0.25">
      <c r="A45" s="83">
        <v>3</v>
      </c>
      <c r="B45" s="22" t="s">
        <v>130</v>
      </c>
      <c r="C45" s="242"/>
      <c r="D45" s="242"/>
      <c r="F45" s="519">
        <v>6</v>
      </c>
      <c r="G45" s="22" t="s">
        <v>131</v>
      </c>
    </row>
    <row r="46" spans="1:15" x14ac:dyDescent="0.25">
      <c r="C46" s="242"/>
      <c r="D46" s="242"/>
    </row>
    <row r="47" spans="1:15" x14ac:dyDescent="0.25">
      <c r="C47" s="242"/>
      <c r="D47" s="242"/>
    </row>
    <row r="48" spans="1:15" x14ac:dyDescent="0.25">
      <c r="C48" s="242"/>
      <c r="D48" s="242"/>
    </row>
    <row r="49" spans="1:1" x14ac:dyDescent="0.25">
      <c r="A49" s="37"/>
    </row>
    <row r="50" spans="1:1" x14ac:dyDescent="0.25">
      <c r="A50" s="37"/>
    </row>
    <row r="51" spans="1:1" x14ac:dyDescent="0.25">
      <c r="A51" s="37"/>
    </row>
    <row r="52" spans="1:1" x14ac:dyDescent="0.25">
      <c r="A52" s="37"/>
    </row>
    <row r="53" spans="1:1" x14ac:dyDescent="0.25">
      <c r="A53" s="37"/>
    </row>
    <row r="54" spans="1:1" x14ac:dyDescent="0.25">
      <c r="A54" s="37"/>
    </row>
    <row r="55" spans="1:1" x14ac:dyDescent="0.25">
      <c r="A55" s="37"/>
    </row>
    <row r="56" spans="1:1" x14ac:dyDescent="0.25">
      <c r="A56" s="37"/>
    </row>
    <row r="57" spans="1:1" x14ac:dyDescent="0.25">
      <c r="A57" s="37"/>
    </row>
    <row r="58" spans="1:1" x14ac:dyDescent="0.25">
      <c r="A58" s="37"/>
    </row>
    <row r="59" spans="1:1" x14ac:dyDescent="0.25">
      <c r="A59" s="37"/>
    </row>
    <row r="60" spans="1:1" x14ac:dyDescent="0.25">
      <c r="A60" s="37"/>
    </row>
    <row r="61" spans="1:1" x14ac:dyDescent="0.25">
      <c r="A61" s="37"/>
    </row>
    <row r="62" spans="1:1" x14ac:dyDescent="0.25">
      <c r="A62" s="37"/>
    </row>
    <row r="63" spans="1:1" x14ac:dyDescent="0.25">
      <c r="A63" s="37"/>
    </row>
    <row r="64" spans="1:1" x14ac:dyDescent="0.25">
      <c r="A64" s="37"/>
    </row>
    <row r="65" spans="1:1" x14ac:dyDescent="0.25">
      <c r="A65" s="37"/>
    </row>
    <row r="66" spans="1:1" x14ac:dyDescent="0.25">
      <c r="A66" s="37"/>
    </row>
    <row r="67" spans="1:1" x14ac:dyDescent="0.25">
      <c r="A67" s="37"/>
    </row>
    <row r="68" spans="1:1" x14ac:dyDescent="0.25">
      <c r="A68" s="37"/>
    </row>
    <row r="69" spans="1:1" x14ac:dyDescent="0.25">
      <c r="A69" s="37"/>
    </row>
    <row r="70" spans="1:1" x14ac:dyDescent="0.25">
      <c r="A70" s="37"/>
    </row>
    <row r="71" spans="1:1" x14ac:dyDescent="0.25">
      <c r="A71" s="37"/>
    </row>
    <row r="72" spans="1:1" x14ac:dyDescent="0.25">
      <c r="A72" s="37"/>
    </row>
    <row r="73" spans="1:1" x14ac:dyDescent="0.25">
      <c r="A73" s="37"/>
    </row>
    <row r="74" spans="1:1" x14ac:dyDescent="0.25">
      <c r="A74" s="37"/>
    </row>
    <row r="75" spans="1:1" x14ac:dyDescent="0.25">
      <c r="A75" s="37"/>
    </row>
    <row r="76" spans="1:1" x14ac:dyDescent="0.25">
      <c r="A76" s="37"/>
    </row>
    <row r="77" spans="1:1" x14ac:dyDescent="0.25">
      <c r="A77" s="37"/>
    </row>
    <row r="78" spans="1:1" x14ac:dyDescent="0.25">
      <c r="A78" s="37"/>
    </row>
    <row r="79" spans="1:1" x14ac:dyDescent="0.25">
      <c r="A79" s="37"/>
    </row>
    <row r="80" spans="1:1" x14ac:dyDescent="0.25">
      <c r="A80" s="37"/>
    </row>
    <row r="81" spans="1:1" x14ac:dyDescent="0.25">
      <c r="A81" s="37"/>
    </row>
    <row r="82" spans="1:1" x14ac:dyDescent="0.25">
      <c r="A82" s="37"/>
    </row>
    <row r="83" spans="1:1" x14ac:dyDescent="0.25">
      <c r="A83" s="37"/>
    </row>
    <row r="84" spans="1:1" x14ac:dyDescent="0.25">
      <c r="A84" s="37"/>
    </row>
    <row r="85" spans="1:1" x14ac:dyDescent="0.25">
      <c r="A85" s="37"/>
    </row>
    <row r="86" spans="1:1" x14ac:dyDescent="0.25">
      <c r="A86" s="37"/>
    </row>
    <row r="87" spans="1:1" x14ac:dyDescent="0.25">
      <c r="A87" s="37"/>
    </row>
    <row r="88" spans="1:1" x14ac:dyDescent="0.25">
      <c r="A88" s="37"/>
    </row>
    <row r="89" spans="1:1" x14ac:dyDescent="0.25">
      <c r="A89" s="37"/>
    </row>
    <row r="90" spans="1:1" x14ac:dyDescent="0.25">
      <c r="A90" s="37"/>
    </row>
    <row r="91" spans="1:1" x14ac:dyDescent="0.25">
      <c r="A91" s="37"/>
    </row>
    <row r="92" spans="1:1" x14ac:dyDescent="0.25">
      <c r="A92" s="37"/>
    </row>
    <row r="93" spans="1:1" x14ac:dyDescent="0.25">
      <c r="A93" s="37"/>
    </row>
    <row r="94" spans="1:1" x14ac:dyDescent="0.25">
      <c r="A94" s="37"/>
    </row>
    <row r="95" spans="1:1" x14ac:dyDescent="0.25">
      <c r="A95" s="37"/>
    </row>
    <row r="96" spans="1:1" x14ac:dyDescent="0.25">
      <c r="A96" s="37"/>
    </row>
    <row r="97" spans="1:1" x14ac:dyDescent="0.25">
      <c r="A97" s="37"/>
    </row>
    <row r="98" spans="1:1" x14ac:dyDescent="0.25">
      <c r="A98" s="37"/>
    </row>
    <row r="99" spans="1:1" x14ac:dyDescent="0.25">
      <c r="A99" s="37"/>
    </row>
    <row r="100" spans="1:1" x14ac:dyDescent="0.25">
      <c r="A100" s="37"/>
    </row>
    <row r="101" spans="1:1" x14ac:dyDescent="0.25">
      <c r="A101" s="37"/>
    </row>
    <row r="102" spans="1:1" x14ac:dyDescent="0.25">
      <c r="A102" s="37"/>
    </row>
    <row r="103" spans="1:1" x14ac:dyDescent="0.25">
      <c r="A103" s="37"/>
    </row>
    <row r="104" spans="1:1" x14ac:dyDescent="0.25">
      <c r="A104" s="37"/>
    </row>
    <row r="105" spans="1:1" x14ac:dyDescent="0.25">
      <c r="A105" s="37"/>
    </row>
    <row r="106" spans="1:1" x14ac:dyDescent="0.25">
      <c r="A106" s="37"/>
    </row>
    <row r="107" spans="1:1" x14ac:dyDescent="0.25">
      <c r="A107" s="37"/>
    </row>
    <row r="108" spans="1:1" x14ac:dyDescent="0.25">
      <c r="A108" s="37"/>
    </row>
    <row r="109" spans="1:1" x14ac:dyDescent="0.25">
      <c r="A109" s="37"/>
    </row>
    <row r="110" spans="1:1" x14ac:dyDescent="0.25">
      <c r="A110" s="37"/>
    </row>
    <row r="111" spans="1:1" x14ac:dyDescent="0.25">
      <c r="A111" s="37"/>
    </row>
    <row r="112" spans="1:1" x14ac:dyDescent="0.25">
      <c r="A112" s="37"/>
    </row>
    <row r="113" spans="1:1" x14ac:dyDescent="0.25">
      <c r="A113" s="37"/>
    </row>
    <row r="114" spans="1:1" x14ac:dyDescent="0.25">
      <c r="A114" s="37"/>
    </row>
    <row r="115" spans="1:1" x14ac:dyDescent="0.25">
      <c r="A115" s="37"/>
    </row>
    <row r="116" spans="1:1" x14ac:dyDescent="0.25">
      <c r="A116" s="37"/>
    </row>
    <row r="117" spans="1:1" x14ac:dyDescent="0.25">
      <c r="A117" s="37"/>
    </row>
    <row r="118" spans="1:1" x14ac:dyDescent="0.25">
      <c r="A118" s="37"/>
    </row>
    <row r="119" spans="1:1" x14ac:dyDescent="0.25">
      <c r="A119" s="37"/>
    </row>
    <row r="120" spans="1:1" x14ac:dyDescent="0.25">
      <c r="A120" s="37"/>
    </row>
    <row r="121" spans="1:1" x14ac:dyDescent="0.25">
      <c r="A121" s="37"/>
    </row>
    <row r="122" spans="1:1" x14ac:dyDescent="0.25">
      <c r="A122" s="37"/>
    </row>
    <row r="123" spans="1:1" x14ac:dyDescent="0.25">
      <c r="A123" s="37"/>
    </row>
    <row r="124" spans="1:1" x14ac:dyDescent="0.25">
      <c r="A124" s="37"/>
    </row>
    <row r="125" spans="1:1" x14ac:dyDescent="0.25">
      <c r="A125" s="37"/>
    </row>
    <row r="126" spans="1:1" x14ac:dyDescent="0.25">
      <c r="A126" s="37"/>
    </row>
    <row r="127" spans="1:1" x14ac:dyDescent="0.25">
      <c r="A127" s="37"/>
    </row>
    <row r="128" spans="1:1" x14ac:dyDescent="0.25">
      <c r="A128" s="37"/>
    </row>
    <row r="129" spans="1:1" x14ac:dyDescent="0.25">
      <c r="A129" s="37"/>
    </row>
    <row r="130" spans="1:1" x14ac:dyDescent="0.25">
      <c r="A130" s="37"/>
    </row>
    <row r="131" spans="1:1" x14ac:dyDescent="0.25">
      <c r="A131" s="37"/>
    </row>
    <row r="132" spans="1:1" x14ac:dyDescent="0.25">
      <c r="A132" s="37"/>
    </row>
    <row r="133" spans="1:1" x14ac:dyDescent="0.25">
      <c r="A133" s="37"/>
    </row>
    <row r="134" spans="1:1" x14ac:dyDescent="0.25">
      <c r="A134" s="37"/>
    </row>
    <row r="135" spans="1:1" x14ac:dyDescent="0.25">
      <c r="A135" s="37"/>
    </row>
    <row r="136" spans="1:1" x14ac:dyDescent="0.25">
      <c r="A136" s="37"/>
    </row>
    <row r="137" spans="1:1" x14ac:dyDescent="0.25">
      <c r="A137" s="37"/>
    </row>
    <row r="138" spans="1:1" x14ac:dyDescent="0.25">
      <c r="A138" s="37"/>
    </row>
    <row r="139" spans="1:1" x14ac:dyDescent="0.25">
      <c r="A139" s="37"/>
    </row>
    <row r="140" spans="1:1" x14ac:dyDescent="0.25">
      <c r="A140" s="37"/>
    </row>
    <row r="141" spans="1:1" x14ac:dyDescent="0.25">
      <c r="A141" s="37"/>
    </row>
    <row r="142" spans="1:1" x14ac:dyDescent="0.25">
      <c r="A142" s="37"/>
    </row>
    <row r="143" spans="1:1" x14ac:dyDescent="0.25">
      <c r="A143" s="37"/>
    </row>
  </sheetData>
  <mergeCells count="4">
    <mergeCell ref="A2:J2"/>
    <mergeCell ref="A3:J3"/>
    <mergeCell ref="A4:J4"/>
    <mergeCell ref="A5:J5"/>
  </mergeCells>
  <printOptions horizontalCentered="1"/>
  <pageMargins left="0.25" right="0.25" top="0.5" bottom="0.5" header="0.25" footer="0.25"/>
  <pageSetup scale="71" orientation="landscape" r:id="rId1"/>
  <headerFooter alignWithMargins="0">
    <oddFooter>&amp;L&amp;"Times New Roman,Regular"&amp;12&amp;F&amp;C&amp;"Times New Roman,Regular"&amp;12Page 2 of 4&amp;R&amp;"Times New Roman,Regular"&amp;12Stmt BG - Page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J122"/>
  <sheetViews>
    <sheetView zoomScale="80" zoomScaleNormal="80" workbookViewId="0">
      <selection activeCell="C28" sqref="C28"/>
    </sheetView>
  </sheetViews>
  <sheetFormatPr defaultColWidth="9.28515625" defaultRowHeight="12.75" x14ac:dyDescent="0.2"/>
  <cols>
    <col min="1" max="1" width="5.5703125" style="242" customWidth="1"/>
    <col min="2" max="2" width="45.5703125" style="242" customWidth="1"/>
    <col min="3" max="8" width="15.5703125" style="242" customWidth="1"/>
    <col min="9" max="9" width="40.5703125" style="242" customWidth="1"/>
    <col min="10" max="10" width="5.5703125" style="242" customWidth="1"/>
    <col min="11" max="16384" width="9.28515625" style="242"/>
  </cols>
  <sheetData>
    <row r="2" spans="1:10" ht="15.75" x14ac:dyDescent="0.2">
      <c r="A2" s="5" t="s">
        <v>80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75" x14ac:dyDescent="0.2">
      <c r="A3" s="418" t="s">
        <v>52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.6" customHeight="1" x14ac:dyDescent="0.2">
      <c r="A4" s="979" t="str">
        <f>'Stmt BG - Page 1'!A4</f>
        <v>Transmission Revenue Balancing Account Adjustment (TRBAA) Revenues Data to Reflect Changed Rates</v>
      </c>
      <c r="B4" s="979"/>
      <c r="C4" s="979"/>
      <c r="D4" s="979"/>
      <c r="E4" s="979"/>
      <c r="F4" s="979"/>
      <c r="G4" s="979"/>
      <c r="H4" s="979"/>
      <c r="I4" s="979"/>
      <c r="J4" s="979"/>
    </row>
    <row r="5" spans="1:10" ht="15.75" x14ac:dyDescent="0.2">
      <c r="A5" s="418" t="str">
        <f>'Stmt BG - Page 1'!A6</f>
        <v>Rate Effective Period - Twelve Months Ending December 31, 2026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16.5" thickBo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ht="15.75" x14ac:dyDescent="0.25">
      <c r="A7" s="553"/>
      <c r="B7" s="455"/>
      <c r="C7" s="561" t="s">
        <v>3</v>
      </c>
      <c r="D7" s="561" t="s">
        <v>4</v>
      </c>
      <c r="E7" s="561" t="s">
        <v>113</v>
      </c>
      <c r="F7" s="561" t="s">
        <v>114</v>
      </c>
      <c r="G7" s="561" t="s">
        <v>115</v>
      </c>
      <c r="H7" s="562" t="s">
        <v>116</v>
      </c>
      <c r="I7" s="562" t="s">
        <v>117</v>
      </c>
      <c r="J7" s="555"/>
    </row>
    <row r="8" spans="1:10" ht="15.75" x14ac:dyDescent="0.25">
      <c r="A8" s="547" t="s">
        <v>8</v>
      </c>
      <c r="B8" s="75"/>
      <c r="C8" s="563">
        <f>'Stmt BG - Page 2'!C8</f>
        <v>46023</v>
      </c>
      <c r="D8" s="563">
        <f>'Stmt BG - Page 2'!D8</f>
        <v>46054</v>
      </c>
      <c r="E8" s="563">
        <f>'Stmt BG - Page 2'!E8</f>
        <v>46082</v>
      </c>
      <c r="F8" s="563">
        <f>'Stmt BG - Page 2'!F8</f>
        <v>46113</v>
      </c>
      <c r="G8" s="563">
        <f>'Stmt BG - Page 2'!G8</f>
        <v>46143</v>
      </c>
      <c r="H8" s="563">
        <f>'Stmt BG - Page 2'!H8</f>
        <v>46174</v>
      </c>
      <c r="I8" s="564"/>
      <c r="J8" s="548" t="s">
        <v>8</v>
      </c>
    </row>
    <row r="9" spans="1:10" ht="16.5" thickBot="1" x14ac:dyDescent="0.3">
      <c r="A9" s="565" t="s">
        <v>11</v>
      </c>
      <c r="B9" s="153" t="s">
        <v>88</v>
      </c>
      <c r="C9" s="153" t="s">
        <v>132</v>
      </c>
      <c r="D9" s="153" t="s">
        <v>132</v>
      </c>
      <c r="E9" s="153" t="s">
        <v>132</v>
      </c>
      <c r="F9" s="153" t="s">
        <v>132</v>
      </c>
      <c r="G9" s="153" t="s">
        <v>132</v>
      </c>
      <c r="H9" s="153" t="s">
        <v>132</v>
      </c>
      <c r="I9" s="153" t="s">
        <v>16</v>
      </c>
      <c r="J9" s="566" t="s">
        <v>11</v>
      </c>
    </row>
    <row r="10" spans="1:10" ht="15.75" x14ac:dyDescent="0.25">
      <c r="A10" s="262"/>
      <c r="B10" s="10"/>
      <c r="C10" s="74"/>
      <c r="D10" s="10"/>
      <c r="E10" s="10"/>
      <c r="F10" s="10"/>
      <c r="G10" s="10"/>
      <c r="H10" s="10"/>
      <c r="I10" s="10"/>
      <c r="J10" s="263"/>
    </row>
    <row r="11" spans="1:10" ht="15.75" x14ac:dyDescent="0.25">
      <c r="A11" s="262">
        <v>1</v>
      </c>
      <c r="B11" s="11" t="s">
        <v>93</v>
      </c>
      <c r="C11" s="31">
        <f>'WP 1.2 Forecast Sales'!C6*1000</f>
        <v>565866754.51673937</v>
      </c>
      <c r="D11" s="31">
        <f>'WP 1.2 Forecast Sales'!D6*1000</f>
        <v>474945652.81434941</v>
      </c>
      <c r="E11" s="31">
        <f>'WP 1.2 Forecast Sales'!E6*1000</f>
        <v>415713042.23156244</v>
      </c>
      <c r="F11" s="31">
        <f>'WP 1.2 Forecast Sales'!F6*1000</f>
        <v>339697350.5922603</v>
      </c>
      <c r="G11" s="31">
        <f>'WP 1.2 Forecast Sales'!G6*1000</f>
        <v>312119362.05995828</v>
      </c>
      <c r="H11" s="31">
        <f>'WP 1.2 Forecast Sales'!H6*1000</f>
        <v>335919480.72164387</v>
      </c>
      <c r="I11" s="240" t="s">
        <v>133</v>
      </c>
      <c r="J11" s="263">
        <v>1</v>
      </c>
    </row>
    <row r="12" spans="1:10" ht="15.75" x14ac:dyDescent="0.25">
      <c r="A12" s="262">
        <f>A11+1</f>
        <v>2</v>
      </c>
      <c r="B12" s="11"/>
      <c r="C12" s="398"/>
      <c r="D12" s="398"/>
      <c r="E12" s="398"/>
      <c r="F12" s="398"/>
      <c r="G12" s="398"/>
      <c r="H12" s="398"/>
      <c r="I12" s="399"/>
      <c r="J12" s="263">
        <f>J11+1</f>
        <v>2</v>
      </c>
    </row>
    <row r="13" spans="1:10" ht="15.75" x14ac:dyDescent="0.25">
      <c r="A13" s="262">
        <f t="shared" ref="A13:A45" si="0">A12+1</f>
        <v>3</v>
      </c>
      <c r="B13" s="11" t="s">
        <v>134</v>
      </c>
      <c r="C13" s="31">
        <f>'WP 1.2 Forecast Sales'!C7*1000</f>
        <v>201410884.6648258</v>
      </c>
      <c r="D13" s="31">
        <f>'WP 1.2 Forecast Sales'!D7*1000</f>
        <v>193878034.3113372</v>
      </c>
      <c r="E13" s="31">
        <f>'WP 1.2 Forecast Sales'!E7*1000</f>
        <v>189903298.63903418</v>
      </c>
      <c r="F13" s="31">
        <f>'WP 1.2 Forecast Sales'!F7*1000</f>
        <v>188108260.87251216</v>
      </c>
      <c r="G13" s="31">
        <f>'WP 1.2 Forecast Sales'!G7*1000</f>
        <v>187866125.35447705</v>
      </c>
      <c r="H13" s="31">
        <f>'WP 1.2 Forecast Sales'!H7*1000</f>
        <v>194140303.01661658</v>
      </c>
      <c r="I13" s="240" t="s">
        <v>135</v>
      </c>
      <c r="J13" s="263">
        <f t="shared" ref="J13:J45" si="1">J12+1</f>
        <v>3</v>
      </c>
    </row>
    <row r="14" spans="1:10" ht="15.75" x14ac:dyDescent="0.25">
      <c r="A14" s="262">
        <f t="shared" si="0"/>
        <v>4</v>
      </c>
      <c r="B14" s="385"/>
      <c r="C14" s="393"/>
      <c r="D14" s="393"/>
      <c r="E14" s="393"/>
      <c r="F14" s="393"/>
      <c r="G14" s="393"/>
      <c r="H14" s="393"/>
      <c r="I14" s="400"/>
      <c r="J14" s="263">
        <f t="shared" si="1"/>
        <v>4</v>
      </c>
    </row>
    <row r="15" spans="1:10" ht="15.75" x14ac:dyDescent="0.25">
      <c r="A15" s="262">
        <f t="shared" si="0"/>
        <v>5</v>
      </c>
      <c r="B15" s="17" t="s">
        <v>99</v>
      </c>
      <c r="C15" s="31">
        <f>'WP 1.2 Forecast Sales'!C8*1000</f>
        <v>718797731.45195258</v>
      </c>
      <c r="D15" s="31">
        <f>'WP 1.2 Forecast Sales'!D8*1000</f>
        <v>680989309.74619114</v>
      </c>
      <c r="E15" s="31">
        <f>'WP 1.2 Forecast Sales'!E8*1000</f>
        <v>682843723.33270192</v>
      </c>
      <c r="F15" s="31">
        <f>'WP 1.2 Forecast Sales'!F8*1000</f>
        <v>686833634.35529459</v>
      </c>
      <c r="G15" s="31">
        <f>'WP 1.2 Forecast Sales'!G8*1000</f>
        <v>693440612.41296256</v>
      </c>
      <c r="H15" s="31">
        <f>'WP 1.2 Forecast Sales'!H8*1000</f>
        <v>723617546.56166637</v>
      </c>
      <c r="I15" s="240" t="s">
        <v>136</v>
      </c>
      <c r="J15" s="263">
        <f t="shared" si="1"/>
        <v>5</v>
      </c>
    </row>
    <row r="16" spans="1:10" ht="15.75" x14ac:dyDescent="0.25">
      <c r="A16" s="262">
        <f t="shared" si="0"/>
        <v>6</v>
      </c>
      <c r="B16" s="11"/>
      <c r="C16" s="31"/>
      <c r="D16" s="31"/>
      <c r="E16" s="31"/>
      <c r="F16" s="31"/>
      <c r="G16" s="31"/>
      <c r="H16" s="31"/>
      <c r="I16" s="401"/>
      <c r="J16" s="263">
        <f t="shared" si="1"/>
        <v>6</v>
      </c>
    </row>
    <row r="17" spans="1:10" ht="15.75" x14ac:dyDescent="0.25">
      <c r="A17" s="262">
        <f t="shared" si="0"/>
        <v>7</v>
      </c>
      <c r="B17" s="11" t="s">
        <v>102</v>
      </c>
      <c r="C17" s="31">
        <f>'WP 1.2 Forecast Sales'!C10*1000</f>
        <v>8770898.1289841495</v>
      </c>
      <c r="D17" s="31">
        <f>'WP 1.2 Forecast Sales'!D10*1000</f>
        <v>8598197.7953569908</v>
      </c>
      <c r="E17" s="31">
        <f>'WP 1.2 Forecast Sales'!E10*1000</f>
        <v>8121460.1021894859</v>
      </c>
      <c r="F17" s="31">
        <f>'WP 1.2 Forecast Sales'!F10*1000</f>
        <v>8972645.7992273159</v>
      </c>
      <c r="G17" s="31">
        <f>'WP 1.2 Forecast Sales'!G10*1000</f>
        <v>13494394.209383002</v>
      </c>
      <c r="H17" s="31">
        <f>'WP 1.2 Forecast Sales'!H10*1000</f>
        <v>15277102.085518412</v>
      </c>
      <c r="I17" s="240" t="s">
        <v>137</v>
      </c>
      <c r="J17" s="263">
        <f t="shared" si="1"/>
        <v>7</v>
      </c>
    </row>
    <row r="18" spans="1:10" ht="15.75" x14ac:dyDescent="0.25">
      <c r="A18" s="262">
        <f t="shared" si="0"/>
        <v>8</v>
      </c>
      <c r="B18" s="11"/>
      <c r="C18" s="31"/>
      <c r="D18" s="31"/>
      <c r="E18" s="31"/>
      <c r="F18" s="31"/>
      <c r="G18" s="31"/>
      <c r="H18" s="31"/>
      <c r="I18" s="401"/>
      <c r="J18" s="263">
        <f t="shared" si="1"/>
        <v>8</v>
      </c>
    </row>
    <row r="19" spans="1:10" ht="15.75" x14ac:dyDescent="0.25">
      <c r="A19" s="262">
        <f t="shared" si="0"/>
        <v>9</v>
      </c>
      <c r="B19" s="11" t="s">
        <v>105</v>
      </c>
      <c r="C19" s="31">
        <f>'WP 1.2 Forecast Sales'!C11*1000</f>
        <v>16096194.488099385</v>
      </c>
      <c r="D19" s="31">
        <f>'WP 1.2 Forecast Sales'!D11*1000</f>
        <v>16324789.675258994</v>
      </c>
      <c r="E19" s="31">
        <f>'WP 1.2 Forecast Sales'!E11*1000</f>
        <v>15210058.425003275</v>
      </c>
      <c r="F19" s="31">
        <f>'WP 1.2 Forecast Sales'!F11*1000</f>
        <v>15790788.262185775</v>
      </c>
      <c r="G19" s="31">
        <f>'WP 1.2 Forecast Sales'!G11*1000</f>
        <v>18980076.654593214</v>
      </c>
      <c r="H19" s="31">
        <f>'WP 1.2 Forecast Sales'!H11*1000</f>
        <v>19791045.53676001</v>
      </c>
      <c r="I19" s="240" t="s">
        <v>138</v>
      </c>
      <c r="J19" s="263">
        <f t="shared" si="1"/>
        <v>9</v>
      </c>
    </row>
    <row r="20" spans="1:10" ht="15.75" x14ac:dyDescent="0.25">
      <c r="A20" s="262">
        <f t="shared" si="0"/>
        <v>10</v>
      </c>
      <c r="B20" s="11"/>
      <c r="C20" s="31"/>
      <c r="D20" s="31"/>
      <c r="E20" s="31"/>
      <c r="F20" s="31"/>
      <c r="G20" s="31"/>
      <c r="H20" s="31"/>
      <c r="I20" s="401"/>
      <c r="J20" s="263">
        <f t="shared" si="1"/>
        <v>10</v>
      </c>
    </row>
    <row r="21" spans="1:10" ht="15.75" x14ac:dyDescent="0.25">
      <c r="A21" s="262">
        <f t="shared" si="0"/>
        <v>11</v>
      </c>
      <c r="B21" s="11" t="s">
        <v>139</v>
      </c>
      <c r="C21" s="38">
        <f>'WP 1.2 Forecast Sales'!C12*1000</f>
        <v>7050041.3726688055</v>
      </c>
      <c r="D21" s="38">
        <f>'WP 1.2 Forecast Sales'!D12*1000</f>
        <v>6963639.3231486995</v>
      </c>
      <c r="E21" s="38">
        <f>'WP 1.2 Forecast Sales'!E12*1000</f>
        <v>6821384.377889757</v>
      </c>
      <c r="F21" s="38">
        <f>'WP 1.2 Forecast Sales'!F12*1000</f>
        <v>6696433.9907789938</v>
      </c>
      <c r="G21" s="38">
        <f>'WP 1.2 Forecast Sales'!G12*1000</f>
        <v>6687434.930758276</v>
      </c>
      <c r="H21" s="38">
        <f>'WP 1.2 Forecast Sales'!H12*1000</f>
        <v>6721237.4505943088</v>
      </c>
      <c r="I21" s="240" t="s">
        <v>140</v>
      </c>
      <c r="J21" s="263">
        <f t="shared" si="1"/>
        <v>11</v>
      </c>
    </row>
    <row r="22" spans="1:10" ht="15.75" x14ac:dyDescent="0.25">
      <c r="A22" s="262">
        <f t="shared" si="0"/>
        <v>12</v>
      </c>
      <c r="B22" s="11"/>
      <c r="C22" s="31"/>
      <c r="D22" s="31"/>
      <c r="E22" s="31"/>
      <c r="F22" s="31"/>
      <c r="G22" s="31"/>
      <c r="H22" s="31"/>
      <c r="I22" s="162"/>
      <c r="J22" s="263">
        <f t="shared" si="1"/>
        <v>12</v>
      </c>
    </row>
    <row r="23" spans="1:10" ht="16.5" thickBot="1" x14ac:dyDescent="0.3">
      <c r="A23" s="262">
        <f t="shared" si="0"/>
        <v>13</v>
      </c>
      <c r="B23" s="11" t="s">
        <v>124</v>
      </c>
      <c r="C23" s="474">
        <f>SUM(C11:C21)</f>
        <v>1517992504.62327</v>
      </c>
      <c r="D23" s="474">
        <f t="shared" ref="D23:H23" si="2">SUM(D11:D21)</f>
        <v>1381699623.6656423</v>
      </c>
      <c r="E23" s="474">
        <f t="shared" si="2"/>
        <v>1318612967.1083813</v>
      </c>
      <c r="F23" s="474">
        <f t="shared" si="2"/>
        <v>1246099113.8722589</v>
      </c>
      <c r="G23" s="474">
        <f t="shared" si="2"/>
        <v>1232588005.6221323</v>
      </c>
      <c r="H23" s="474">
        <f t="shared" si="2"/>
        <v>1295466715.3727996</v>
      </c>
      <c r="I23" s="399" t="s">
        <v>141</v>
      </c>
      <c r="J23" s="263">
        <f t="shared" si="1"/>
        <v>13</v>
      </c>
    </row>
    <row r="24" spans="1:10" ht="17.25" thickTop="1" thickBot="1" x14ac:dyDescent="0.3">
      <c r="A24" s="300">
        <f t="shared" si="0"/>
        <v>14</v>
      </c>
      <c r="B24" s="419"/>
      <c r="C24" s="823"/>
      <c r="D24" s="58"/>
      <c r="E24" s="58"/>
      <c r="F24" s="58"/>
      <c r="G24" s="58"/>
      <c r="H24" s="58"/>
      <c r="I24" s="58"/>
      <c r="J24" s="301">
        <f t="shared" si="1"/>
        <v>14</v>
      </c>
    </row>
    <row r="25" spans="1:10" ht="15.75" x14ac:dyDescent="0.25">
      <c r="A25" s="262">
        <f t="shared" si="0"/>
        <v>15</v>
      </c>
      <c r="B25" s="11"/>
      <c r="C25" s="17"/>
      <c r="D25" s="17"/>
      <c r="E25" s="17"/>
      <c r="F25" s="17"/>
      <c r="G25" s="17"/>
      <c r="H25" s="17"/>
      <c r="I25" s="17"/>
      <c r="J25" s="263">
        <f t="shared" si="1"/>
        <v>15</v>
      </c>
    </row>
    <row r="26" spans="1:10" ht="16.5" thickBot="1" x14ac:dyDescent="0.3">
      <c r="A26" s="300">
        <f>A25+1</f>
        <v>16</v>
      </c>
      <c r="B26" s="419"/>
      <c r="C26" s="57" t="s">
        <v>142</v>
      </c>
      <c r="D26" s="57" t="s">
        <v>142</v>
      </c>
      <c r="E26" s="57" t="s">
        <v>142</v>
      </c>
      <c r="F26" s="57" t="s">
        <v>142</v>
      </c>
      <c r="G26" s="57" t="s">
        <v>142</v>
      </c>
      <c r="H26" s="57" t="s">
        <v>142</v>
      </c>
      <c r="I26" s="57"/>
      <c r="J26" s="301">
        <f>J25+1</f>
        <v>16</v>
      </c>
    </row>
    <row r="27" spans="1:10" ht="15.75" x14ac:dyDescent="0.25">
      <c r="A27" s="262">
        <f t="shared" si="0"/>
        <v>17</v>
      </c>
      <c r="B27" s="11"/>
      <c r="C27" s="75"/>
      <c r="D27" s="10"/>
      <c r="E27" s="10"/>
      <c r="F27" s="10"/>
      <c r="G27" s="10"/>
      <c r="H27" s="10"/>
      <c r="I27" s="10"/>
      <c r="J27" s="263">
        <f t="shared" si="1"/>
        <v>17</v>
      </c>
    </row>
    <row r="28" spans="1:10" ht="15.75" x14ac:dyDescent="0.25">
      <c r="A28" s="262">
        <f t="shared" si="0"/>
        <v>18</v>
      </c>
      <c r="B28" s="11" t="s">
        <v>143</v>
      </c>
      <c r="C28" s="384">
        <f>('Stmnt BL (Retail) - TRBAA'!C36)</f>
        <v>-3.0400000000000002E-3</v>
      </c>
      <c r="D28" s="384">
        <f>$C28</f>
        <v>-3.0400000000000002E-3</v>
      </c>
      <c r="E28" s="384">
        <f>$C28</f>
        <v>-3.0400000000000002E-3</v>
      </c>
      <c r="F28" s="384">
        <f>$C28</f>
        <v>-3.0400000000000002E-3</v>
      </c>
      <c r="G28" s="384">
        <f>$C28</f>
        <v>-3.0400000000000002E-3</v>
      </c>
      <c r="H28" s="384">
        <f>$C28</f>
        <v>-3.0400000000000002E-3</v>
      </c>
      <c r="I28" s="402" t="s">
        <v>144</v>
      </c>
      <c r="J28" s="263">
        <f t="shared" si="1"/>
        <v>18</v>
      </c>
    </row>
    <row r="29" spans="1:10" ht="16.5" thickBot="1" x14ac:dyDescent="0.3">
      <c r="A29" s="300">
        <f>A28+1</f>
        <v>19</v>
      </c>
      <c r="B29" s="419"/>
      <c r="C29" s="58"/>
      <c r="D29" s="58"/>
      <c r="E29" s="58"/>
      <c r="F29" s="58"/>
      <c r="G29" s="58"/>
      <c r="H29" s="58"/>
      <c r="I29" s="58"/>
      <c r="J29" s="301">
        <f>J28+1</f>
        <v>19</v>
      </c>
    </row>
    <row r="30" spans="1:10" ht="15.75" x14ac:dyDescent="0.25">
      <c r="A30" s="262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263">
        <f t="shared" si="1"/>
        <v>20</v>
      </c>
    </row>
    <row r="31" spans="1:10" ht="34.5" customHeight="1" thickBot="1" x14ac:dyDescent="0.3">
      <c r="A31" s="300">
        <f t="shared" si="0"/>
        <v>21</v>
      </c>
      <c r="B31" s="419"/>
      <c r="C31" s="403" t="s">
        <v>145</v>
      </c>
      <c r="D31" s="403" t="s">
        <v>145</v>
      </c>
      <c r="E31" s="403" t="s">
        <v>145</v>
      </c>
      <c r="F31" s="403" t="s">
        <v>145</v>
      </c>
      <c r="G31" s="403" t="s">
        <v>145</v>
      </c>
      <c r="H31" s="403" t="s">
        <v>145</v>
      </c>
      <c r="I31" s="57"/>
      <c r="J31" s="301">
        <f t="shared" si="1"/>
        <v>21</v>
      </c>
    </row>
    <row r="32" spans="1:10" ht="15.75" x14ac:dyDescent="0.25">
      <c r="A32" s="262">
        <f t="shared" si="0"/>
        <v>22</v>
      </c>
      <c r="B32" s="11"/>
      <c r="C32" s="10"/>
      <c r="D32" s="10"/>
      <c r="E32" s="10"/>
      <c r="F32" s="10"/>
      <c r="G32" s="10"/>
      <c r="H32" s="10"/>
      <c r="I32" s="74"/>
      <c r="J32" s="263">
        <f t="shared" si="1"/>
        <v>22</v>
      </c>
    </row>
    <row r="33" spans="1:10" ht="15.75" x14ac:dyDescent="0.25">
      <c r="A33" s="262">
        <f t="shared" si="0"/>
        <v>23</v>
      </c>
      <c r="B33" s="11" t="s">
        <v>93</v>
      </c>
      <c r="C33" s="141">
        <f>C11*C$28</f>
        <v>-1720234.9337308877</v>
      </c>
      <c r="D33" s="141">
        <f t="shared" ref="D33:H33" si="3">D11*D$28</f>
        <v>-1443834.7845556224</v>
      </c>
      <c r="E33" s="141">
        <f t="shared" si="3"/>
        <v>-1263767.6483839499</v>
      </c>
      <c r="F33" s="141">
        <f t="shared" si="3"/>
        <v>-1032679.9458004714</v>
      </c>
      <c r="G33" s="141">
        <f t="shared" si="3"/>
        <v>-948842.86066227325</v>
      </c>
      <c r="H33" s="141">
        <f t="shared" si="3"/>
        <v>-1021195.2213937974</v>
      </c>
      <c r="I33" s="26" t="s">
        <v>146</v>
      </c>
      <c r="J33" s="263">
        <f t="shared" si="1"/>
        <v>23</v>
      </c>
    </row>
    <row r="34" spans="1:10" ht="15.75" x14ac:dyDescent="0.25">
      <c r="A34" s="262">
        <f t="shared" si="0"/>
        <v>24</v>
      </c>
      <c r="B34" s="11"/>
      <c r="C34" s="398"/>
      <c r="D34" s="398"/>
      <c r="E34" s="398"/>
      <c r="F34" s="398"/>
      <c r="G34" s="398"/>
      <c r="H34" s="398"/>
      <c r="I34" s="404"/>
      <c r="J34" s="263">
        <f t="shared" si="1"/>
        <v>24</v>
      </c>
    </row>
    <row r="35" spans="1:10" ht="15.75" x14ac:dyDescent="0.25">
      <c r="A35" s="262">
        <f t="shared" si="0"/>
        <v>25</v>
      </c>
      <c r="B35" s="11" t="s">
        <v>134</v>
      </c>
      <c r="C35" s="44">
        <f>C13*C$28</f>
        <v>-612289.08938107046</v>
      </c>
      <c r="D35" s="44">
        <f t="shared" ref="D35:H35" si="4">D13*D$28</f>
        <v>-589389.22430646513</v>
      </c>
      <c r="E35" s="44">
        <f t="shared" si="4"/>
        <v>-577306.02786266396</v>
      </c>
      <c r="F35" s="44">
        <f t="shared" si="4"/>
        <v>-571849.11305243697</v>
      </c>
      <c r="G35" s="44">
        <f t="shared" si="4"/>
        <v>-571113.0210776102</v>
      </c>
      <c r="H35" s="44">
        <f t="shared" si="4"/>
        <v>-590186.5211705144</v>
      </c>
      <c r="I35" s="26" t="s">
        <v>147</v>
      </c>
      <c r="J35" s="263">
        <f t="shared" si="1"/>
        <v>25</v>
      </c>
    </row>
    <row r="36" spans="1:10" ht="15.75" x14ac:dyDescent="0.25">
      <c r="A36" s="262">
        <f t="shared" si="0"/>
        <v>26</v>
      </c>
      <c r="B36" s="385"/>
      <c r="C36" s="393"/>
      <c r="D36" s="393"/>
      <c r="E36" s="393"/>
      <c r="F36" s="393"/>
      <c r="G36" s="393"/>
      <c r="H36" s="393"/>
      <c r="I36" s="26"/>
      <c r="J36" s="263">
        <f t="shared" si="1"/>
        <v>26</v>
      </c>
    </row>
    <row r="37" spans="1:10" ht="15.75" x14ac:dyDescent="0.25">
      <c r="A37" s="262">
        <f t="shared" si="0"/>
        <v>27</v>
      </c>
      <c r="B37" s="17" t="s">
        <v>99</v>
      </c>
      <c r="C37" s="44">
        <f>C15*C$28</f>
        <v>-2185145.1036139359</v>
      </c>
      <c r="D37" s="44">
        <f t="shared" ref="D37:H37" si="5">D15*D$28</f>
        <v>-2070207.5016284212</v>
      </c>
      <c r="E37" s="44">
        <f t="shared" si="5"/>
        <v>-2075844.9189314139</v>
      </c>
      <c r="F37" s="44">
        <f t="shared" si="5"/>
        <v>-2087974.2484400957</v>
      </c>
      <c r="G37" s="44">
        <f t="shared" si="5"/>
        <v>-2108059.4617354064</v>
      </c>
      <c r="H37" s="44">
        <f t="shared" si="5"/>
        <v>-2199797.3415474659</v>
      </c>
      <c r="I37" s="26" t="s">
        <v>148</v>
      </c>
      <c r="J37" s="263">
        <f t="shared" si="1"/>
        <v>27</v>
      </c>
    </row>
    <row r="38" spans="1:10" ht="15.75" x14ac:dyDescent="0.25">
      <c r="A38" s="262">
        <f t="shared" si="0"/>
        <v>28</v>
      </c>
      <c r="B38" s="11"/>
      <c r="C38" s="44"/>
      <c r="D38" s="44"/>
      <c r="E38" s="44"/>
      <c r="F38" s="44"/>
      <c r="G38" s="44"/>
      <c r="H38" s="44"/>
      <c r="I38" s="26"/>
      <c r="J38" s="263">
        <f t="shared" si="1"/>
        <v>28</v>
      </c>
    </row>
    <row r="39" spans="1:10" ht="15.75" x14ac:dyDescent="0.25">
      <c r="A39" s="262">
        <f t="shared" si="0"/>
        <v>29</v>
      </c>
      <c r="B39" s="11" t="s">
        <v>102</v>
      </c>
      <c r="C39" s="44">
        <f>C17*C$28</f>
        <v>-26663.530312111816</v>
      </c>
      <c r="D39" s="44">
        <f t="shared" ref="D39:H39" si="6">D17*D$28</f>
        <v>-26138.521297885254</v>
      </c>
      <c r="E39" s="44">
        <f t="shared" si="6"/>
        <v>-24689.238710656038</v>
      </c>
      <c r="F39" s="44">
        <f t="shared" si="6"/>
        <v>-27276.843229651044</v>
      </c>
      <c r="G39" s="44">
        <f t="shared" si="6"/>
        <v>-41022.958396524329</v>
      </c>
      <c r="H39" s="44">
        <f t="shared" si="6"/>
        <v>-46442.390339975973</v>
      </c>
      <c r="I39" s="26" t="s">
        <v>149</v>
      </c>
      <c r="J39" s="263">
        <f t="shared" si="1"/>
        <v>29</v>
      </c>
    </row>
    <row r="40" spans="1:10" ht="15.75" x14ac:dyDescent="0.25">
      <c r="A40" s="262">
        <f t="shared" si="0"/>
        <v>30</v>
      </c>
      <c r="B40" s="11"/>
      <c r="C40" s="44"/>
      <c r="D40" s="44"/>
      <c r="E40" s="44"/>
      <c r="F40" s="44"/>
      <c r="G40" s="44"/>
      <c r="H40" s="44"/>
      <c r="I40" s="26"/>
      <c r="J40" s="263">
        <f t="shared" si="1"/>
        <v>30</v>
      </c>
    </row>
    <row r="41" spans="1:10" ht="15.75" x14ac:dyDescent="0.25">
      <c r="A41" s="262">
        <f t="shared" si="0"/>
        <v>31</v>
      </c>
      <c r="B41" s="11" t="s">
        <v>105</v>
      </c>
      <c r="C41" s="44">
        <f>C19*C$28</f>
        <v>-48932.431243822131</v>
      </c>
      <c r="D41" s="44">
        <f t="shared" ref="D41:H41" si="7">D19*D$28</f>
        <v>-49627.360612787343</v>
      </c>
      <c r="E41" s="44">
        <f t="shared" si="7"/>
        <v>-46238.577612009962</v>
      </c>
      <c r="F41" s="44">
        <f t="shared" si="7"/>
        <v>-48003.996317044759</v>
      </c>
      <c r="G41" s="44">
        <f t="shared" si="7"/>
        <v>-57699.433029963373</v>
      </c>
      <c r="H41" s="44">
        <f t="shared" si="7"/>
        <v>-60164.778431750434</v>
      </c>
      <c r="I41" s="26" t="s">
        <v>150</v>
      </c>
      <c r="J41" s="263">
        <f t="shared" si="1"/>
        <v>31</v>
      </c>
    </row>
    <row r="42" spans="1:10" ht="15.75" x14ac:dyDescent="0.25">
      <c r="A42" s="262">
        <f t="shared" si="0"/>
        <v>32</v>
      </c>
      <c r="B42" s="11"/>
      <c r="C42" s="44"/>
      <c r="D42" s="44"/>
      <c r="E42" s="44"/>
      <c r="F42" s="44"/>
      <c r="G42" s="44"/>
      <c r="H42" s="44"/>
      <c r="I42" s="26"/>
      <c r="J42" s="263">
        <f t="shared" si="1"/>
        <v>32</v>
      </c>
    </row>
    <row r="43" spans="1:10" ht="15.75" x14ac:dyDescent="0.25">
      <c r="A43" s="262">
        <f t="shared" si="0"/>
        <v>33</v>
      </c>
      <c r="B43" s="11" t="s">
        <v>139</v>
      </c>
      <c r="C43" s="51">
        <f>C21*C$28</f>
        <v>-21432.125772913168</v>
      </c>
      <c r="D43" s="51">
        <f t="shared" ref="D43:H43" si="8">D21*D$28</f>
        <v>-21169.463542372047</v>
      </c>
      <c r="E43" s="51">
        <f t="shared" si="8"/>
        <v>-20737.008508784864</v>
      </c>
      <c r="F43" s="51">
        <f t="shared" si="8"/>
        <v>-20357.159331968141</v>
      </c>
      <c r="G43" s="51">
        <f t="shared" si="8"/>
        <v>-20329.802189505161</v>
      </c>
      <c r="H43" s="51">
        <f t="shared" si="8"/>
        <v>-20432.561849806702</v>
      </c>
      <c r="I43" s="26" t="s">
        <v>151</v>
      </c>
      <c r="J43" s="263">
        <f t="shared" si="1"/>
        <v>33</v>
      </c>
    </row>
    <row r="44" spans="1:10" ht="15.75" x14ac:dyDescent="0.25">
      <c r="A44" s="262">
        <f t="shared" si="0"/>
        <v>34</v>
      </c>
      <c r="B44" s="11"/>
      <c r="C44" s="141"/>
      <c r="D44" s="141"/>
      <c r="E44" s="141"/>
      <c r="F44" s="141"/>
      <c r="G44" s="141"/>
      <c r="H44" s="141"/>
      <c r="I44" s="26"/>
      <c r="J44" s="263">
        <f t="shared" si="1"/>
        <v>34</v>
      </c>
    </row>
    <row r="45" spans="1:10" ht="16.5" thickBot="1" x14ac:dyDescent="0.3">
      <c r="A45" s="262">
        <f t="shared" si="0"/>
        <v>35</v>
      </c>
      <c r="B45" s="11" t="s">
        <v>124</v>
      </c>
      <c r="C45" s="512">
        <f>SUM(C33:C43)</f>
        <v>-4614697.21405474</v>
      </c>
      <c r="D45" s="512">
        <f t="shared" ref="D45:H45" si="9">SUM(D33:D43)</f>
        <v>-4200366.8559435531</v>
      </c>
      <c r="E45" s="512">
        <f t="shared" si="9"/>
        <v>-4008583.420009478</v>
      </c>
      <c r="F45" s="512">
        <f t="shared" si="9"/>
        <v>-3788141.3061716678</v>
      </c>
      <c r="G45" s="512">
        <f t="shared" si="9"/>
        <v>-3747067.5370912822</v>
      </c>
      <c r="H45" s="512">
        <f t="shared" si="9"/>
        <v>-3938218.8147333111</v>
      </c>
      <c r="I45" s="405" t="s">
        <v>152</v>
      </c>
      <c r="J45" s="263">
        <f t="shared" si="1"/>
        <v>35</v>
      </c>
    </row>
    <row r="46" spans="1:10" ht="17.25" thickTop="1" thickBot="1" x14ac:dyDescent="0.3">
      <c r="A46" s="300"/>
      <c r="B46" s="81"/>
      <c r="C46" s="823"/>
      <c r="D46" s="58"/>
      <c r="E46" s="58"/>
      <c r="F46" s="58"/>
      <c r="G46" s="58"/>
      <c r="H46" s="58"/>
      <c r="I46" s="58"/>
      <c r="J46" s="406"/>
    </row>
    <row r="47" spans="1:10" ht="15.75" x14ac:dyDescent="0.25">
      <c r="A47" s="37"/>
      <c r="B47" s="390"/>
      <c r="C47" s="22"/>
      <c r="D47" s="22"/>
      <c r="E47" s="22"/>
      <c r="F47" s="22"/>
      <c r="G47" s="22"/>
      <c r="H47" s="22"/>
      <c r="I47" s="22"/>
      <c r="J47" s="22"/>
    </row>
    <row r="48" spans="1:10" ht="18.75" x14ac:dyDescent="0.25">
      <c r="A48" s="69"/>
      <c r="B48" s="22"/>
      <c r="C48" s="22"/>
      <c r="D48" s="22"/>
      <c r="E48" s="22"/>
      <c r="F48" s="22"/>
      <c r="G48" s="22"/>
      <c r="H48" s="22"/>
      <c r="I48" s="22"/>
      <c r="J48" s="22"/>
    </row>
    <row r="49" spans="1:10" ht="15.75" x14ac:dyDescent="0.25">
      <c r="A49" s="824"/>
      <c r="B49" s="22"/>
      <c r="C49" s="22"/>
      <c r="D49" s="22"/>
      <c r="E49" s="22"/>
      <c r="F49" s="22"/>
      <c r="G49" s="22"/>
      <c r="H49" s="22"/>
      <c r="I49" s="22"/>
      <c r="J49" s="22"/>
    </row>
    <row r="50" spans="1:10" ht="15.75" x14ac:dyDescent="0.25">
      <c r="A50" s="824"/>
      <c r="B50" s="22"/>
      <c r="C50" s="22"/>
      <c r="D50" s="22"/>
      <c r="E50" s="22"/>
      <c r="F50" s="22"/>
      <c r="G50" s="22"/>
      <c r="H50" s="22"/>
      <c r="I50" s="22"/>
      <c r="J50" s="22"/>
    </row>
    <row r="51" spans="1:10" ht="15.75" x14ac:dyDescent="0.25">
      <c r="A51" s="37"/>
      <c r="B51" s="22"/>
      <c r="C51" s="22"/>
      <c r="D51" s="22"/>
      <c r="E51" s="22"/>
      <c r="F51" s="22"/>
      <c r="G51" s="22"/>
      <c r="H51" s="22"/>
      <c r="I51" s="22"/>
      <c r="J51" s="22"/>
    </row>
    <row r="52" spans="1:10" ht="15.75" x14ac:dyDescent="0.25">
      <c r="A52" s="37"/>
      <c r="B52" s="22"/>
      <c r="C52" s="22"/>
      <c r="D52" s="22"/>
      <c r="E52" s="22"/>
      <c r="F52" s="22"/>
      <c r="G52" s="22"/>
      <c r="H52" s="22"/>
      <c r="I52" s="22"/>
      <c r="J52" s="22"/>
    </row>
    <row r="53" spans="1:10" ht="15.75" x14ac:dyDescent="0.25">
      <c r="A53" s="37"/>
      <c r="B53" s="22"/>
      <c r="C53" s="22"/>
      <c r="D53" s="22"/>
      <c r="E53" s="22"/>
      <c r="F53" s="22"/>
      <c r="G53" s="22"/>
      <c r="H53" s="22"/>
      <c r="I53" s="22"/>
      <c r="J53" s="22"/>
    </row>
    <row r="54" spans="1:10" ht="15.75" x14ac:dyDescent="0.25">
      <c r="A54" s="37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5.75" x14ac:dyDescent="0.25">
      <c r="A55" s="37"/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5.75" x14ac:dyDescent="0.25">
      <c r="A56" s="37"/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5.75" x14ac:dyDescent="0.25">
      <c r="A57" s="37"/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5.75" x14ac:dyDescent="0.25">
      <c r="A58" s="37"/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5.75" x14ac:dyDescent="0.25">
      <c r="A59" s="37"/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5.75" x14ac:dyDescent="0.25">
      <c r="A60" s="37"/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5.75" x14ac:dyDescent="0.25">
      <c r="A61" s="37"/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5.75" x14ac:dyDescent="0.25">
      <c r="A62" s="37"/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5.75" x14ac:dyDescent="0.25">
      <c r="A63" s="37"/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5.75" x14ac:dyDescent="0.25">
      <c r="A64" s="37"/>
      <c r="B64" s="22"/>
      <c r="C64" s="22"/>
      <c r="D64" s="22"/>
      <c r="E64" s="22"/>
      <c r="F64" s="22"/>
      <c r="G64" s="22"/>
      <c r="H64" s="22"/>
      <c r="I64" s="22"/>
      <c r="J64" s="22"/>
    </row>
    <row r="65" spans="1:10" ht="15.75" x14ac:dyDescent="0.25">
      <c r="A65" s="37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5.75" x14ac:dyDescent="0.25">
      <c r="A66" s="37"/>
      <c r="B66" s="22"/>
      <c r="C66" s="22"/>
      <c r="D66" s="22"/>
      <c r="E66" s="22"/>
      <c r="F66" s="22"/>
      <c r="G66" s="22"/>
      <c r="H66" s="22"/>
      <c r="I66" s="22"/>
      <c r="J66" s="22"/>
    </row>
    <row r="67" spans="1:10" ht="15.75" x14ac:dyDescent="0.25">
      <c r="A67" s="37"/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5.75" x14ac:dyDescent="0.25">
      <c r="A68" s="37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15.75" x14ac:dyDescent="0.25">
      <c r="A69" s="37"/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5.75" x14ac:dyDescent="0.25">
      <c r="A70" s="37"/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5.75" x14ac:dyDescent="0.25">
      <c r="A71" s="37"/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5.75" x14ac:dyDescent="0.25">
      <c r="A72" s="37"/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5.75" x14ac:dyDescent="0.25">
      <c r="A73" s="37"/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5.75" x14ac:dyDescent="0.25">
      <c r="A74" s="37"/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5.75" x14ac:dyDescent="0.25">
      <c r="A75" s="37"/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5.75" x14ac:dyDescent="0.25">
      <c r="A76" s="37"/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5.75" x14ac:dyDescent="0.25">
      <c r="A77" s="37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5.75" x14ac:dyDescent="0.25">
      <c r="A78" s="37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">
      <c r="A79" s="824"/>
    </row>
    <row r="80" spans="1:10" x14ac:dyDescent="0.2">
      <c r="A80" s="824"/>
    </row>
    <row r="81" spans="1:1" x14ac:dyDescent="0.2">
      <c r="A81" s="824"/>
    </row>
    <row r="82" spans="1:1" x14ac:dyDescent="0.2">
      <c r="A82" s="824"/>
    </row>
    <row r="83" spans="1:1" x14ac:dyDescent="0.2">
      <c r="A83" s="824"/>
    </row>
    <row r="84" spans="1:1" x14ac:dyDescent="0.2">
      <c r="A84" s="824"/>
    </row>
    <row r="85" spans="1:1" x14ac:dyDescent="0.2">
      <c r="A85" s="824"/>
    </row>
    <row r="86" spans="1:1" x14ac:dyDescent="0.2">
      <c r="A86" s="824"/>
    </row>
    <row r="87" spans="1:1" x14ac:dyDescent="0.2">
      <c r="A87" s="824"/>
    </row>
    <row r="88" spans="1:1" x14ac:dyDescent="0.2">
      <c r="A88" s="824"/>
    </row>
    <row r="89" spans="1:1" x14ac:dyDescent="0.2">
      <c r="A89" s="824"/>
    </row>
    <row r="90" spans="1:1" x14ac:dyDescent="0.2">
      <c r="A90" s="824"/>
    </row>
    <row r="91" spans="1:1" x14ac:dyDescent="0.2">
      <c r="A91" s="824"/>
    </row>
    <row r="92" spans="1:1" x14ac:dyDescent="0.2">
      <c r="A92" s="824"/>
    </row>
    <row r="93" spans="1:1" x14ac:dyDescent="0.2">
      <c r="A93" s="824"/>
    </row>
    <row r="94" spans="1:1" x14ac:dyDescent="0.2">
      <c r="A94" s="824"/>
    </row>
    <row r="95" spans="1:1" x14ac:dyDescent="0.2">
      <c r="A95" s="824"/>
    </row>
    <row r="96" spans="1:1" x14ac:dyDescent="0.2">
      <c r="A96" s="824"/>
    </row>
    <row r="97" spans="1:1" x14ac:dyDescent="0.2">
      <c r="A97" s="824"/>
    </row>
    <row r="98" spans="1:1" x14ac:dyDescent="0.2">
      <c r="A98" s="824"/>
    </row>
    <row r="99" spans="1:1" x14ac:dyDescent="0.2">
      <c r="A99" s="824"/>
    </row>
    <row r="100" spans="1:1" x14ac:dyDescent="0.2">
      <c r="A100" s="824"/>
    </row>
    <row r="101" spans="1:1" x14ac:dyDescent="0.2">
      <c r="A101" s="824"/>
    </row>
    <row r="102" spans="1:1" x14ac:dyDescent="0.2">
      <c r="A102" s="824"/>
    </row>
    <row r="103" spans="1:1" x14ac:dyDescent="0.2">
      <c r="A103" s="824"/>
    </row>
    <row r="104" spans="1:1" x14ac:dyDescent="0.2">
      <c r="A104" s="824"/>
    </row>
    <row r="105" spans="1:1" x14ac:dyDescent="0.2">
      <c r="A105" s="824"/>
    </row>
    <row r="106" spans="1:1" x14ac:dyDescent="0.2">
      <c r="A106" s="824"/>
    </row>
    <row r="107" spans="1:1" x14ac:dyDescent="0.2">
      <c r="A107" s="824"/>
    </row>
    <row r="108" spans="1:1" x14ac:dyDescent="0.2">
      <c r="A108" s="824"/>
    </row>
    <row r="109" spans="1:1" x14ac:dyDescent="0.2">
      <c r="A109" s="824"/>
    </row>
    <row r="110" spans="1:1" x14ac:dyDescent="0.2">
      <c r="A110" s="824"/>
    </row>
    <row r="111" spans="1:1" x14ac:dyDescent="0.2">
      <c r="A111" s="824"/>
    </row>
    <row r="112" spans="1:1" x14ac:dyDescent="0.2">
      <c r="A112" s="824"/>
    </row>
    <row r="113" spans="1:1" x14ac:dyDescent="0.2">
      <c r="A113" s="824"/>
    </row>
    <row r="114" spans="1:1" x14ac:dyDescent="0.2">
      <c r="A114" s="824"/>
    </row>
    <row r="115" spans="1:1" x14ac:dyDescent="0.2">
      <c r="A115" s="824"/>
    </row>
    <row r="116" spans="1:1" x14ac:dyDescent="0.2">
      <c r="A116" s="824"/>
    </row>
    <row r="117" spans="1:1" x14ac:dyDescent="0.2">
      <c r="A117" s="824"/>
    </row>
    <row r="118" spans="1:1" x14ac:dyDescent="0.2">
      <c r="A118" s="824"/>
    </row>
    <row r="119" spans="1:1" x14ac:dyDescent="0.2">
      <c r="A119" s="824"/>
    </row>
    <row r="120" spans="1:1" x14ac:dyDescent="0.2">
      <c r="A120" s="824"/>
    </row>
    <row r="121" spans="1:1" x14ac:dyDescent="0.2">
      <c r="A121" s="824"/>
    </row>
    <row r="122" spans="1:1" x14ac:dyDescent="0.2">
      <c r="A122" s="824"/>
    </row>
  </sheetData>
  <mergeCells count="1">
    <mergeCell ref="A4:J4"/>
  </mergeCells>
  <printOptions horizontalCentered="1"/>
  <pageMargins left="0.25" right="0.25" top="0.5" bottom="0.5" header="0.25" footer="0.25"/>
  <pageSetup scale="71" orientation="landscape" r:id="rId1"/>
  <headerFooter scaleWithDoc="0" alignWithMargins="0">
    <oddFooter>&amp;L&amp;"Times New Roman,Regular"&amp;F&amp;C&amp;"Times New Roman,Regular"Page 3 of 4&amp;R&amp;"Times New Roman,Regular"&amp;A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122"/>
  <sheetViews>
    <sheetView zoomScale="80" zoomScaleNormal="80" workbookViewId="0">
      <selection activeCell="E11" sqref="E11"/>
    </sheetView>
  </sheetViews>
  <sheetFormatPr defaultColWidth="9.28515625" defaultRowHeight="12.75" x14ac:dyDescent="0.2"/>
  <cols>
    <col min="1" max="1" width="5.5703125" style="242" customWidth="1"/>
    <col min="2" max="2" width="45.5703125" style="242" customWidth="1"/>
    <col min="3" max="8" width="15.5703125" style="242" customWidth="1"/>
    <col min="9" max="9" width="18.5703125" style="242" customWidth="1"/>
    <col min="10" max="10" width="40.5703125" style="242" customWidth="1"/>
    <col min="11" max="11" width="5.5703125" style="242" customWidth="1"/>
    <col min="12" max="16384" width="9.28515625" style="242"/>
  </cols>
  <sheetData>
    <row r="2" spans="1:11" ht="15.75" x14ac:dyDescent="0.2">
      <c r="A2" s="5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75" x14ac:dyDescent="0.2">
      <c r="A3" s="5" t="s">
        <v>52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.75" x14ac:dyDescent="0.2">
      <c r="A4" s="5" t="str">
        <f>'Stmt BG - Page 1'!A4</f>
        <v>Transmission Revenue Balancing Account Adjustment (TRBAA) Revenues Data to Reflect Changed Rates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.75" x14ac:dyDescent="0.2">
      <c r="A5" s="418" t="str">
        <f>'Stmt BG - Page 1'!A6</f>
        <v>Rate Effective Period - Twelve Months Ending December 31, 2026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6.5" thickBot="1" x14ac:dyDescent="0.3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5.75" x14ac:dyDescent="0.25">
      <c r="A7" s="75"/>
      <c r="B7" s="75"/>
      <c r="C7" s="569" t="s">
        <v>153</v>
      </c>
      <c r="D7" s="569" t="s">
        <v>154</v>
      </c>
      <c r="E7" s="569" t="s">
        <v>155</v>
      </c>
      <c r="F7" s="569" t="s">
        <v>156</v>
      </c>
      <c r="G7" s="569" t="s">
        <v>157</v>
      </c>
      <c r="H7" s="569" t="s">
        <v>158</v>
      </c>
      <c r="I7" s="569" t="s">
        <v>159</v>
      </c>
      <c r="J7" s="569" t="s">
        <v>160</v>
      </c>
      <c r="K7" s="75"/>
    </row>
    <row r="8" spans="1:11" ht="15.75" x14ac:dyDescent="0.25">
      <c r="A8" s="75" t="s">
        <v>8</v>
      </c>
      <c r="B8" s="75"/>
      <c r="C8" s="570">
        <f>'Stmt BG - Page 2'!C26</f>
        <v>46204</v>
      </c>
      <c r="D8" s="570">
        <f>'Stmt BG - Page 2'!D26</f>
        <v>46235</v>
      </c>
      <c r="E8" s="570">
        <f>'Stmt BG - Page 2'!E26</f>
        <v>46266</v>
      </c>
      <c r="F8" s="570">
        <f>'Stmt BG - Page 2'!F26</f>
        <v>46296</v>
      </c>
      <c r="G8" s="570">
        <f>'Stmt BG - Page 2'!G26</f>
        <v>46327</v>
      </c>
      <c r="H8" s="570">
        <f>'Stmt BG - Page 2'!H26</f>
        <v>46357</v>
      </c>
      <c r="I8" s="570" t="s">
        <v>18</v>
      </c>
      <c r="J8" s="564"/>
      <c r="K8" s="75" t="s">
        <v>8</v>
      </c>
    </row>
    <row r="9" spans="1:11" ht="16.5" thickBot="1" x14ac:dyDescent="0.3">
      <c r="A9" s="153" t="s">
        <v>11</v>
      </c>
      <c r="B9" s="153" t="s">
        <v>88</v>
      </c>
      <c r="C9" s="153" t="s">
        <v>132</v>
      </c>
      <c r="D9" s="153" t="s">
        <v>132</v>
      </c>
      <c r="E9" s="153" t="s">
        <v>132</v>
      </c>
      <c r="F9" s="153" t="s">
        <v>132</v>
      </c>
      <c r="G9" s="153" t="s">
        <v>132</v>
      </c>
      <c r="H9" s="153" t="s">
        <v>132</v>
      </c>
      <c r="I9" s="153" t="s">
        <v>132</v>
      </c>
      <c r="J9" s="153" t="s">
        <v>16</v>
      </c>
      <c r="K9" s="153" t="s">
        <v>11</v>
      </c>
    </row>
    <row r="10" spans="1:11" ht="15.75" x14ac:dyDescent="0.25">
      <c r="A10" s="10"/>
      <c r="B10" s="10"/>
      <c r="C10" s="74"/>
      <c r="D10" s="10"/>
      <c r="E10" s="10"/>
      <c r="F10" s="10"/>
      <c r="G10" s="10"/>
      <c r="H10" s="10"/>
      <c r="I10" s="10"/>
      <c r="J10" s="10"/>
      <c r="K10" s="10"/>
    </row>
    <row r="11" spans="1:11" ht="15.75" x14ac:dyDescent="0.25">
      <c r="A11" s="10">
        <v>1</v>
      </c>
      <c r="B11" s="11" t="s">
        <v>93</v>
      </c>
      <c r="C11" s="31">
        <f>'WP 1.2 Forecast Sales'!I6*1000</f>
        <v>439256672.77409267</v>
      </c>
      <c r="D11" s="31">
        <f>'WP 1.2 Forecast Sales'!J6*1000</f>
        <v>587388490.04375732</v>
      </c>
      <c r="E11" s="31">
        <f>'WP 1.2 Forecast Sales'!K6*1000</f>
        <v>663180160.79624331</v>
      </c>
      <c r="F11" s="31">
        <f>'WP 1.2 Forecast Sales'!L6*1000</f>
        <v>486365563.56523019</v>
      </c>
      <c r="G11" s="31">
        <f>'WP 1.2 Forecast Sales'!M6*1000</f>
        <v>418337107.24210709</v>
      </c>
      <c r="H11" s="31">
        <f>'WP 1.2 Forecast Sales'!N6*1000</f>
        <v>490455119.67941707</v>
      </c>
      <c r="I11" s="31">
        <f>SUM('Stmt BG - Page 3'!C11:H11)+SUM('Stmt BG - Page 4'!C11:H11)</f>
        <v>5529244757.0373611</v>
      </c>
      <c r="J11" s="399" t="s">
        <v>133</v>
      </c>
      <c r="K11" s="10">
        <v>1</v>
      </c>
    </row>
    <row r="12" spans="1:11" ht="15.75" x14ac:dyDescent="0.25">
      <c r="A12" s="10">
        <f>A11+1</f>
        <v>2</v>
      </c>
      <c r="B12" s="11"/>
      <c r="C12" s="398"/>
      <c r="D12" s="398"/>
      <c r="E12" s="398"/>
      <c r="F12" s="398"/>
      <c r="G12" s="398"/>
      <c r="H12" s="398"/>
      <c r="I12" s="398"/>
      <c r="J12" s="404"/>
      <c r="K12" s="10">
        <f>K11+1</f>
        <v>2</v>
      </c>
    </row>
    <row r="13" spans="1:11" ht="15.75" x14ac:dyDescent="0.25">
      <c r="A13" s="10">
        <f t="shared" ref="A13:A45" si="0">A12+1</f>
        <v>3</v>
      </c>
      <c r="B13" s="11" t="s">
        <v>134</v>
      </c>
      <c r="C13" s="31">
        <f>'WP 1.2 Forecast Sales'!I7*1000</f>
        <v>217323569.30803531</v>
      </c>
      <c r="D13" s="31">
        <f>'WP 1.2 Forecast Sales'!J7*1000</f>
        <v>229243879.39853665</v>
      </c>
      <c r="E13" s="31">
        <f>'WP 1.2 Forecast Sales'!K7*1000</f>
        <v>239317965.71833527</v>
      </c>
      <c r="F13" s="31">
        <f>'WP 1.2 Forecast Sales'!L7*1000</f>
        <v>211348576.79099375</v>
      </c>
      <c r="G13" s="31">
        <f>'WP 1.2 Forecast Sales'!M7*1000</f>
        <v>195315561.0568178</v>
      </c>
      <c r="H13" s="31">
        <f>'WP 1.2 Forecast Sales'!N7*1000</f>
        <v>194243997.91473109</v>
      </c>
      <c r="I13" s="31">
        <f>SUM('Stmt BG - Page 3'!C13:H13)+SUM('Stmt BG - Page 4'!C13:H13)</f>
        <v>2442100457.0462523</v>
      </c>
      <c r="J13" s="399" t="s">
        <v>135</v>
      </c>
      <c r="K13" s="10">
        <f t="shared" ref="K13:K45" si="1">K12+1</f>
        <v>3</v>
      </c>
    </row>
    <row r="14" spans="1:11" ht="15.75" x14ac:dyDescent="0.25">
      <c r="A14" s="10">
        <f t="shared" si="0"/>
        <v>4</v>
      </c>
      <c r="B14" s="385"/>
      <c r="C14" s="393"/>
      <c r="D14" s="393"/>
      <c r="E14" s="393"/>
      <c r="F14" s="393"/>
      <c r="G14" s="393"/>
      <c r="H14" s="393"/>
      <c r="I14" s="31"/>
      <c r="J14" s="407"/>
      <c r="K14" s="10">
        <f t="shared" si="1"/>
        <v>4</v>
      </c>
    </row>
    <row r="15" spans="1:11" ht="15.75" x14ac:dyDescent="0.25">
      <c r="A15" s="10">
        <f t="shared" si="0"/>
        <v>5</v>
      </c>
      <c r="B15" s="17" t="s">
        <v>99</v>
      </c>
      <c r="C15" s="31">
        <f>'WP 1.2 Forecast Sales'!I8*1000</f>
        <v>806489656.84811842</v>
      </c>
      <c r="D15" s="31">
        <f>'WP 1.2 Forecast Sales'!J8*1000</f>
        <v>833968518.35937226</v>
      </c>
      <c r="E15" s="31">
        <f>'WP 1.2 Forecast Sales'!K8*1000</f>
        <v>867016873.16453326</v>
      </c>
      <c r="F15" s="31">
        <f>'WP 1.2 Forecast Sales'!L8*1000</f>
        <v>796536574.47793376</v>
      </c>
      <c r="G15" s="31">
        <f>'WP 1.2 Forecast Sales'!M8*1000</f>
        <v>728103253.38593173</v>
      </c>
      <c r="H15" s="31">
        <f>'WP 1.2 Forecast Sales'!N8*1000</f>
        <v>763709820.81237149</v>
      </c>
      <c r="I15" s="31">
        <f>SUM('Stmt BG - Page 3'!C15:H15)+SUM('Stmt BG - Page 4'!C15:H15)</f>
        <v>8982347254.9090309</v>
      </c>
      <c r="J15" s="399" t="s">
        <v>136</v>
      </c>
      <c r="K15" s="10">
        <f t="shared" si="1"/>
        <v>5</v>
      </c>
    </row>
    <row r="16" spans="1:11" ht="15.75" x14ac:dyDescent="0.2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31"/>
      <c r="J16" s="34"/>
      <c r="K16" s="10">
        <f t="shared" si="1"/>
        <v>6</v>
      </c>
    </row>
    <row r="17" spans="1:11" ht="15.75" x14ac:dyDescent="0.25">
      <c r="A17" s="10">
        <f t="shared" si="0"/>
        <v>7</v>
      </c>
      <c r="B17" s="11" t="s">
        <v>102</v>
      </c>
      <c r="C17" s="31">
        <f>'WP 1.2 Forecast Sales'!I10*1000</f>
        <v>17674212.425930995</v>
      </c>
      <c r="D17" s="31">
        <f>'WP 1.2 Forecast Sales'!J10*1000</f>
        <v>19350930.552889984</v>
      </c>
      <c r="E17" s="31">
        <f>'WP 1.2 Forecast Sales'!K10*1000</f>
        <v>18944800.132352281</v>
      </c>
      <c r="F17" s="31">
        <f>'WP 1.2 Forecast Sales'!L10*1000</f>
        <v>17483777.143699218</v>
      </c>
      <c r="G17" s="31">
        <f>'WP 1.2 Forecast Sales'!M10*1000</f>
        <v>14421116.292368243</v>
      </c>
      <c r="H17" s="31">
        <f>'WP 1.2 Forecast Sales'!N10*1000</f>
        <v>13285180.217291201</v>
      </c>
      <c r="I17" s="31">
        <f>SUM('Stmt BG - Page 3'!C17:H17)+SUM('Stmt BG - Page 4'!C17:H17)</f>
        <v>164394714.88519129</v>
      </c>
      <c r="J17" s="399" t="s">
        <v>137</v>
      </c>
      <c r="K17" s="10">
        <f t="shared" si="1"/>
        <v>7</v>
      </c>
    </row>
    <row r="18" spans="1:11" ht="15.75" x14ac:dyDescent="0.2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31"/>
      <c r="J18" s="34"/>
      <c r="K18" s="10">
        <f t="shared" si="1"/>
        <v>8</v>
      </c>
    </row>
    <row r="19" spans="1:11" ht="15.75" x14ac:dyDescent="0.25">
      <c r="A19" s="10">
        <f t="shared" si="0"/>
        <v>9</v>
      </c>
      <c r="B19" s="11" t="s">
        <v>105</v>
      </c>
      <c r="C19" s="31">
        <f>'WP 1.2 Forecast Sales'!I11*1000</f>
        <v>21824505.864378165</v>
      </c>
      <c r="D19" s="31">
        <f>'WP 1.2 Forecast Sales'!J11*1000</f>
        <v>21947825.423344754</v>
      </c>
      <c r="E19" s="31">
        <f>'WP 1.2 Forecast Sales'!K11*1000</f>
        <v>21857831.109899174</v>
      </c>
      <c r="F19" s="31">
        <f>'WP 1.2 Forecast Sales'!L11*1000</f>
        <v>21118824.263870798</v>
      </c>
      <c r="G19" s="31">
        <f>'WP 1.2 Forecast Sales'!M11*1000</f>
        <v>19755426.797113776</v>
      </c>
      <c r="H19" s="31">
        <f>'WP 1.2 Forecast Sales'!N11*1000</f>
        <v>18182715.474677801</v>
      </c>
      <c r="I19" s="31">
        <f>SUM('Stmt BG - Page 3'!C19:H19)+SUM('Stmt BG - Page 4'!C19:H19)</f>
        <v>226880081.9751851</v>
      </c>
      <c r="J19" s="399" t="s">
        <v>138</v>
      </c>
      <c r="K19" s="10">
        <f t="shared" si="1"/>
        <v>9</v>
      </c>
    </row>
    <row r="20" spans="1:11" ht="15.75" x14ac:dyDescent="0.2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31"/>
      <c r="J20" s="34"/>
      <c r="K20" s="10">
        <f t="shared" si="1"/>
        <v>10</v>
      </c>
    </row>
    <row r="21" spans="1:11" ht="15.75" x14ac:dyDescent="0.25">
      <c r="A21" s="10">
        <f t="shared" si="0"/>
        <v>11</v>
      </c>
      <c r="B21" s="11" t="s">
        <v>139</v>
      </c>
      <c r="C21" s="38">
        <f>'WP 1.2 Forecast Sales'!I12*1000</f>
        <v>6678722.3135911068</v>
      </c>
      <c r="D21" s="38">
        <f>'WP 1.2 Forecast Sales'!J12*1000</f>
        <v>6838779.9659992624</v>
      </c>
      <c r="E21" s="38">
        <f>'WP 1.2 Forecast Sales'!K12*1000</f>
        <v>6753591.5071859909</v>
      </c>
      <c r="F21" s="38">
        <f>'WP 1.2 Forecast Sales'!L12*1000</f>
        <v>6782648.6053437786</v>
      </c>
      <c r="G21" s="38">
        <f>'WP 1.2 Forecast Sales'!M12*1000</f>
        <v>7119936.6196114337</v>
      </c>
      <c r="H21" s="38">
        <f>'WP 1.2 Forecast Sales'!N12*1000</f>
        <v>7138909.4377961857</v>
      </c>
      <c r="I21" s="38">
        <f>SUM('Stmt BG - Page 3'!C21:H21)+SUM('Stmt BG - Page 4'!C21:H21)</f>
        <v>82252759.895366594</v>
      </c>
      <c r="J21" s="399" t="s">
        <v>140</v>
      </c>
      <c r="K21" s="10">
        <f t="shared" si="1"/>
        <v>11</v>
      </c>
    </row>
    <row r="22" spans="1:11" ht="15.75" x14ac:dyDescent="0.2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31"/>
      <c r="J22" s="404"/>
      <c r="K22" s="10">
        <f t="shared" si="1"/>
        <v>12</v>
      </c>
    </row>
    <row r="23" spans="1:11" ht="16.5" thickBot="1" x14ac:dyDescent="0.3">
      <c r="A23" s="10">
        <f t="shared" si="0"/>
        <v>13</v>
      </c>
      <c r="B23" s="11" t="s">
        <v>161</v>
      </c>
      <c r="C23" s="474">
        <f>SUM(C11:C21)</f>
        <v>1509247339.5341465</v>
      </c>
      <c r="D23" s="474">
        <f t="shared" ref="D23:I23" si="2">SUM(D11:D21)</f>
        <v>1698738423.7439005</v>
      </c>
      <c r="E23" s="474">
        <f t="shared" si="2"/>
        <v>1817071222.4285495</v>
      </c>
      <c r="F23" s="474">
        <f t="shared" si="2"/>
        <v>1539635964.8470714</v>
      </c>
      <c r="G23" s="474">
        <f t="shared" si="2"/>
        <v>1383052401.3939502</v>
      </c>
      <c r="H23" s="474">
        <f t="shared" si="2"/>
        <v>1487015743.5362847</v>
      </c>
      <c r="I23" s="474">
        <f t="shared" si="2"/>
        <v>17427220025.748386</v>
      </c>
      <c r="J23" s="399" t="s">
        <v>141</v>
      </c>
      <c r="K23" s="10">
        <f t="shared" si="1"/>
        <v>13</v>
      </c>
    </row>
    <row r="24" spans="1:11" ht="17.25" thickTop="1" thickBot="1" x14ac:dyDescent="0.3">
      <c r="A24" s="57">
        <f t="shared" si="0"/>
        <v>14</v>
      </c>
      <c r="B24" s="419"/>
      <c r="C24" s="823"/>
      <c r="D24" s="58"/>
      <c r="E24" s="58"/>
      <c r="F24" s="58"/>
      <c r="G24" s="58"/>
      <c r="H24" s="58"/>
      <c r="I24" s="58"/>
      <c r="J24" s="58"/>
      <c r="K24" s="57">
        <f t="shared" si="1"/>
        <v>14</v>
      </c>
    </row>
    <row r="25" spans="1:11" ht="15.75" x14ac:dyDescent="0.25">
      <c r="A25" s="10">
        <f t="shared" si="0"/>
        <v>15</v>
      </c>
      <c r="B25" s="420"/>
      <c r="C25" s="408"/>
      <c r="D25" s="408"/>
      <c r="E25" s="408"/>
      <c r="F25" s="408"/>
      <c r="G25" s="408"/>
      <c r="H25" s="408"/>
      <c r="I25" s="408"/>
      <c r="J25" s="408"/>
      <c r="K25" s="10">
        <f t="shared" si="1"/>
        <v>15</v>
      </c>
    </row>
    <row r="26" spans="1:11" ht="16.5" thickBot="1" x14ac:dyDescent="0.3">
      <c r="A26" s="57">
        <f>A25+1</f>
        <v>16</v>
      </c>
      <c r="B26" s="419"/>
      <c r="C26" s="57" t="s">
        <v>142</v>
      </c>
      <c r="D26" s="57" t="s">
        <v>142</v>
      </c>
      <c r="E26" s="57" t="s">
        <v>142</v>
      </c>
      <c r="F26" s="57" t="s">
        <v>142</v>
      </c>
      <c r="G26" s="57" t="s">
        <v>142</v>
      </c>
      <c r="H26" s="57" t="s">
        <v>142</v>
      </c>
      <c r="I26" s="57"/>
      <c r="J26" s="57"/>
      <c r="K26" s="57">
        <f>K25+1</f>
        <v>16</v>
      </c>
    </row>
    <row r="27" spans="1:11" ht="15.75" x14ac:dyDescent="0.25">
      <c r="A27" s="10">
        <f t="shared" si="0"/>
        <v>17</v>
      </c>
      <c r="B27" s="11"/>
      <c r="C27" s="75"/>
      <c r="D27" s="10"/>
      <c r="E27" s="10"/>
      <c r="F27" s="10"/>
      <c r="G27" s="10"/>
      <c r="H27" s="10"/>
      <c r="I27" s="10"/>
      <c r="J27" s="10"/>
      <c r="K27" s="10">
        <f t="shared" si="1"/>
        <v>17</v>
      </c>
    </row>
    <row r="28" spans="1:11" ht="15.75" x14ac:dyDescent="0.25">
      <c r="A28" s="10">
        <f t="shared" si="0"/>
        <v>18</v>
      </c>
      <c r="B28" s="11" t="str">
        <f>'Stmt BG - Page 3'!B28</f>
        <v>Retail TRBAA Rate ($/kWh) @ Changed Rate</v>
      </c>
      <c r="C28" s="384">
        <f>'Stmt BG - Page 3'!C28</f>
        <v>-3.0400000000000002E-3</v>
      </c>
      <c r="D28" s="384">
        <f>$C28</f>
        <v>-3.0400000000000002E-3</v>
      </c>
      <c r="E28" s="384">
        <f>$C28</f>
        <v>-3.0400000000000002E-3</v>
      </c>
      <c r="F28" s="384">
        <f>$C28</f>
        <v>-3.0400000000000002E-3</v>
      </c>
      <c r="G28" s="384">
        <f>$C28</f>
        <v>-3.0400000000000002E-3</v>
      </c>
      <c r="H28" s="384">
        <f>$C28</f>
        <v>-3.0400000000000002E-3</v>
      </c>
      <c r="I28" s="31"/>
      <c r="J28" s="402" t="str">
        <f>'Stmt BG - Page 3'!I28</f>
        <v>Statement BL (Retail); Page 1; Line 27</v>
      </c>
      <c r="K28" s="10">
        <f t="shared" si="1"/>
        <v>18</v>
      </c>
    </row>
    <row r="29" spans="1:11" ht="16.5" thickBot="1" x14ac:dyDescent="0.3">
      <c r="A29" s="57">
        <f>A28+1</f>
        <v>19</v>
      </c>
      <c r="B29" s="419"/>
      <c r="C29" s="58"/>
      <c r="D29" s="58"/>
      <c r="E29" s="58"/>
      <c r="F29" s="58"/>
      <c r="G29" s="58"/>
      <c r="H29" s="58"/>
      <c r="I29" s="58"/>
      <c r="J29" s="58"/>
      <c r="K29" s="57">
        <f>K28+1</f>
        <v>19</v>
      </c>
    </row>
    <row r="30" spans="1:11" ht="15.75" x14ac:dyDescent="0.25">
      <c r="A30" s="10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17"/>
      <c r="K30" s="10">
        <f t="shared" si="1"/>
        <v>20</v>
      </c>
    </row>
    <row r="31" spans="1:11" ht="34.5" customHeight="1" thickBot="1" x14ac:dyDescent="0.3">
      <c r="A31" s="57">
        <f t="shared" si="0"/>
        <v>21</v>
      </c>
      <c r="B31" s="419"/>
      <c r="C31" s="403" t="s">
        <v>145</v>
      </c>
      <c r="D31" s="403" t="s">
        <v>145</v>
      </c>
      <c r="E31" s="403" t="s">
        <v>145</v>
      </c>
      <c r="F31" s="403" t="s">
        <v>145</v>
      </c>
      <c r="G31" s="403" t="s">
        <v>145</v>
      </c>
      <c r="H31" s="403" t="s">
        <v>145</v>
      </c>
      <c r="I31" s="403" t="s">
        <v>145</v>
      </c>
      <c r="J31" s="57"/>
      <c r="K31" s="57">
        <f t="shared" si="1"/>
        <v>21</v>
      </c>
    </row>
    <row r="32" spans="1:11" ht="15.75" x14ac:dyDescent="0.25">
      <c r="A32" s="10">
        <f t="shared" si="0"/>
        <v>22</v>
      </c>
      <c r="B32" s="11"/>
      <c r="C32" s="10"/>
      <c r="D32" s="10"/>
      <c r="E32" s="10"/>
      <c r="F32" s="10"/>
      <c r="G32" s="10"/>
      <c r="H32" s="10"/>
      <c r="I32" s="10"/>
      <c r="J32" s="74"/>
      <c r="K32" s="10">
        <f t="shared" si="1"/>
        <v>22</v>
      </c>
    </row>
    <row r="33" spans="1:11" ht="15.75" x14ac:dyDescent="0.25">
      <c r="A33" s="10">
        <f t="shared" si="0"/>
        <v>23</v>
      </c>
      <c r="B33" s="11" t="s">
        <v>93</v>
      </c>
      <c r="C33" s="141">
        <f>C11*C$28</f>
        <v>-1335340.2852332417</v>
      </c>
      <c r="D33" s="141">
        <f t="shared" ref="D33:H33" si="3">D11*D$28</f>
        <v>-1785661.0097330224</v>
      </c>
      <c r="E33" s="141">
        <f t="shared" si="3"/>
        <v>-2016067.6888205798</v>
      </c>
      <c r="F33" s="141">
        <f t="shared" si="3"/>
        <v>-1478551.3132382999</v>
      </c>
      <c r="G33" s="141">
        <f t="shared" si="3"/>
        <v>-1271744.8060160056</v>
      </c>
      <c r="H33" s="141">
        <f t="shared" si="3"/>
        <v>-1490983.563825428</v>
      </c>
      <c r="I33" s="141">
        <f>SUM('Stmt BG - Page 3'!C33:H33)+SUM('Stmt BG - Page 4'!C33:H33)</f>
        <v>-16808904.061393581</v>
      </c>
      <c r="J33" s="26" t="s">
        <v>146</v>
      </c>
      <c r="K33" s="10">
        <f t="shared" si="1"/>
        <v>23</v>
      </c>
    </row>
    <row r="34" spans="1:11" ht="15.75" x14ac:dyDescent="0.25">
      <c r="A34" s="10">
        <f t="shared" si="0"/>
        <v>24</v>
      </c>
      <c r="B34" s="11"/>
      <c r="C34" s="398"/>
      <c r="D34" s="398"/>
      <c r="E34" s="398"/>
      <c r="F34" s="398"/>
      <c r="G34" s="398"/>
      <c r="H34" s="398"/>
      <c r="I34" s="398"/>
      <c r="J34" s="404"/>
      <c r="K34" s="10">
        <f t="shared" si="1"/>
        <v>24</v>
      </c>
    </row>
    <row r="35" spans="1:11" ht="15.75" x14ac:dyDescent="0.25">
      <c r="A35" s="10">
        <f t="shared" si="0"/>
        <v>25</v>
      </c>
      <c r="B35" s="11" t="s">
        <v>134</v>
      </c>
      <c r="C35" s="44">
        <f>C13*C$28</f>
        <v>-660663.65069642744</v>
      </c>
      <c r="D35" s="44">
        <f t="shared" ref="D35:H35" si="4">D13*D$28</f>
        <v>-696901.39337155141</v>
      </c>
      <c r="E35" s="44">
        <f t="shared" si="4"/>
        <v>-727526.61578373925</v>
      </c>
      <c r="F35" s="44">
        <f t="shared" si="4"/>
        <v>-642499.67344462103</v>
      </c>
      <c r="G35" s="44">
        <f t="shared" si="4"/>
        <v>-593759.30561272614</v>
      </c>
      <c r="H35" s="44">
        <f t="shared" si="4"/>
        <v>-590501.75366078259</v>
      </c>
      <c r="I35" s="44">
        <f>SUM('Stmt BG - Page 3'!C35:H35)+SUM('Stmt BG - Page 4'!C35:H35)</f>
        <v>-7423985.3894206081</v>
      </c>
      <c r="J35" s="26" t="s">
        <v>147</v>
      </c>
      <c r="K35" s="10">
        <f t="shared" si="1"/>
        <v>25</v>
      </c>
    </row>
    <row r="36" spans="1:11" ht="15.75" x14ac:dyDescent="0.25">
      <c r="A36" s="10">
        <f t="shared" si="0"/>
        <v>26</v>
      </c>
      <c r="B36" s="385"/>
      <c r="C36" s="393"/>
      <c r="D36" s="393"/>
      <c r="E36" s="393"/>
      <c r="F36" s="393"/>
      <c r="G36" s="393"/>
      <c r="H36" s="393"/>
      <c r="I36" s="44"/>
      <c r="J36" s="26"/>
      <c r="K36" s="10">
        <f t="shared" si="1"/>
        <v>26</v>
      </c>
    </row>
    <row r="37" spans="1:11" ht="15.75" x14ac:dyDescent="0.25">
      <c r="A37" s="10">
        <f t="shared" si="0"/>
        <v>27</v>
      </c>
      <c r="B37" s="17" t="s">
        <v>99</v>
      </c>
      <c r="C37" s="44">
        <f>C15*C$28</f>
        <v>-2451728.5568182804</v>
      </c>
      <c r="D37" s="44">
        <f t="shared" ref="D37:H37" si="5">D15*D$28</f>
        <v>-2535264.2958124918</v>
      </c>
      <c r="E37" s="44">
        <f t="shared" si="5"/>
        <v>-2635731.2944201813</v>
      </c>
      <c r="F37" s="44">
        <f t="shared" si="5"/>
        <v>-2421471.1864129188</v>
      </c>
      <c r="G37" s="44">
        <f t="shared" si="5"/>
        <v>-2213433.8902932326</v>
      </c>
      <c r="H37" s="44">
        <f t="shared" si="5"/>
        <v>-2321677.8552696095</v>
      </c>
      <c r="I37" s="44">
        <f>SUM('Stmt BG - Page 3'!C37:H37)+SUM('Stmt BG - Page 4'!C37:H37)</f>
        <v>-27306335.654923454</v>
      </c>
      <c r="J37" s="26" t="s">
        <v>148</v>
      </c>
      <c r="K37" s="10">
        <f t="shared" si="1"/>
        <v>27</v>
      </c>
    </row>
    <row r="38" spans="1:11" ht="15.75" x14ac:dyDescent="0.25">
      <c r="A38" s="10">
        <f t="shared" si="0"/>
        <v>28</v>
      </c>
      <c r="B38" s="11"/>
      <c r="C38" s="44"/>
      <c r="D38" s="44"/>
      <c r="E38" s="44"/>
      <c r="F38" s="44"/>
      <c r="G38" s="44"/>
      <c r="H38" s="44"/>
      <c r="I38" s="44"/>
      <c r="J38" s="26"/>
      <c r="K38" s="10">
        <f t="shared" si="1"/>
        <v>28</v>
      </c>
    </row>
    <row r="39" spans="1:11" ht="15.75" x14ac:dyDescent="0.25">
      <c r="A39" s="10">
        <f t="shared" si="0"/>
        <v>29</v>
      </c>
      <c r="B39" s="11" t="s">
        <v>102</v>
      </c>
      <c r="C39" s="44">
        <f>C17*C$28</f>
        <v>-53729.605774830226</v>
      </c>
      <c r="D39" s="44">
        <f t="shared" ref="D39:H39" si="6">D17*D$28</f>
        <v>-58826.828880785557</v>
      </c>
      <c r="E39" s="44">
        <f t="shared" si="6"/>
        <v>-57592.192402350942</v>
      </c>
      <c r="F39" s="44">
        <f t="shared" si="6"/>
        <v>-53150.682516845627</v>
      </c>
      <c r="G39" s="44">
        <f t="shared" si="6"/>
        <v>-43840.193528799457</v>
      </c>
      <c r="H39" s="44">
        <f t="shared" si="6"/>
        <v>-40386.947860565255</v>
      </c>
      <c r="I39" s="44">
        <f>SUM('Stmt BG - Page 3'!C39:H39)+SUM('Stmt BG - Page 4'!C39:H39)</f>
        <v>-499759.9332509815</v>
      </c>
      <c r="J39" s="26" t="s">
        <v>149</v>
      </c>
      <c r="K39" s="10">
        <f t="shared" si="1"/>
        <v>29</v>
      </c>
    </row>
    <row r="40" spans="1:11" ht="15.75" x14ac:dyDescent="0.25">
      <c r="A40" s="10">
        <f t="shared" si="0"/>
        <v>30</v>
      </c>
      <c r="B40" s="11"/>
      <c r="C40" s="44"/>
      <c r="D40" s="44"/>
      <c r="E40" s="44"/>
      <c r="F40" s="44"/>
      <c r="G40" s="44"/>
      <c r="H40" s="44"/>
      <c r="I40" s="44"/>
      <c r="J40" s="26"/>
      <c r="K40" s="10">
        <f t="shared" si="1"/>
        <v>30</v>
      </c>
    </row>
    <row r="41" spans="1:11" ht="15.75" x14ac:dyDescent="0.25">
      <c r="A41" s="10">
        <f t="shared" si="0"/>
        <v>31</v>
      </c>
      <c r="B41" s="11" t="s">
        <v>105</v>
      </c>
      <c r="C41" s="44">
        <f>C19*C$28</f>
        <v>-66346.497827709623</v>
      </c>
      <c r="D41" s="44">
        <f t="shared" ref="D41:H41" si="7">D19*D$28</f>
        <v>-66721.389286968057</v>
      </c>
      <c r="E41" s="44">
        <f t="shared" si="7"/>
        <v>-66447.806574093498</v>
      </c>
      <c r="F41" s="44">
        <f t="shared" si="7"/>
        <v>-64201.225762167232</v>
      </c>
      <c r="G41" s="44">
        <f t="shared" si="7"/>
        <v>-60056.497463225882</v>
      </c>
      <c r="H41" s="44">
        <f t="shared" si="7"/>
        <v>-55275.45504302052</v>
      </c>
      <c r="I41" s="44">
        <f>SUM('Stmt BG - Page 3'!C41:H41)+SUM('Stmt BG - Page 4'!C41:H41)</f>
        <v>-689715.44920456293</v>
      </c>
      <c r="J41" s="26" t="s">
        <v>150</v>
      </c>
      <c r="K41" s="10">
        <f t="shared" si="1"/>
        <v>31</v>
      </c>
    </row>
    <row r="42" spans="1:11" ht="15.75" x14ac:dyDescent="0.25">
      <c r="A42" s="10">
        <f t="shared" si="0"/>
        <v>32</v>
      </c>
      <c r="B42" s="11"/>
      <c r="C42" s="44"/>
      <c r="D42" s="44"/>
      <c r="E42" s="44"/>
      <c r="F42" s="44"/>
      <c r="G42" s="44"/>
      <c r="H42" s="44"/>
      <c r="I42" s="44"/>
      <c r="J42" s="26"/>
      <c r="K42" s="10">
        <f t="shared" si="1"/>
        <v>32</v>
      </c>
    </row>
    <row r="43" spans="1:11" ht="15.75" x14ac:dyDescent="0.25">
      <c r="A43" s="10">
        <f t="shared" si="0"/>
        <v>33</v>
      </c>
      <c r="B43" s="11" t="s">
        <v>139</v>
      </c>
      <c r="C43" s="51">
        <f>C21*C$28</f>
        <v>-20303.315833316967</v>
      </c>
      <c r="D43" s="51">
        <f t="shared" ref="D43:H43" si="8">D21*D$28</f>
        <v>-20789.891096637759</v>
      </c>
      <c r="E43" s="51">
        <f t="shared" si="8"/>
        <v>-20530.918181845413</v>
      </c>
      <c r="F43" s="51">
        <f t="shared" si="8"/>
        <v>-20619.25176024509</v>
      </c>
      <c r="G43" s="51">
        <f t="shared" si="8"/>
        <v>-21644.607323618759</v>
      </c>
      <c r="H43" s="51">
        <f t="shared" si="8"/>
        <v>-21702.284690900407</v>
      </c>
      <c r="I43" s="44">
        <f>SUM('Stmt BG - Page 3'!C43:H43)+SUM('Stmt BG - Page 4'!C43:H43)</f>
        <v>-250048.39008191449</v>
      </c>
      <c r="J43" s="26" t="s">
        <v>151</v>
      </c>
      <c r="K43" s="10">
        <f t="shared" si="1"/>
        <v>33</v>
      </c>
    </row>
    <row r="44" spans="1:11" ht="15.75" x14ac:dyDescent="0.25">
      <c r="A44" s="10">
        <f t="shared" si="0"/>
        <v>34</v>
      </c>
      <c r="B44" s="11"/>
      <c r="C44" s="475"/>
      <c r="D44" s="475"/>
      <c r="E44" s="475"/>
      <c r="F44" s="475"/>
      <c r="G44" s="475"/>
      <c r="H44" s="475"/>
      <c r="I44" s="475"/>
      <c r="J44" s="26"/>
      <c r="K44" s="10">
        <f t="shared" si="1"/>
        <v>34</v>
      </c>
    </row>
    <row r="45" spans="1:11" ht="15.75" x14ac:dyDescent="0.25">
      <c r="A45" s="10">
        <f t="shared" si="0"/>
        <v>35</v>
      </c>
      <c r="B45" s="11" t="s">
        <v>161</v>
      </c>
      <c r="C45" s="513">
        <f>SUM(C33:C43)</f>
        <v>-4588111.9121838063</v>
      </c>
      <c r="D45" s="513">
        <f t="shared" ref="D45:I45" si="9">SUM(D33:D43)</f>
        <v>-5164164.8081814572</v>
      </c>
      <c r="E45" s="513">
        <f t="shared" si="9"/>
        <v>-5523896.5161827896</v>
      </c>
      <c r="F45" s="513">
        <f t="shared" si="9"/>
        <v>-4680493.3331350973</v>
      </c>
      <c r="G45" s="513">
        <f t="shared" si="9"/>
        <v>-4204479.3002376081</v>
      </c>
      <c r="H45" s="513">
        <f t="shared" si="9"/>
        <v>-4520527.8603503071</v>
      </c>
      <c r="I45" s="513">
        <f t="shared" si="9"/>
        <v>-52978748.878275096</v>
      </c>
      <c r="J45" s="405" t="s">
        <v>152</v>
      </c>
      <c r="K45" s="10">
        <f t="shared" si="1"/>
        <v>35</v>
      </c>
    </row>
    <row r="46" spans="1:11" ht="16.5" thickBot="1" x14ac:dyDescent="0.3">
      <c r="A46" s="57"/>
      <c r="B46" s="57"/>
      <c r="C46" s="823"/>
      <c r="D46" s="58"/>
      <c r="E46" s="58"/>
      <c r="F46" s="58"/>
      <c r="G46" s="58"/>
      <c r="H46" s="58"/>
      <c r="I46" s="58"/>
      <c r="J46" s="58"/>
      <c r="K46" s="57"/>
    </row>
    <row r="47" spans="1:11" ht="15.75" x14ac:dyDescent="0.25">
      <c r="A47" s="37"/>
      <c r="B47" s="390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8.75" x14ac:dyDescent="0.25">
      <c r="A48" s="69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ht="15.75" x14ac:dyDescent="0.25">
      <c r="A49" s="824"/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0" spans="1:11" ht="15.75" x14ac:dyDescent="0.25">
      <c r="A50" s="824"/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ht="15.75" x14ac:dyDescent="0.25">
      <c r="A51" s="37"/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15.75" x14ac:dyDescent="0.25">
      <c r="A52" s="37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5.75" x14ac:dyDescent="0.25">
      <c r="A53" s="37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5.75" x14ac:dyDescent="0.25">
      <c r="A54" s="37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5.75" x14ac:dyDescent="0.25">
      <c r="A55" s="37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5.75" x14ac:dyDescent="0.25">
      <c r="A56" s="37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5.75" x14ac:dyDescent="0.25">
      <c r="A57" s="37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5.75" x14ac:dyDescent="0.25">
      <c r="A58" s="37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5.75" x14ac:dyDescent="0.25">
      <c r="A59" s="37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5.75" x14ac:dyDescent="0.25">
      <c r="A60" s="37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5.75" x14ac:dyDescent="0.25">
      <c r="A61" s="37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5.75" x14ac:dyDescent="0.25">
      <c r="A62" s="37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5.75" x14ac:dyDescent="0.25">
      <c r="A63" s="37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5.75" x14ac:dyDescent="0.25">
      <c r="A64" s="37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5.75" x14ac:dyDescent="0.25">
      <c r="A65" s="37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5.75" x14ac:dyDescent="0.25">
      <c r="A66" s="37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5.75" x14ac:dyDescent="0.25">
      <c r="A67" s="37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5.75" x14ac:dyDescent="0.25">
      <c r="A68" s="37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5.75" x14ac:dyDescent="0.25">
      <c r="A69" s="37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5.75" x14ac:dyDescent="0.25">
      <c r="A70" s="37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5.75" x14ac:dyDescent="0.25">
      <c r="A71" s="37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5.75" x14ac:dyDescent="0.25">
      <c r="A72" s="37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5.75" x14ac:dyDescent="0.25">
      <c r="A73" s="37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5.75" x14ac:dyDescent="0.25">
      <c r="A74" s="37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5.75" x14ac:dyDescent="0.25">
      <c r="A75" s="37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5.75" x14ac:dyDescent="0.25">
      <c r="A76" s="37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5.75" x14ac:dyDescent="0.25">
      <c r="A77" s="37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5.75" x14ac:dyDescent="0.25">
      <c r="A78" s="37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5.75" x14ac:dyDescent="0.25">
      <c r="A79" s="37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5.75" x14ac:dyDescent="0.25">
      <c r="A80" s="37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5.75" x14ac:dyDescent="0.25">
      <c r="A81" s="37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5.75" x14ac:dyDescent="0.25">
      <c r="A82" s="37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5.75" x14ac:dyDescent="0.25">
      <c r="A83" s="37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5.75" x14ac:dyDescent="0.25">
      <c r="A84" s="37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5.75" x14ac:dyDescent="0.25">
      <c r="A85" s="37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5.75" x14ac:dyDescent="0.25">
      <c r="A86" s="37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5.75" x14ac:dyDescent="0.25">
      <c r="A87" s="37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5.75" x14ac:dyDescent="0.25">
      <c r="A88" s="37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5.75" x14ac:dyDescent="0.25">
      <c r="A89" s="37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5.75" x14ac:dyDescent="0.25">
      <c r="A90" s="37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5.75" x14ac:dyDescent="0.25">
      <c r="A91" s="37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5.75" x14ac:dyDescent="0.25">
      <c r="A92" s="37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5.75" x14ac:dyDescent="0.25">
      <c r="A93" s="37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5.75" x14ac:dyDescent="0.25">
      <c r="A94" s="37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5.75" x14ac:dyDescent="0.25">
      <c r="A95" s="37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5.75" x14ac:dyDescent="0.25">
      <c r="A96" s="37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5.75" x14ac:dyDescent="0.25">
      <c r="A97" s="37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5.75" x14ac:dyDescent="0.25">
      <c r="A98" s="37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5.75" x14ac:dyDescent="0.25">
      <c r="A99" s="37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5.75" x14ac:dyDescent="0.25">
      <c r="A100" s="37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ht="15.75" x14ac:dyDescent="0.25">
      <c r="A101" s="37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ht="15.75" x14ac:dyDescent="0.25">
      <c r="A102" s="37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ht="15.75" x14ac:dyDescent="0.25">
      <c r="A103" s="37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ht="15.75" x14ac:dyDescent="0.25">
      <c r="A104" s="37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ht="15.75" x14ac:dyDescent="0.25">
      <c r="A105" s="37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ht="15.75" x14ac:dyDescent="0.25">
      <c r="A106" s="37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ht="15.75" x14ac:dyDescent="0.25">
      <c r="A107" s="37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ht="15.75" x14ac:dyDescent="0.25">
      <c r="A108" s="37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ht="15.75" x14ac:dyDescent="0.25">
      <c r="A109" s="37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ht="15.75" x14ac:dyDescent="0.25">
      <c r="A110" s="37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ht="15.75" x14ac:dyDescent="0.25">
      <c r="A111" s="37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2">
      <c r="A112" s="824"/>
    </row>
    <row r="113" spans="1:1" x14ac:dyDescent="0.2">
      <c r="A113" s="824"/>
    </row>
    <row r="114" spans="1:1" x14ac:dyDescent="0.2">
      <c r="A114" s="824"/>
    </row>
    <row r="115" spans="1:1" x14ac:dyDescent="0.2">
      <c r="A115" s="824"/>
    </row>
    <row r="116" spans="1:1" x14ac:dyDescent="0.2">
      <c r="A116" s="824"/>
    </row>
    <row r="117" spans="1:1" x14ac:dyDescent="0.2">
      <c r="A117" s="824"/>
    </row>
    <row r="118" spans="1:1" x14ac:dyDescent="0.2">
      <c r="A118" s="824"/>
    </row>
    <row r="119" spans="1:1" x14ac:dyDescent="0.2">
      <c r="A119" s="824"/>
    </row>
    <row r="120" spans="1:1" x14ac:dyDescent="0.2">
      <c r="A120" s="824"/>
    </row>
    <row r="121" spans="1:1" x14ac:dyDescent="0.2">
      <c r="A121" s="824"/>
    </row>
    <row r="122" spans="1:1" x14ac:dyDescent="0.2">
      <c r="A122" s="824"/>
    </row>
  </sheetData>
  <printOptions horizontalCentered="1"/>
  <pageMargins left="0.25" right="0.25" top="0.5" bottom="0.5" header="0.25" footer="0.25"/>
  <pageSetup scale="65" orientation="landscape" r:id="rId1"/>
  <headerFooter alignWithMargins="0">
    <oddFooter>&amp;L&amp;"Times New Roman,Regular"&amp;12&amp;F&amp;C&amp;"Times New Roman,Regular"&amp;12Page 4 of 4&amp;R&amp;"Times New Roman,Regular"&amp;12&amp;A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d7ba8959fefadf86726ddb19c9301c0e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5b34c453d978ff46f18b1e35f620578b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D883E1-D7F1-4B52-B5CA-7803708D19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AA2D36-846A-4624-BD6E-D944470D0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6297B1-FE97-4212-A05A-D269667DDA0A}">
  <ds:schemaRefs>
    <ds:schemaRef ds:uri="d3533485-01ac-4c85-a144-d07c02817ce0"/>
    <ds:schemaRef ds:uri="http://www.w3.org/XML/1998/namespace"/>
    <ds:schemaRef ds:uri="http://purl.org/dc/terms/"/>
    <ds:schemaRef ds:uri="6fc4548d-ff52-42f9-a254-3bffe5157158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14</vt:i4>
      </vt:variant>
    </vt:vector>
  </HeadingPairs>
  <TitlesOfParts>
    <vt:vector size="44" baseType="lpstr">
      <vt:lpstr>Stmnt BD - Recorded KWH</vt:lpstr>
      <vt:lpstr>Stmnt BD - Forecast KWH</vt:lpstr>
      <vt:lpstr>Stmnt BD-Forecast MWH@Transm.</vt:lpstr>
      <vt:lpstr>Stmt BD-Forecast Pump Storage</vt:lpstr>
      <vt:lpstr>Stmt BD-Pump Load True Up Adj</vt:lpstr>
      <vt:lpstr>Stmt BG - Page 1</vt:lpstr>
      <vt:lpstr>Stmt BG - Page 2</vt:lpstr>
      <vt:lpstr>Stmt BG - Page 3</vt:lpstr>
      <vt:lpstr>Stmt BG - Page 4</vt:lpstr>
      <vt:lpstr>Stmt BH - Page 1</vt:lpstr>
      <vt:lpstr>Stmt BH - Page 2</vt:lpstr>
      <vt:lpstr>Stmt BH - Page 3</vt:lpstr>
      <vt:lpstr>Stmnt BK1 - TRBAA</vt:lpstr>
      <vt:lpstr>Stmnt BK2 - TRBAA</vt:lpstr>
      <vt:lpstr>Stmnt BL (Retail) - TRBAA</vt:lpstr>
      <vt:lpstr>Stmnt BL - CAISO WHOLESALE</vt:lpstr>
      <vt:lpstr>WP 1.1 Recorded Sales</vt:lpstr>
      <vt:lpstr>WP 1.2 Forecast Sales</vt:lpstr>
      <vt:lpstr>WP 2 Allocation of TRBAA</vt:lpstr>
      <vt:lpstr>WP 3 Standby Revenues</vt:lpstr>
      <vt:lpstr>WP 4 Monthly TRBAA </vt:lpstr>
      <vt:lpstr>WP 4 Footnotes</vt:lpstr>
      <vt:lpstr>WP 5 CAISO Charges</vt:lpstr>
      <vt:lpstr>WP 6 HV LV Alloc Summary</vt:lpstr>
      <vt:lpstr>WP 7 Wheeling Revenues</vt:lpstr>
      <vt:lpstr>WP 8 CT4575</vt:lpstr>
      <vt:lpstr>WP 9 ETC Cost Diffs</vt:lpstr>
      <vt:lpstr>WP 10 ETC Costs</vt:lpstr>
      <vt:lpstr>WP 11 Other PTO Forecast</vt:lpstr>
      <vt:lpstr>WP 12 PTO</vt:lpstr>
      <vt:lpstr>'Stmt BG - Page 2'!Print_Area</vt:lpstr>
      <vt:lpstr>'Stmt BH - Page 1'!Print_Area</vt:lpstr>
      <vt:lpstr>'Stmt BH - Page 2'!Print_Area</vt:lpstr>
      <vt:lpstr>'Stmt BH - Page 3'!Print_Area</vt:lpstr>
      <vt:lpstr>'WP 1.1 Recorded Sales'!Print_Area</vt:lpstr>
      <vt:lpstr>'WP 1.2 Forecast Sales'!Print_Area</vt:lpstr>
      <vt:lpstr>'WP 10 ETC Costs'!Print_Area</vt:lpstr>
      <vt:lpstr>'WP 3 Standby Revenues'!Print_Area</vt:lpstr>
      <vt:lpstr>'WP 4 Monthly TRBAA '!Print_Area</vt:lpstr>
      <vt:lpstr>'WP 5 CAISO Charges'!Print_Area</vt:lpstr>
      <vt:lpstr>'WP 6 HV LV Alloc Summary'!Print_Area</vt:lpstr>
      <vt:lpstr>'WP 10 ETC Costs'!Print_Titles</vt:lpstr>
      <vt:lpstr>'WP 4 Monthly TRBAA '!Print_Titles</vt:lpstr>
      <vt:lpstr>'WP 5 CAISO Charges'!Print_Titles</vt:lpstr>
    </vt:vector>
  </TitlesOfParts>
  <Manager/>
  <Company>Southern California Edison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Standard Configuration</dc:creator>
  <cp:keywords/>
  <dc:description/>
  <cp:lastModifiedBy>Pham, Jenny L.</cp:lastModifiedBy>
  <cp:revision/>
  <cp:lastPrinted>2025-10-24T20:36:28Z</cp:lastPrinted>
  <dcterms:created xsi:type="dcterms:W3CDTF">2001-12-04T15:42:58Z</dcterms:created>
  <dcterms:modified xsi:type="dcterms:W3CDTF">2025-10-28T21:08:51Z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2016 TRBAA Filing.xlsx</vt:lpwstr>
  </property>
  <property fmtid="{D5CDD505-2E9C-101B-9397-08002B2CF9AE}" pid="3" name="LINKTEK-ID-FILE">
    <vt:lpwstr>0198-58FE-34DB-7A1C</vt:lpwstr>
  </property>
  <property fmtid="{D5CDD505-2E9C-101B-9397-08002B2CF9AE}" pid="4" name="LINKTEK-ID-LINK=1">
    <vt:lpwstr>0199-2CFC-E4E6-C374|/2018/TO5-Cycle 1 Formula Rate Filing/B Statements/BD/TO5 C1 Statement BD.xlsx</vt:lpwstr>
  </property>
  <property fmtid="{D5CDD505-2E9C-101B-9397-08002B2CF9AE}" pid="5" name="LINKTEK-ID-LINK=2">
    <vt:lpwstr>011A-09EA-FF42-DCE9|2019 TRBAA Workpapers.xlsx</vt:lpwstr>
  </property>
  <property fmtid="{D5CDD505-2E9C-101B-9397-08002B2CF9AE}" pid="6" name="ContentTypeId">
    <vt:lpwstr>0x010100B2C66BA30F6EC541B9CEB3D9AC6A7FD3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  <property fmtid="{D5CDD505-2E9C-101B-9397-08002B2CF9AE}" pid="9" name="MediaServiceImageTags">
    <vt:lpwstr/>
  </property>
</Properties>
</file>