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TRBAA, TACBAA, RSBA Filings in 2025 for 2026/TACBAA/Filing Workpapers/"/>
    </mc:Choice>
  </mc:AlternateContent>
  <xr:revisionPtr revIDLastSave="461" documentId="13_ncr:1_{0FD0513A-9601-473C-8E59-CAB0F4101D52}" xr6:coauthVersionLast="47" xr6:coauthVersionMax="47" xr10:uidLastSave="{666857BF-0808-4E5E-BF09-98A783BD7C21}"/>
  <bookViews>
    <workbookView xWindow="4200" yWindow="1095" windowWidth="24255" windowHeight="14175" tabRatio="901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5 Forecast" sheetId="54" r:id="rId18"/>
    <sheet name="WP 3.2 2025 Forecast" sheetId="64" r:id="rId19"/>
    <sheet name="WP 4.1 CAISO TAC Calculation" sheetId="49" r:id="rId20"/>
    <sheet name="WP 5.1 CAISO PTO HVTRR Input" sheetId="50" r:id="rId21"/>
  </sheets>
  <definedNames>
    <definedName name="_Fill" localSheetId="4" hidden="1">#REF!</definedName>
    <definedName name="_Fill" localSheetId="9" hidden="1">#REF!</definedName>
    <definedName name="_Fill" localSheetId="12" hidden="1">#REF!</definedName>
    <definedName name="_Fill" localSheetId="16" hidden="1">#REF!</definedName>
    <definedName name="_Fill" hidden="1">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#REF!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#REF!</definedName>
    <definedName name="jan_junMONTH" localSheetId="9">#REF!</definedName>
    <definedName name="jan_junMONTH" localSheetId="12">#REF!</definedName>
    <definedName name="jan_junMONTH" localSheetId="16">#REF!</definedName>
    <definedName name="jan_junMONTH">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#REF!</definedName>
    <definedName name="newdata" localSheetId="9">#REF!</definedName>
    <definedName name="newdata" localSheetId="12">#REF!</definedName>
    <definedName name="newdata" localSheetId="16">#REF!</definedName>
    <definedName name="newdata">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2'!$A$2:$J$50</definedName>
    <definedName name="_xlnm.Print_Area" localSheetId="7">'Stmt BG - Page 3'!$A$2:$J$50</definedName>
    <definedName name="_xlnm.Print_Area" localSheetId="8">'Stmt BG - Page 4'!$A$2:$K$50</definedName>
    <definedName name="_xlnm.Print_Area" localSheetId="9">'Stmt BH - Page 1'!$A$2:$J$50</definedName>
    <definedName name="_xlnm.Print_Area" localSheetId="10">'Stmt BH - Page 2'!$A$2:$J$50</definedName>
    <definedName name="_xlnm.Print_Area" localSheetId="11">'Stmt BH - Page 3'!$A$2:$K$50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KWH'!$A$2:$P$49</definedName>
    <definedName name="_xlnm.Print_Area" localSheetId="16">'WP 2.1 Monthly TACBAA Balance'!$C$5:$Q$42</definedName>
    <definedName name="_xlnm.Print_Area" localSheetId="17">'WP 3.1 Nov &amp; Dec 25 Forecast'!$A$2:$G$45</definedName>
    <definedName name="_xlnm.Print_Area" localSheetId="19">'WP 4.1 CAISO TAC Calculation'!$A$2:$I$34</definedName>
    <definedName name="_xlnm.Print_Area" localSheetId="20">'WP 5.1 CAISO PTO HVTRR Input'!$B$2:$F$256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#REF!</definedName>
    <definedName name="proratedata" localSheetId="9">#REF!</definedName>
    <definedName name="proratedata" localSheetId="12">#REF!</definedName>
    <definedName name="proratedata" localSheetId="16">#REF!</definedName>
    <definedName name="proratedat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9" i="53" l="1"/>
  <c r="M39" i="53"/>
  <c r="L39" i="53"/>
  <c r="K39" i="53"/>
  <c r="J39" i="53"/>
  <c r="I39" i="53"/>
  <c r="H39" i="53"/>
  <c r="F39" i="53"/>
  <c r="C39" i="53"/>
  <c r="F38" i="53"/>
  <c r="E39" i="53"/>
  <c r="E38" i="53"/>
  <c r="H33" i="49" l="1"/>
  <c r="G33" i="49"/>
  <c r="D33" i="49"/>
  <c r="E32" i="49"/>
  <c r="F32" i="49"/>
  <c r="G32" i="49" s="1"/>
  <c r="H32" i="49" s="1"/>
  <c r="D32" i="49"/>
  <c r="C33" i="49"/>
  <c r="C32" i="49"/>
  <c r="I32" i="49"/>
  <c r="I33" i="49"/>
  <c r="I34" i="49"/>
  <c r="A32" i="49"/>
  <c r="A33" i="49" s="1"/>
  <c r="A34" i="49" s="1"/>
  <c r="D253" i="50"/>
  <c r="E250" i="50"/>
  <c r="E249" i="50"/>
  <c r="E248" i="50"/>
  <c r="D250" i="50"/>
  <c r="D249" i="50"/>
  <c r="D248" i="50"/>
  <c r="F244" i="50"/>
  <c r="F242" i="50"/>
  <c r="F240" i="50"/>
  <c r="F239" i="50"/>
  <c r="F238" i="50"/>
  <c r="F237" i="50"/>
  <c r="E244" i="50"/>
  <c r="D244" i="50"/>
  <c r="E240" i="50"/>
  <c r="D240" i="50"/>
  <c r="D31" i="49"/>
  <c r="D30" i="49"/>
  <c r="F232" i="50"/>
  <c r="E230" i="50"/>
  <c r="E234" i="50" s="1"/>
  <c r="D230" i="50"/>
  <c r="F230" i="50" s="1"/>
  <c r="F229" i="50"/>
  <c r="F228" i="50"/>
  <c r="F227" i="50"/>
  <c r="F222" i="50"/>
  <c r="E220" i="50"/>
  <c r="E224" i="50" s="1"/>
  <c r="D220" i="50"/>
  <c r="D224" i="50" s="1"/>
  <c r="F219" i="50"/>
  <c r="F218" i="50"/>
  <c r="F217" i="50"/>
  <c r="I47" i="53"/>
  <c r="D234" i="50" l="1"/>
  <c r="F234" i="50"/>
  <c r="C30" i="49"/>
  <c r="E30" i="49" s="1"/>
  <c r="C31" i="49"/>
  <c r="E31" i="49" s="1"/>
  <c r="F220" i="50"/>
  <c r="F224" i="50" s="1"/>
  <c r="G39" i="53"/>
  <c r="D39" i="53"/>
  <c r="D40" i="53" s="1"/>
  <c r="P34" i="40"/>
  <c r="P35" i="40"/>
  <c r="D34" i="40"/>
  <c r="E34" i="40"/>
  <c r="F34" i="40"/>
  <c r="G34" i="40"/>
  <c r="H34" i="40"/>
  <c r="I34" i="40"/>
  <c r="J34" i="40"/>
  <c r="K34" i="40"/>
  <c r="L34" i="40"/>
  <c r="M34" i="40"/>
  <c r="N34" i="40"/>
  <c r="C34" i="40"/>
  <c r="A34" i="40"/>
  <c r="A35" i="40"/>
  <c r="A36" i="40"/>
  <c r="O9" i="40"/>
  <c r="D21" i="40"/>
  <c r="D23" i="40" s="1"/>
  <c r="E21" i="40"/>
  <c r="F21" i="40"/>
  <c r="F46" i="40" s="1"/>
  <c r="G21" i="40"/>
  <c r="G46" i="40" s="1"/>
  <c r="G48" i="40" s="1"/>
  <c r="G33" i="40" s="1"/>
  <c r="H21" i="40"/>
  <c r="H23" i="40" s="1"/>
  <c r="I21" i="40"/>
  <c r="I46" i="40" s="1"/>
  <c r="I48" i="40" s="1"/>
  <c r="I33" i="40" s="1"/>
  <c r="J21" i="40"/>
  <c r="J46" i="40" s="1"/>
  <c r="K21" i="40"/>
  <c r="K46" i="40" s="1"/>
  <c r="L21" i="40"/>
  <c r="L46" i="40" s="1"/>
  <c r="M21" i="40"/>
  <c r="M46" i="40" s="1"/>
  <c r="N21" i="40"/>
  <c r="N23" i="40" s="1"/>
  <c r="C21" i="40"/>
  <c r="C23" i="40" s="1"/>
  <c r="D34" i="64"/>
  <c r="E34" i="64"/>
  <c r="F34" i="64"/>
  <c r="G34" i="64"/>
  <c r="H34" i="64"/>
  <c r="I34" i="64"/>
  <c r="J34" i="64"/>
  <c r="K34" i="64"/>
  <c r="L34" i="64"/>
  <c r="M34" i="64"/>
  <c r="N34" i="64"/>
  <c r="C34" i="64"/>
  <c r="Q34" i="64"/>
  <c r="Q35" i="64"/>
  <c r="A34" i="64"/>
  <c r="A35" i="64"/>
  <c r="O9" i="64"/>
  <c r="F10" i="53"/>
  <c r="D22" i="33"/>
  <c r="B22" i="33"/>
  <c r="D10" i="57"/>
  <c r="K18" i="63"/>
  <c r="K19" i="63"/>
  <c r="K20" i="63"/>
  <c r="K21" i="63"/>
  <c r="K22" i="63"/>
  <c r="K23" i="63"/>
  <c r="K24" i="63"/>
  <c r="K25" i="63"/>
  <c r="K26" i="63"/>
  <c r="K27" i="63"/>
  <c r="K28" i="63"/>
  <c r="K29" i="63"/>
  <c r="K30" i="63"/>
  <c r="K31" i="63"/>
  <c r="K32" i="63"/>
  <c r="K33" i="63"/>
  <c r="K34" i="63"/>
  <c r="K35" i="63"/>
  <c r="K36" i="63"/>
  <c r="K37" i="63"/>
  <c r="K38" i="63"/>
  <c r="K39" i="63"/>
  <c r="K40" i="63"/>
  <c r="K41" i="63"/>
  <c r="K42" i="63"/>
  <c r="K43" i="63"/>
  <c r="K44" i="63"/>
  <c r="K45" i="63"/>
  <c r="K46" i="63"/>
  <c r="K47" i="63"/>
  <c r="K48" i="63"/>
  <c r="K49" i="63"/>
  <c r="K17" i="63"/>
  <c r="A18" i="63"/>
  <c r="A19" i="63"/>
  <c r="A20" i="63"/>
  <c r="A21" i="63"/>
  <c r="A22" i="63"/>
  <c r="A23" i="63"/>
  <c r="A24" i="63"/>
  <c r="A25" i="63"/>
  <c r="A26" i="63"/>
  <c r="A27" i="63"/>
  <c r="A28" i="63"/>
  <c r="A29" i="63"/>
  <c r="A30" i="63"/>
  <c r="A31" i="63"/>
  <c r="A32" i="63"/>
  <c r="A33" i="63"/>
  <c r="A34" i="63"/>
  <c r="A35" i="63"/>
  <c r="A36" i="63"/>
  <c r="A37" i="63"/>
  <c r="A38" i="63"/>
  <c r="A39" i="63"/>
  <c r="A40" i="63"/>
  <c r="A41" i="63"/>
  <c r="A42" i="63"/>
  <c r="A43" i="63"/>
  <c r="A44" i="63"/>
  <c r="A45" i="63"/>
  <c r="A46" i="63"/>
  <c r="A47" i="63"/>
  <c r="A48" i="63"/>
  <c r="A49" i="63"/>
  <c r="A17" i="63"/>
  <c r="I22" i="63"/>
  <c r="I20" i="63"/>
  <c r="I18" i="63"/>
  <c r="H17" i="62"/>
  <c r="G17" i="62"/>
  <c r="F17" i="62"/>
  <c r="E17" i="62"/>
  <c r="D17" i="62"/>
  <c r="C17" i="62"/>
  <c r="C41" i="62" s="1"/>
  <c r="J18" i="62"/>
  <c r="J19" i="62"/>
  <c r="J20" i="62"/>
  <c r="J21" i="62"/>
  <c r="J22" i="62"/>
  <c r="J23" i="62"/>
  <c r="J24" i="62"/>
  <c r="J25" i="62"/>
  <c r="J26" i="62"/>
  <c r="J27" i="62"/>
  <c r="J28" i="62"/>
  <c r="J29" i="62"/>
  <c r="J30" i="62"/>
  <c r="J31" i="62"/>
  <c r="J32" i="62"/>
  <c r="J33" i="62"/>
  <c r="J34" i="62"/>
  <c r="J35" i="62"/>
  <c r="J36" i="62"/>
  <c r="J37" i="62"/>
  <c r="J38" i="62"/>
  <c r="J39" i="62"/>
  <c r="J40" i="62"/>
  <c r="J41" i="62"/>
  <c r="J42" i="62"/>
  <c r="J43" i="62"/>
  <c r="J44" i="62"/>
  <c r="J45" i="62"/>
  <c r="J46" i="62"/>
  <c r="J47" i="62"/>
  <c r="J48" i="62"/>
  <c r="J49" i="62"/>
  <c r="J17" i="62"/>
  <c r="A18" i="62"/>
  <c r="A19" i="62"/>
  <c r="A20" i="62"/>
  <c r="A21" i="62"/>
  <c r="A22" i="62"/>
  <c r="A23" i="62"/>
  <c r="A24" i="62"/>
  <c r="A25" i="62"/>
  <c r="A26" i="62"/>
  <c r="A27" i="62"/>
  <c r="A28" i="62"/>
  <c r="A29" i="62"/>
  <c r="A30" i="62"/>
  <c r="A31" i="62"/>
  <c r="A32" i="62"/>
  <c r="A33" i="62"/>
  <c r="A34" i="62"/>
  <c r="A35" i="62"/>
  <c r="A36" i="62"/>
  <c r="A37" i="62"/>
  <c r="A38" i="62"/>
  <c r="A39" i="62"/>
  <c r="A40" i="62"/>
  <c r="A41" i="62"/>
  <c r="A42" i="62"/>
  <c r="A43" i="62"/>
  <c r="A44" i="62"/>
  <c r="A45" i="62"/>
  <c r="A46" i="62"/>
  <c r="A47" i="62"/>
  <c r="A48" i="62"/>
  <c r="A49" i="62"/>
  <c r="A17" i="62"/>
  <c r="H17" i="63"/>
  <c r="G17" i="63"/>
  <c r="F17" i="63"/>
  <c r="E17" i="63"/>
  <c r="D17" i="63"/>
  <c r="C17" i="63"/>
  <c r="J37" i="68"/>
  <c r="J38" i="68"/>
  <c r="J39" i="68"/>
  <c r="J40" i="68"/>
  <c r="J41" i="68"/>
  <c r="J42" i="68"/>
  <c r="J43" i="68"/>
  <c r="J44" i="68"/>
  <c r="J36" i="68"/>
  <c r="A37" i="68"/>
  <c r="A38" i="68"/>
  <c r="A39" i="68"/>
  <c r="A40" i="68"/>
  <c r="A41" i="68"/>
  <c r="A42" i="68"/>
  <c r="A43" i="68"/>
  <c r="A44" i="68"/>
  <c r="A36" i="68"/>
  <c r="J17" i="68"/>
  <c r="J18" i="68"/>
  <c r="J19" i="68"/>
  <c r="J20" i="68"/>
  <c r="J21" i="68"/>
  <c r="J22" i="68"/>
  <c r="J23" i="68"/>
  <c r="J24" i="68"/>
  <c r="J16" i="68"/>
  <c r="A17" i="68"/>
  <c r="A18" i="68"/>
  <c r="A19" i="68"/>
  <c r="A20" i="68"/>
  <c r="A21" i="68"/>
  <c r="A22" i="68"/>
  <c r="A23" i="68"/>
  <c r="A24" i="68"/>
  <c r="A16" i="68"/>
  <c r="J37" i="67"/>
  <c r="J38" i="67"/>
  <c r="J39" i="67"/>
  <c r="J40" i="67"/>
  <c r="J41" i="67"/>
  <c r="J42" i="67"/>
  <c r="J43" i="67"/>
  <c r="J44" i="67"/>
  <c r="J36" i="67"/>
  <c r="A37" i="67"/>
  <c r="A38" i="67"/>
  <c r="A39" i="67"/>
  <c r="A40" i="67"/>
  <c r="A41" i="67"/>
  <c r="A42" i="67"/>
  <c r="A43" i="67"/>
  <c r="A44" i="67"/>
  <c r="A36" i="67"/>
  <c r="J17" i="67"/>
  <c r="J18" i="67"/>
  <c r="J19" i="67"/>
  <c r="J20" i="67"/>
  <c r="J21" i="67"/>
  <c r="J22" i="67"/>
  <c r="J23" i="67"/>
  <c r="J24" i="67"/>
  <c r="J16" i="67"/>
  <c r="A17" i="67"/>
  <c r="A18" i="67"/>
  <c r="A19" i="67"/>
  <c r="A20" i="67"/>
  <c r="A21" i="67"/>
  <c r="A22" i="67"/>
  <c r="A23" i="67"/>
  <c r="A24" i="67"/>
  <c r="A16" i="67"/>
  <c r="K18" i="60"/>
  <c r="K19" i="60"/>
  <c r="K20" i="60"/>
  <c r="K21" i="60"/>
  <c r="K22" i="60"/>
  <c r="K23" i="60"/>
  <c r="K24" i="60"/>
  <c r="K25" i="60"/>
  <c r="K26" i="60"/>
  <c r="K27" i="60"/>
  <c r="K28" i="60"/>
  <c r="K29" i="60"/>
  <c r="K30" i="60"/>
  <c r="K31" i="60"/>
  <c r="K32" i="60"/>
  <c r="K33" i="60"/>
  <c r="K34" i="60"/>
  <c r="K35" i="60"/>
  <c r="K36" i="60"/>
  <c r="K37" i="60"/>
  <c r="K38" i="60"/>
  <c r="K39" i="60"/>
  <c r="K40" i="60"/>
  <c r="K41" i="60"/>
  <c r="K42" i="60"/>
  <c r="K43" i="60"/>
  <c r="K44" i="60"/>
  <c r="K45" i="60"/>
  <c r="K46" i="60"/>
  <c r="K47" i="60"/>
  <c r="K48" i="60"/>
  <c r="K49" i="60"/>
  <c r="K17" i="60"/>
  <c r="A18" i="60"/>
  <c r="A19" i="60"/>
  <c r="A20" i="60"/>
  <c r="A21" i="60"/>
  <c r="A22" i="60"/>
  <c r="A23" i="60"/>
  <c r="A24" i="60"/>
  <c r="A25" i="60"/>
  <c r="A26" i="60"/>
  <c r="A27" i="60"/>
  <c r="A28" i="60"/>
  <c r="A29" i="60"/>
  <c r="A30" i="60"/>
  <c r="A31" i="60"/>
  <c r="A32" i="60"/>
  <c r="A33" i="60"/>
  <c r="A34" i="60"/>
  <c r="A35" i="60"/>
  <c r="A36" i="60"/>
  <c r="A37" i="60"/>
  <c r="A38" i="60"/>
  <c r="A39" i="60"/>
  <c r="A40" i="60"/>
  <c r="A41" i="60"/>
  <c r="A42" i="60"/>
  <c r="A43" i="60"/>
  <c r="A44" i="60"/>
  <c r="A45" i="60"/>
  <c r="A46" i="60"/>
  <c r="A47" i="60"/>
  <c r="A48" i="60"/>
  <c r="A49" i="60"/>
  <c r="A17" i="60"/>
  <c r="J18" i="59"/>
  <c r="J19" i="59"/>
  <c r="J20" i="59"/>
  <c r="J21" i="59"/>
  <c r="J22" i="59"/>
  <c r="J23" i="59"/>
  <c r="J24" i="59"/>
  <c r="J25" i="59"/>
  <c r="J26" i="59"/>
  <c r="J27" i="59"/>
  <c r="J28" i="59"/>
  <c r="J29" i="59"/>
  <c r="J30" i="59"/>
  <c r="J31" i="59"/>
  <c r="J32" i="59"/>
  <c r="J33" i="59"/>
  <c r="J34" i="59"/>
  <c r="J35" i="59"/>
  <c r="J36" i="59"/>
  <c r="J37" i="59"/>
  <c r="J38" i="59"/>
  <c r="J39" i="59"/>
  <c r="J40" i="59"/>
  <c r="J41" i="59"/>
  <c r="J42" i="59"/>
  <c r="J43" i="59"/>
  <c r="J44" i="59"/>
  <c r="J45" i="59"/>
  <c r="J46" i="59"/>
  <c r="J47" i="59"/>
  <c r="J48" i="59"/>
  <c r="J49" i="59"/>
  <c r="J17" i="59"/>
  <c r="A18" i="59"/>
  <c r="A19" i="59"/>
  <c r="A20" i="59"/>
  <c r="A21" i="59"/>
  <c r="A22" i="59"/>
  <c r="A23" i="59"/>
  <c r="A24" i="59"/>
  <c r="A25" i="59"/>
  <c r="A26" i="59"/>
  <c r="A27" i="59"/>
  <c r="A28" i="59"/>
  <c r="A29" i="59"/>
  <c r="A30" i="59"/>
  <c r="A31" i="59"/>
  <c r="A32" i="59"/>
  <c r="A33" i="59"/>
  <c r="A34" i="59"/>
  <c r="A35" i="59"/>
  <c r="A36" i="59"/>
  <c r="A37" i="59"/>
  <c r="A38" i="59"/>
  <c r="A39" i="59"/>
  <c r="A40" i="59"/>
  <c r="A41" i="59"/>
  <c r="A42" i="59"/>
  <c r="A43" i="59"/>
  <c r="A44" i="59"/>
  <c r="A45" i="59"/>
  <c r="A46" i="59"/>
  <c r="A47" i="59"/>
  <c r="A48" i="59"/>
  <c r="A49" i="59"/>
  <c r="A17" i="59"/>
  <c r="H17" i="59"/>
  <c r="G17" i="59"/>
  <c r="F17" i="59"/>
  <c r="E17" i="59"/>
  <c r="D17" i="59"/>
  <c r="C17" i="59"/>
  <c r="H17" i="60"/>
  <c r="G17" i="60"/>
  <c r="F17" i="60"/>
  <c r="E17" i="60"/>
  <c r="D17" i="60"/>
  <c r="C17" i="60"/>
  <c r="G10" i="53"/>
  <c r="C11" i="54" s="1"/>
  <c r="D11" i="54" s="1"/>
  <c r="N34" i="25"/>
  <c r="M34" i="25"/>
  <c r="L34" i="25"/>
  <c r="K34" i="25"/>
  <c r="J34" i="25"/>
  <c r="I34" i="25"/>
  <c r="H34" i="25"/>
  <c r="G34" i="25"/>
  <c r="F34" i="25"/>
  <c r="E34" i="25"/>
  <c r="D34" i="25"/>
  <c r="C34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O9" i="25"/>
  <c r="D29" i="49"/>
  <c r="F212" i="50"/>
  <c r="E210" i="50"/>
  <c r="E214" i="50" s="1"/>
  <c r="D210" i="50"/>
  <c r="F209" i="50"/>
  <c r="F208" i="50"/>
  <c r="F207" i="50"/>
  <c r="D55" i="53"/>
  <c r="D28" i="49"/>
  <c r="F202" i="50"/>
  <c r="E200" i="50"/>
  <c r="E204" i="50" s="1"/>
  <c r="D200" i="50"/>
  <c r="D204" i="50" s="1"/>
  <c r="F199" i="50"/>
  <c r="F198" i="50"/>
  <c r="F197" i="50"/>
  <c r="F192" i="50"/>
  <c r="E190" i="50"/>
  <c r="E194" i="50" s="1"/>
  <c r="D190" i="50"/>
  <c r="F189" i="50"/>
  <c r="F188" i="50"/>
  <c r="F187" i="50"/>
  <c r="F182" i="50"/>
  <c r="E180" i="50"/>
  <c r="E184" i="50" s="1"/>
  <c r="D180" i="50"/>
  <c r="C26" i="49" s="1"/>
  <c r="F179" i="50"/>
  <c r="F178" i="50"/>
  <c r="F177" i="50"/>
  <c r="F172" i="50"/>
  <c r="E170" i="50"/>
  <c r="E174" i="50" s="1"/>
  <c r="D170" i="50"/>
  <c r="C25" i="49" s="1"/>
  <c r="F169" i="50"/>
  <c r="F168" i="50"/>
  <c r="F167" i="50"/>
  <c r="F162" i="50"/>
  <c r="E160" i="50"/>
  <c r="E164" i="50" s="1"/>
  <c r="D160" i="50"/>
  <c r="D164" i="50" s="1"/>
  <c r="F159" i="50"/>
  <c r="F158" i="50"/>
  <c r="F157" i="50"/>
  <c r="F152" i="50"/>
  <c r="E152" i="50"/>
  <c r="E150" i="50"/>
  <c r="E154" i="50" s="1"/>
  <c r="D150" i="50"/>
  <c r="F149" i="50"/>
  <c r="F148" i="50"/>
  <c r="F147" i="50"/>
  <c r="F142" i="50"/>
  <c r="E140" i="50"/>
  <c r="E144" i="50" s="1"/>
  <c r="D140" i="50"/>
  <c r="D144" i="50" s="1"/>
  <c r="F139" i="50"/>
  <c r="F138" i="50"/>
  <c r="F137" i="50"/>
  <c r="F132" i="50"/>
  <c r="E132" i="50"/>
  <c r="E130" i="50"/>
  <c r="D130" i="50"/>
  <c r="C21" i="49" s="1"/>
  <c r="F129" i="50"/>
  <c r="F128" i="50"/>
  <c r="F127" i="50"/>
  <c r="F122" i="50"/>
  <c r="E120" i="50"/>
  <c r="E124" i="50" s="1"/>
  <c r="D120" i="50"/>
  <c r="F119" i="50"/>
  <c r="F118" i="50"/>
  <c r="F117" i="50"/>
  <c r="F112" i="50"/>
  <c r="D110" i="50"/>
  <c r="F110" i="50" s="1"/>
  <c r="F109" i="50"/>
  <c r="F108" i="50"/>
  <c r="F107" i="50"/>
  <c r="F102" i="50"/>
  <c r="D100" i="50"/>
  <c r="F100" i="50" s="1"/>
  <c r="F99" i="50"/>
  <c r="F98" i="50"/>
  <c r="F97" i="50"/>
  <c r="F92" i="50"/>
  <c r="D90" i="50"/>
  <c r="D94" i="50" s="1"/>
  <c r="F89" i="50"/>
  <c r="F88" i="50"/>
  <c r="F87" i="50"/>
  <c r="F82" i="50"/>
  <c r="D80" i="50"/>
  <c r="D84" i="50" s="1"/>
  <c r="F79" i="50"/>
  <c r="F78" i="50"/>
  <c r="F77" i="50"/>
  <c r="F72" i="50"/>
  <c r="E72" i="50"/>
  <c r="E70" i="50"/>
  <c r="D70" i="50"/>
  <c r="D74" i="50" s="1"/>
  <c r="F69" i="50"/>
  <c r="F68" i="50"/>
  <c r="F67" i="50"/>
  <c r="F62" i="50"/>
  <c r="D60" i="50"/>
  <c r="D64" i="50" s="1"/>
  <c r="F59" i="50"/>
  <c r="F58" i="50"/>
  <c r="F57" i="50"/>
  <c r="F52" i="50"/>
  <c r="D50" i="50"/>
  <c r="F50" i="50" s="1"/>
  <c r="F49" i="50"/>
  <c r="F48" i="50"/>
  <c r="F47" i="50"/>
  <c r="F42" i="50"/>
  <c r="D40" i="50"/>
  <c r="F40" i="50" s="1"/>
  <c r="F39" i="50"/>
  <c r="F38" i="50"/>
  <c r="F37" i="50"/>
  <c r="E32" i="50"/>
  <c r="F32" i="50" s="1"/>
  <c r="E30" i="50"/>
  <c r="D30" i="50"/>
  <c r="C11" i="49" s="1"/>
  <c r="F29" i="50"/>
  <c r="F28" i="50"/>
  <c r="F27" i="50"/>
  <c r="E22" i="50"/>
  <c r="F22" i="50" s="1"/>
  <c r="E20" i="50"/>
  <c r="D20" i="50"/>
  <c r="D24" i="50" s="1"/>
  <c r="F19" i="50"/>
  <c r="F18" i="50"/>
  <c r="F17" i="50"/>
  <c r="F9" i="50"/>
  <c r="F8" i="50"/>
  <c r="F7" i="50"/>
  <c r="E12" i="50"/>
  <c r="F12" i="50" s="1"/>
  <c r="E10" i="50"/>
  <c r="D10" i="50"/>
  <c r="D14" i="50" s="1"/>
  <c r="F90" i="50"/>
  <c r="D41" i="54"/>
  <c r="D42" i="54"/>
  <c r="D27" i="49"/>
  <c r="C38" i="53"/>
  <c r="C26" i="53"/>
  <c r="D26" i="49"/>
  <c r="D25" i="49"/>
  <c r="L20" i="53"/>
  <c r="E12" i="70"/>
  <c r="E14" i="70"/>
  <c r="E16" i="70"/>
  <c r="E18" i="70"/>
  <c r="A12" i="70"/>
  <c r="A14" i="70"/>
  <c r="A16" i="70"/>
  <c r="A18" i="70"/>
  <c r="C14" i="70"/>
  <c r="C18" i="70" s="1"/>
  <c r="E31" i="65"/>
  <c r="M38" i="64"/>
  <c r="P45" i="64"/>
  <c r="P46" i="64"/>
  <c r="P47" i="64"/>
  <c r="O43" i="64"/>
  <c r="P32" i="64"/>
  <c r="P33" i="64"/>
  <c r="P37" i="64"/>
  <c r="P38" i="64"/>
  <c r="N30" i="64"/>
  <c r="N43" i="64" s="1"/>
  <c r="M30" i="64"/>
  <c r="M43" i="64" s="1"/>
  <c r="L30" i="64"/>
  <c r="L43" i="64" s="1"/>
  <c r="K30" i="64"/>
  <c r="K43" i="64" s="1"/>
  <c r="J30" i="64"/>
  <c r="J43" i="64" s="1"/>
  <c r="I30" i="64"/>
  <c r="I43" i="64" s="1"/>
  <c r="H30" i="64"/>
  <c r="H43" i="64" s="1"/>
  <c r="G30" i="64"/>
  <c r="G43" i="64" s="1"/>
  <c r="F30" i="64"/>
  <c r="F43" i="64" s="1"/>
  <c r="E30" i="64"/>
  <c r="E43" i="64" s="1"/>
  <c r="D30" i="64"/>
  <c r="D43" i="64" s="1"/>
  <c r="C30" i="64"/>
  <c r="C43" i="64" s="1"/>
  <c r="B28" i="64"/>
  <c r="B27" i="64"/>
  <c r="N47" i="64"/>
  <c r="M47" i="64"/>
  <c r="L47" i="64"/>
  <c r="K47" i="64"/>
  <c r="J47" i="64"/>
  <c r="I47" i="64"/>
  <c r="H47" i="64"/>
  <c r="G47" i="64"/>
  <c r="F47" i="64"/>
  <c r="E47" i="64"/>
  <c r="D47" i="64"/>
  <c r="O22" i="64"/>
  <c r="N46" i="64"/>
  <c r="N48" i="64" s="1"/>
  <c r="N33" i="64" s="1"/>
  <c r="M46" i="64"/>
  <c r="M48" i="64" s="1"/>
  <c r="M33" i="64" s="1"/>
  <c r="L46" i="64"/>
  <c r="K46" i="64"/>
  <c r="J46" i="64"/>
  <c r="I46" i="64"/>
  <c r="H46" i="64"/>
  <c r="G46" i="64"/>
  <c r="F46" i="64"/>
  <c r="F48" i="64" s="1"/>
  <c r="F33" i="64" s="1"/>
  <c r="E46" i="64"/>
  <c r="D46" i="64"/>
  <c r="O21" i="64"/>
  <c r="P20" i="64"/>
  <c r="P21" i="64"/>
  <c r="P22" i="64"/>
  <c r="N45" i="64"/>
  <c r="M23" i="64"/>
  <c r="M16" i="64"/>
  <c r="L23" i="64"/>
  <c r="J45" i="64"/>
  <c r="I23" i="64"/>
  <c r="H23" i="64"/>
  <c r="G45" i="64"/>
  <c r="F45" i="64"/>
  <c r="E23" i="64"/>
  <c r="D23" i="64"/>
  <c r="O18" i="64"/>
  <c r="N18" i="64"/>
  <c r="M18" i="64"/>
  <c r="L18" i="64"/>
  <c r="K18" i="64"/>
  <c r="J18" i="64"/>
  <c r="I18" i="64"/>
  <c r="H18" i="64"/>
  <c r="G18" i="64"/>
  <c r="F18" i="64"/>
  <c r="E18" i="64"/>
  <c r="D18" i="64"/>
  <c r="C18" i="64"/>
  <c r="L38" i="64"/>
  <c r="N37" i="64"/>
  <c r="M37" i="64"/>
  <c r="L37" i="64"/>
  <c r="K37" i="64"/>
  <c r="J37" i="64"/>
  <c r="I37" i="64"/>
  <c r="H37" i="64"/>
  <c r="G37" i="64"/>
  <c r="F37" i="64"/>
  <c r="E37" i="64"/>
  <c r="D37" i="64"/>
  <c r="C37" i="64"/>
  <c r="N36" i="64"/>
  <c r="M36" i="64"/>
  <c r="L36" i="64"/>
  <c r="K36" i="64"/>
  <c r="J36" i="64"/>
  <c r="I36" i="64"/>
  <c r="H36" i="64"/>
  <c r="G36" i="64"/>
  <c r="F36" i="64"/>
  <c r="E36" i="64"/>
  <c r="D36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P7" i="64"/>
  <c r="P8" i="64"/>
  <c r="P12" i="64"/>
  <c r="P13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M31" i="64"/>
  <c r="L31" i="64"/>
  <c r="I31" i="64"/>
  <c r="H31" i="64"/>
  <c r="E31" i="64"/>
  <c r="D31" i="64"/>
  <c r="Q5" i="64"/>
  <c r="Q6" i="64"/>
  <c r="Q7" i="64"/>
  <c r="Q8" i="64"/>
  <c r="A5" i="64"/>
  <c r="A6" i="64"/>
  <c r="A7" i="64"/>
  <c r="A8" i="64"/>
  <c r="A9" i="64"/>
  <c r="A10" i="64"/>
  <c r="A11" i="64"/>
  <c r="A12" i="64"/>
  <c r="A13" i="64"/>
  <c r="A14" i="64"/>
  <c r="A15" i="64"/>
  <c r="A16" i="64"/>
  <c r="A17" i="64"/>
  <c r="A18" i="64"/>
  <c r="A19" i="64"/>
  <c r="A20" i="64"/>
  <c r="A21" i="64"/>
  <c r="A22" i="64"/>
  <c r="A23" i="64"/>
  <c r="A24" i="64"/>
  <c r="A29" i="64"/>
  <c r="A30" i="64"/>
  <c r="A31" i="64"/>
  <c r="A32" i="64"/>
  <c r="A33" i="64"/>
  <c r="A36" i="64"/>
  <c r="A37" i="64"/>
  <c r="A38" i="64"/>
  <c r="A39" i="64"/>
  <c r="A40" i="64"/>
  <c r="A41" i="64"/>
  <c r="A42" i="64"/>
  <c r="A43" i="64"/>
  <c r="A44" i="64"/>
  <c r="A45" i="64"/>
  <c r="A46" i="64"/>
  <c r="A47" i="64"/>
  <c r="A48" i="64"/>
  <c r="A49" i="64"/>
  <c r="Q9" i="64"/>
  <c r="Q10" i="64"/>
  <c r="Q11" i="64"/>
  <c r="Q12" i="64"/>
  <c r="Q13" i="64"/>
  <c r="Q14" i="64"/>
  <c r="Q15" i="64"/>
  <c r="Q16" i="64"/>
  <c r="Q17" i="64"/>
  <c r="Q18" i="64"/>
  <c r="Q19" i="64"/>
  <c r="Q20" i="64"/>
  <c r="Q21" i="64"/>
  <c r="Q22" i="64"/>
  <c r="Q23" i="64"/>
  <c r="Q24" i="64"/>
  <c r="Q29" i="64"/>
  <c r="Q30" i="64"/>
  <c r="Q31" i="64"/>
  <c r="Q32" i="64"/>
  <c r="Q33" i="64"/>
  <c r="Q36" i="64"/>
  <c r="Q37" i="64"/>
  <c r="Q38" i="64"/>
  <c r="Q39" i="64"/>
  <c r="Q40" i="64"/>
  <c r="Q41" i="64"/>
  <c r="Q42" i="64"/>
  <c r="Q43" i="64"/>
  <c r="Q44" i="64"/>
  <c r="Q45" i="64"/>
  <c r="Q46" i="64"/>
  <c r="Q47" i="64"/>
  <c r="Q48" i="64"/>
  <c r="Q49" i="64"/>
  <c r="M14" i="64"/>
  <c r="F38" i="64"/>
  <c r="N38" i="64"/>
  <c r="E38" i="64"/>
  <c r="L45" i="64"/>
  <c r="I38" i="64"/>
  <c r="D45" i="64"/>
  <c r="C46" i="64"/>
  <c r="O11" i="64"/>
  <c r="J38" i="64"/>
  <c r="C23" i="64"/>
  <c r="C16" i="64"/>
  <c r="K23" i="64"/>
  <c r="K16" i="64"/>
  <c r="C38" i="64"/>
  <c r="H45" i="64"/>
  <c r="C47" i="64"/>
  <c r="C31" i="64"/>
  <c r="G31" i="64"/>
  <c r="K31" i="64"/>
  <c r="O6" i="64"/>
  <c r="I16" i="64"/>
  <c r="G48" i="64"/>
  <c r="G33" i="64"/>
  <c r="O20" i="64"/>
  <c r="O23" i="64" s="1"/>
  <c r="N23" i="64"/>
  <c r="C45" i="64"/>
  <c r="O45" i="64" s="1"/>
  <c r="K45" i="64"/>
  <c r="K48" i="64" s="1"/>
  <c r="K33" i="64" s="1"/>
  <c r="L14" i="64"/>
  <c r="D16" i="64"/>
  <c r="L16" i="64"/>
  <c r="G23" i="64"/>
  <c r="G16" i="64"/>
  <c r="O10" i="64"/>
  <c r="O12" i="64"/>
  <c r="E16" i="64"/>
  <c r="J23" i="64"/>
  <c r="J14" i="64"/>
  <c r="F23" i="64"/>
  <c r="F31" i="64"/>
  <c r="J31" i="64"/>
  <c r="N31" i="64"/>
  <c r="O7" i="64"/>
  <c r="I14" i="64"/>
  <c r="H16" i="64"/>
  <c r="G38" i="64"/>
  <c r="K38" i="64"/>
  <c r="C36" i="64"/>
  <c r="E45" i="64"/>
  <c r="I45" i="64"/>
  <c r="I48" i="64" s="1"/>
  <c r="I33" i="64" s="1"/>
  <c r="M45" i="64"/>
  <c r="D38" i="64"/>
  <c r="H38" i="64"/>
  <c r="N16" i="64"/>
  <c r="N14" i="64"/>
  <c r="E14" i="64"/>
  <c r="O8" i="64"/>
  <c r="C14" i="64"/>
  <c r="J16" i="64"/>
  <c r="H14" i="64"/>
  <c r="G14" i="64"/>
  <c r="D14" i="64"/>
  <c r="K14" i="64"/>
  <c r="F14" i="64"/>
  <c r="O13" i="64"/>
  <c r="F16" i="64"/>
  <c r="D24" i="49"/>
  <c r="C55" i="54"/>
  <c r="C57" i="54" s="1"/>
  <c r="C57" i="53"/>
  <c r="C59" i="53" s="1"/>
  <c r="D23" i="63"/>
  <c r="E23" i="63"/>
  <c r="F23" i="63"/>
  <c r="G23" i="63"/>
  <c r="H23" i="63"/>
  <c r="C23" i="63"/>
  <c r="D21" i="63"/>
  <c r="E21" i="63"/>
  <c r="F21" i="63"/>
  <c r="G21" i="63"/>
  <c r="H21" i="63"/>
  <c r="C21" i="63"/>
  <c r="C45" i="63" s="1"/>
  <c r="C40" i="68" s="1"/>
  <c r="D19" i="63"/>
  <c r="E19" i="63"/>
  <c r="F19" i="63"/>
  <c r="G19" i="63"/>
  <c r="H19" i="63"/>
  <c r="C19" i="63"/>
  <c r="D13" i="63"/>
  <c r="E13" i="63"/>
  <c r="E25" i="63" s="1"/>
  <c r="F13" i="63"/>
  <c r="G13" i="63"/>
  <c r="H13" i="63"/>
  <c r="C13" i="63"/>
  <c r="D11" i="63"/>
  <c r="E11" i="63"/>
  <c r="F11" i="63"/>
  <c r="G11" i="63"/>
  <c r="H11" i="63"/>
  <c r="C11" i="63"/>
  <c r="D23" i="62"/>
  <c r="E23" i="62"/>
  <c r="F23" i="62"/>
  <c r="G23" i="62"/>
  <c r="H23" i="62"/>
  <c r="C23" i="62"/>
  <c r="C47" i="62" s="1"/>
  <c r="D21" i="62"/>
  <c r="D45" i="62" s="1"/>
  <c r="E21" i="62"/>
  <c r="F21" i="62"/>
  <c r="G21" i="62"/>
  <c r="H21" i="62"/>
  <c r="C21" i="62"/>
  <c r="D19" i="62"/>
  <c r="E19" i="62"/>
  <c r="F19" i="62"/>
  <c r="G19" i="62"/>
  <c r="G43" i="62" s="1"/>
  <c r="G18" i="68" s="1"/>
  <c r="H19" i="62"/>
  <c r="C19" i="62"/>
  <c r="D13" i="62"/>
  <c r="E13" i="62"/>
  <c r="F13" i="62"/>
  <c r="G13" i="62"/>
  <c r="H13" i="62"/>
  <c r="H37" i="62" s="1"/>
  <c r="H12" i="68" s="1"/>
  <c r="C13" i="62"/>
  <c r="D11" i="62"/>
  <c r="E11" i="62"/>
  <c r="F11" i="62"/>
  <c r="G11" i="62"/>
  <c r="H11" i="62"/>
  <c r="C11" i="62"/>
  <c r="D23" i="60"/>
  <c r="E23" i="60"/>
  <c r="F23" i="60"/>
  <c r="G23" i="60"/>
  <c r="H23" i="60"/>
  <c r="C23" i="60"/>
  <c r="D21" i="60"/>
  <c r="E21" i="60"/>
  <c r="F21" i="60"/>
  <c r="G21" i="60"/>
  <c r="H21" i="60"/>
  <c r="C21" i="60"/>
  <c r="D19" i="60"/>
  <c r="E19" i="60"/>
  <c r="F19" i="60"/>
  <c r="G19" i="60"/>
  <c r="H19" i="60"/>
  <c r="C19" i="60"/>
  <c r="D13" i="60"/>
  <c r="E13" i="60"/>
  <c r="F13" i="60"/>
  <c r="G13" i="60"/>
  <c r="H13" i="60"/>
  <c r="C13" i="60"/>
  <c r="D11" i="60"/>
  <c r="E11" i="60"/>
  <c r="F11" i="60"/>
  <c r="G11" i="60"/>
  <c r="H11" i="60"/>
  <c r="C11" i="60"/>
  <c r="D23" i="59"/>
  <c r="E23" i="59"/>
  <c r="F23" i="59"/>
  <c r="G23" i="59"/>
  <c r="H23" i="59"/>
  <c r="C23" i="59"/>
  <c r="D21" i="59"/>
  <c r="E21" i="59"/>
  <c r="F21" i="59"/>
  <c r="G21" i="59"/>
  <c r="H21" i="59"/>
  <c r="C21" i="59"/>
  <c r="D19" i="59"/>
  <c r="E19" i="59"/>
  <c r="F19" i="59"/>
  <c r="G19" i="59"/>
  <c r="H19" i="59"/>
  <c r="C19" i="59"/>
  <c r="D13" i="59"/>
  <c r="E13" i="59"/>
  <c r="F13" i="59"/>
  <c r="G13" i="59"/>
  <c r="H13" i="59"/>
  <c r="C13" i="59"/>
  <c r="D11" i="59"/>
  <c r="E11" i="59"/>
  <c r="F11" i="59"/>
  <c r="G11" i="59"/>
  <c r="H11" i="59"/>
  <c r="C11" i="59"/>
  <c r="F47" i="53"/>
  <c r="G38" i="53"/>
  <c r="H38" i="53" s="1"/>
  <c r="I38" i="53" s="1"/>
  <c r="J38" i="53" s="1"/>
  <c r="K38" i="53" s="1"/>
  <c r="L38" i="53" s="1"/>
  <c r="C10" i="53"/>
  <c r="B48" i="53"/>
  <c r="B14" i="33"/>
  <c r="B12" i="33"/>
  <c r="B10" i="33"/>
  <c r="B24" i="65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/>
  <c r="A4" i="62"/>
  <c r="A5" i="60"/>
  <c r="A4" i="60"/>
  <c r="A4" i="59"/>
  <c r="A5" i="67"/>
  <c r="A5" i="59" s="1"/>
  <c r="A4" i="67"/>
  <c r="H8" i="62"/>
  <c r="D8" i="62"/>
  <c r="E8" i="62"/>
  <c r="F8" i="62"/>
  <c r="G8" i="62"/>
  <c r="C8" i="62"/>
  <c r="D8" i="63"/>
  <c r="E8" i="63"/>
  <c r="F8" i="63"/>
  <c r="G8" i="63"/>
  <c r="H8" i="63"/>
  <c r="C8" i="63"/>
  <c r="D28" i="68"/>
  <c r="E28" i="68"/>
  <c r="F28" i="68"/>
  <c r="G28" i="68"/>
  <c r="H28" i="68"/>
  <c r="C28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12" i="69"/>
  <c r="A13" i="69"/>
  <c r="A14" i="69"/>
  <c r="A15" i="69"/>
  <c r="A16" i="69"/>
  <c r="A17" i="69"/>
  <c r="A18" i="69"/>
  <c r="A19" i="69"/>
  <c r="A20" i="69"/>
  <c r="A21" i="69"/>
  <c r="A22" i="69"/>
  <c r="A23" i="69"/>
  <c r="A24" i="69"/>
  <c r="A25" i="69"/>
  <c r="A26" i="69"/>
  <c r="E11" i="69"/>
  <c r="E12" i="69"/>
  <c r="E13" i="69"/>
  <c r="E14" i="69"/>
  <c r="E15" i="69"/>
  <c r="E16" i="69"/>
  <c r="E17" i="69"/>
  <c r="E18" i="69"/>
  <c r="E19" i="69"/>
  <c r="E20" i="69"/>
  <c r="E21" i="69"/>
  <c r="E22" i="69"/>
  <c r="E23" i="69"/>
  <c r="E24" i="69"/>
  <c r="E25" i="69"/>
  <c r="E26" i="69"/>
  <c r="A11" i="69"/>
  <c r="B4" i="69"/>
  <c r="I27" i="68"/>
  <c r="H27" i="68"/>
  <c r="G27" i="68"/>
  <c r="F27" i="68"/>
  <c r="E27" i="68"/>
  <c r="D27" i="68"/>
  <c r="C27" i="68"/>
  <c r="J11" i="68"/>
  <c r="J12" i="68"/>
  <c r="J13" i="68"/>
  <c r="J14" i="68"/>
  <c r="J15" i="68"/>
  <c r="J30" i="68"/>
  <c r="J31" i="68"/>
  <c r="J32" i="68"/>
  <c r="J33" i="68"/>
  <c r="J34" i="68"/>
  <c r="J35" i="68"/>
  <c r="A11" i="68"/>
  <c r="A12" i="68"/>
  <c r="A13" i="68"/>
  <c r="A14" i="68"/>
  <c r="A15" i="68"/>
  <c r="A30" i="68"/>
  <c r="A31" i="68"/>
  <c r="A32" i="68"/>
  <c r="A33" i="68"/>
  <c r="A34" i="68"/>
  <c r="A35" i="68"/>
  <c r="I27" i="67"/>
  <c r="H27" i="67"/>
  <c r="G27" i="67"/>
  <c r="F27" i="67"/>
  <c r="E27" i="67"/>
  <c r="D27" i="67"/>
  <c r="C27" i="67"/>
  <c r="J11" i="67"/>
  <c r="J12" i="67"/>
  <c r="J13" i="67"/>
  <c r="J14" i="67"/>
  <c r="J15" i="67"/>
  <c r="A11" i="67"/>
  <c r="A12" i="67"/>
  <c r="A13" i="67"/>
  <c r="A14" i="67"/>
  <c r="A15" i="67"/>
  <c r="J30" i="67"/>
  <c r="J31" i="67"/>
  <c r="J32" i="67"/>
  <c r="J33" i="67"/>
  <c r="J34" i="67"/>
  <c r="J35" i="67"/>
  <c r="A30" i="67"/>
  <c r="A31" i="67"/>
  <c r="A32" i="67"/>
  <c r="A33" i="67"/>
  <c r="A34" i="67"/>
  <c r="A35" i="67"/>
  <c r="D24" i="65"/>
  <c r="D23" i="65"/>
  <c r="D22" i="65"/>
  <c r="D21" i="65"/>
  <c r="D20" i="65"/>
  <c r="D19" i="65"/>
  <c r="D18" i="65"/>
  <c r="D17" i="65"/>
  <c r="D16" i="65"/>
  <c r="D15" i="65"/>
  <c r="D14" i="65"/>
  <c r="D13" i="65"/>
  <c r="N9" i="66"/>
  <c r="N13" i="66" s="1"/>
  <c r="G24" i="65"/>
  <c r="G23" i="65"/>
  <c r="G22" i="65"/>
  <c r="G21" i="65"/>
  <c r="G20" i="65"/>
  <c r="G19" i="65"/>
  <c r="G18" i="65"/>
  <c r="G17" i="65"/>
  <c r="G16" i="65"/>
  <c r="G15" i="65"/>
  <c r="H14" i="65"/>
  <c r="H15" i="65"/>
  <c r="H16" i="65"/>
  <c r="H17" i="65"/>
  <c r="H18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G14" i="65"/>
  <c r="A14" i="65"/>
  <c r="A15" i="65"/>
  <c r="A16" i="65"/>
  <c r="A17" i="65"/>
  <c r="A18" i="65"/>
  <c r="A19" i="65"/>
  <c r="A20" i="65"/>
  <c r="A21" i="65"/>
  <c r="A22" i="65"/>
  <c r="A23" i="65"/>
  <c r="A24" i="65"/>
  <c r="A25" i="65"/>
  <c r="A26" i="65"/>
  <c r="A27" i="65"/>
  <c r="A28" i="65"/>
  <c r="A29" i="65"/>
  <c r="A30" i="65"/>
  <c r="A31" i="65"/>
  <c r="A32" i="65"/>
  <c r="A33" i="65"/>
  <c r="A34" i="65"/>
  <c r="A35" i="65"/>
  <c r="A36" i="65"/>
  <c r="A37" i="65"/>
  <c r="A38" i="65"/>
  <c r="A39" i="65"/>
  <c r="A40" i="65"/>
  <c r="J30" i="60"/>
  <c r="O32" i="53"/>
  <c r="O6" i="53"/>
  <c r="D53" i="54"/>
  <c r="M54" i="53"/>
  <c r="L54" i="53"/>
  <c r="N55" i="53"/>
  <c r="N57" i="53" s="1"/>
  <c r="N59" i="53" s="1"/>
  <c r="M55" i="53"/>
  <c r="L55" i="53"/>
  <c r="K55" i="53"/>
  <c r="K57" i="53"/>
  <c r="K59" i="53" s="1"/>
  <c r="J55" i="53"/>
  <c r="I55" i="53"/>
  <c r="H55" i="53"/>
  <c r="H57" i="53" s="1"/>
  <c r="H59" i="53" s="1"/>
  <c r="G55" i="53"/>
  <c r="F55" i="53"/>
  <c r="F57" i="53" s="1"/>
  <c r="F59" i="53" s="1"/>
  <c r="J54" i="53"/>
  <c r="I54" i="53"/>
  <c r="I57" i="53" s="1"/>
  <c r="I59" i="53" s="1"/>
  <c r="D38" i="53"/>
  <c r="J30" i="63"/>
  <c r="J29" i="63"/>
  <c r="H8" i="49"/>
  <c r="O58" i="53"/>
  <c r="O56" i="53"/>
  <c r="O55" i="53"/>
  <c r="D54" i="53"/>
  <c r="C52" i="53"/>
  <c r="K52" i="53" s="1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 s="1"/>
  <c r="E10" i="53" s="1"/>
  <c r="F40" i="53"/>
  <c r="E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A7" i="53"/>
  <c r="A8" i="53"/>
  <c r="A9" i="53"/>
  <c r="A10" i="53"/>
  <c r="A11" i="53"/>
  <c r="A12" i="53"/>
  <c r="A13" i="53"/>
  <c r="A14" i="53"/>
  <c r="A15" i="53"/>
  <c r="A16" i="53"/>
  <c r="A17" i="53"/>
  <c r="A18" i="53"/>
  <c r="A19" i="53"/>
  <c r="A20" i="53"/>
  <c r="A21" i="53"/>
  <c r="A22" i="53"/>
  <c r="A23" i="53"/>
  <c r="A24" i="53"/>
  <c r="A25" i="53"/>
  <c r="A26" i="53"/>
  <c r="A27" i="53"/>
  <c r="A28" i="53"/>
  <c r="A29" i="53"/>
  <c r="A30" i="53"/>
  <c r="N4" i="53"/>
  <c r="M4" i="53"/>
  <c r="L4" i="53"/>
  <c r="K4" i="53"/>
  <c r="J4" i="53"/>
  <c r="I4" i="53"/>
  <c r="H4" i="53"/>
  <c r="G4" i="53"/>
  <c r="F4" i="53"/>
  <c r="E4" i="53"/>
  <c r="D4" i="53"/>
  <c r="E57" i="53"/>
  <c r="E59" i="53" s="1"/>
  <c r="F54" i="53"/>
  <c r="Q31" i="53"/>
  <c r="Q32" i="53"/>
  <c r="Q33" i="53"/>
  <c r="Q34" i="53"/>
  <c r="Q35" i="53"/>
  <c r="Q36" i="53"/>
  <c r="Q37" i="53"/>
  <c r="Q38" i="53"/>
  <c r="Q39" i="53"/>
  <c r="Q40" i="53"/>
  <c r="A31" i="53"/>
  <c r="A32" i="53"/>
  <c r="A33" i="53"/>
  <c r="A34" i="53"/>
  <c r="A35" i="53"/>
  <c r="A36" i="53"/>
  <c r="A37" i="53"/>
  <c r="A38" i="53"/>
  <c r="A39" i="53"/>
  <c r="A40" i="53"/>
  <c r="F52" i="53"/>
  <c r="O18" i="53"/>
  <c r="N52" i="53"/>
  <c r="C20" i="53"/>
  <c r="O16" i="53"/>
  <c r="N20" i="53"/>
  <c r="J52" i="53"/>
  <c r="E52" i="53"/>
  <c r="M52" i="53"/>
  <c r="I52" i="53"/>
  <c r="G20" i="53"/>
  <c r="E20" i="53"/>
  <c r="F20" i="53"/>
  <c r="D10" i="53"/>
  <c r="D52" i="53"/>
  <c r="H52" i="53"/>
  <c r="L52" i="53"/>
  <c r="G52" i="53"/>
  <c r="G54" i="53"/>
  <c r="G57" i="53" s="1"/>
  <c r="G59" i="53" s="1"/>
  <c r="K12" i="63"/>
  <c r="K13" i="63"/>
  <c r="K14" i="63"/>
  <c r="K15" i="63"/>
  <c r="K16" i="63"/>
  <c r="A12" i="63"/>
  <c r="A13" i="63"/>
  <c r="A14" i="63"/>
  <c r="A15" i="63"/>
  <c r="A16" i="63"/>
  <c r="J12" i="62"/>
  <c r="J13" i="62"/>
  <c r="J14" i="62"/>
  <c r="J15" i="62"/>
  <c r="J16" i="62"/>
  <c r="A12" i="62"/>
  <c r="A13" i="62"/>
  <c r="A14" i="62"/>
  <c r="A15" i="62"/>
  <c r="A16" i="62"/>
  <c r="K12" i="60"/>
  <c r="K13" i="60"/>
  <c r="K14" i="60"/>
  <c r="K15" i="60"/>
  <c r="K16" i="60"/>
  <c r="A12" i="60"/>
  <c r="A13" i="60"/>
  <c r="A14" i="60"/>
  <c r="A15" i="60"/>
  <c r="A16" i="60"/>
  <c r="J12" i="59"/>
  <c r="J13" i="59"/>
  <c r="J14" i="59"/>
  <c r="J15" i="59"/>
  <c r="J16" i="59"/>
  <c r="A12" i="59"/>
  <c r="A13" i="59"/>
  <c r="A14" i="59"/>
  <c r="A15" i="59"/>
  <c r="A16" i="59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A15" i="57"/>
  <c r="A16" i="57"/>
  <c r="A17" i="57"/>
  <c r="A18" i="57"/>
  <c r="A19" i="57"/>
  <c r="A20" i="57"/>
  <c r="A21" i="57"/>
  <c r="A22" i="57"/>
  <c r="A23" i="57"/>
  <c r="A24" i="57"/>
  <c r="A25" i="57"/>
  <c r="A26" i="57"/>
  <c r="A27" i="57"/>
  <c r="A28" i="57"/>
  <c r="D21" i="54"/>
  <c r="E56" i="54"/>
  <c r="E54" i="54"/>
  <c r="E53" i="54"/>
  <c r="D52" i="54"/>
  <c r="D55" i="54" s="1"/>
  <c r="C50" i="54"/>
  <c r="D50" i="54" s="1"/>
  <c r="D43" i="54"/>
  <c r="C43" i="54"/>
  <c r="E33" i="54"/>
  <c r="D30" i="54"/>
  <c r="C30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A8" i="54"/>
  <c r="A9" i="54"/>
  <c r="A10" i="54"/>
  <c r="A11" i="54"/>
  <c r="A12" i="54"/>
  <c r="A13" i="54"/>
  <c r="A14" i="54"/>
  <c r="A15" i="54"/>
  <c r="A16" i="54"/>
  <c r="A17" i="54"/>
  <c r="A18" i="54"/>
  <c r="A19" i="54"/>
  <c r="A20" i="54"/>
  <c r="A21" i="54"/>
  <c r="A22" i="54"/>
  <c r="A23" i="54"/>
  <c r="A24" i="54"/>
  <c r="A25" i="54"/>
  <c r="A26" i="54"/>
  <c r="A27" i="54"/>
  <c r="A28" i="54"/>
  <c r="A29" i="54"/>
  <c r="A30" i="54"/>
  <c r="A31" i="54"/>
  <c r="D5" i="54"/>
  <c r="G32" i="54"/>
  <c r="G33" i="54"/>
  <c r="G34" i="54"/>
  <c r="G35" i="54"/>
  <c r="G36" i="54"/>
  <c r="A32" i="54"/>
  <c r="A33" i="54"/>
  <c r="A34" i="54"/>
  <c r="A35" i="54"/>
  <c r="A36" i="54"/>
  <c r="C21" i="54"/>
  <c r="E19" i="54"/>
  <c r="E17" i="54"/>
  <c r="A37" i="54"/>
  <c r="A38" i="54"/>
  <c r="A39" i="54"/>
  <c r="A40" i="54"/>
  <c r="A41" i="54"/>
  <c r="A42" i="54"/>
  <c r="A43" i="54"/>
  <c r="G37" i="54"/>
  <c r="G38" i="54"/>
  <c r="G39" i="54"/>
  <c r="G40" i="54"/>
  <c r="G41" i="54"/>
  <c r="G42" i="54"/>
  <c r="G43" i="54"/>
  <c r="F23" i="24"/>
  <c r="F22" i="24"/>
  <c r="F21" i="24"/>
  <c r="F20" i="24"/>
  <c r="F19" i="24"/>
  <c r="F18" i="24"/>
  <c r="F17" i="24"/>
  <c r="F16" i="24"/>
  <c r="F15" i="24"/>
  <c r="F14" i="24"/>
  <c r="F13" i="24"/>
  <c r="H46" i="25"/>
  <c r="P45" i="25"/>
  <c r="P46" i="25"/>
  <c r="P47" i="25"/>
  <c r="N45" i="25"/>
  <c r="J45" i="25"/>
  <c r="O43" i="25"/>
  <c r="G38" i="25"/>
  <c r="D16" i="41" s="1"/>
  <c r="I37" i="25"/>
  <c r="E37" i="25"/>
  <c r="K35" i="25"/>
  <c r="P32" i="25"/>
  <c r="P33" i="25"/>
  <c r="P37" i="25"/>
  <c r="P38" i="25"/>
  <c r="K32" i="25"/>
  <c r="L31" i="25"/>
  <c r="H31" i="25"/>
  <c r="N30" i="25"/>
  <c r="N43" i="25" s="1"/>
  <c r="M30" i="25"/>
  <c r="M43" i="25" s="1"/>
  <c r="L30" i="25"/>
  <c r="L43" i="25" s="1"/>
  <c r="K30" i="25"/>
  <c r="K43" i="25" s="1"/>
  <c r="J30" i="25"/>
  <c r="J43" i="25" s="1"/>
  <c r="I30" i="25"/>
  <c r="I43" i="25" s="1"/>
  <c r="H30" i="25"/>
  <c r="H43" i="25" s="1"/>
  <c r="G30" i="25"/>
  <c r="G43" i="25" s="1"/>
  <c r="F30" i="25"/>
  <c r="F43" i="25" s="1"/>
  <c r="E30" i="25"/>
  <c r="E43" i="25" s="1"/>
  <c r="D30" i="25"/>
  <c r="D43" i="25" s="1"/>
  <c r="C30" i="25"/>
  <c r="C43" i="25" s="1"/>
  <c r="B28" i="25"/>
  <c r="B27" i="25"/>
  <c r="Q5" i="25"/>
  <c r="Q6" i="25"/>
  <c r="Q7" i="25"/>
  <c r="Q8" i="25"/>
  <c r="A5" i="25"/>
  <c r="A6" i="25"/>
  <c r="A7" i="25"/>
  <c r="A8" i="25"/>
  <c r="N47" i="25"/>
  <c r="M47" i="25"/>
  <c r="L47" i="25"/>
  <c r="L48" i="25" s="1"/>
  <c r="L33" i="25" s="1"/>
  <c r="K47" i="25"/>
  <c r="J47" i="25"/>
  <c r="I47" i="25"/>
  <c r="H47" i="25"/>
  <c r="G47" i="25"/>
  <c r="F47" i="25"/>
  <c r="E47" i="25"/>
  <c r="D47" i="25"/>
  <c r="C47" i="25"/>
  <c r="N46" i="25"/>
  <c r="M46" i="25"/>
  <c r="L46" i="25"/>
  <c r="K46" i="25"/>
  <c r="J46" i="25"/>
  <c r="I46" i="25"/>
  <c r="G46" i="25"/>
  <c r="G48" i="25" s="1"/>
  <c r="G33" i="25" s="1"/>
  <c r="F46" i="25"/>
  <c r="E46" i="25"/>
  <c r="D46" i="25"/>
  <c r="C46" i="25"/>
  <c r="P20" i="25"/>
  <c r="P21" i="25"/>
  <c r="P22" i="25"/>
  <c r="M45" i="25"/>
  <c r="L23" i="25"/>
  <c r="I45" i="25"/>
  <c r="H23" i="25"/>
  <c r="E45" i="25"/>
  <c r="D23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N38" i="25"/>
  <c r="M38" i="25"/>
  <c r="L38" i="25"/>
  <c r="D21" i="41" s="1"/>
  <c r="K38" i="25"/>
  <c r="D20" i="41" s="1"/>
  <c r="J38" i="25"/>
  <c r="D19" i="41" s="1"/>
  <c r="I38" i="25"/>
  <c r="H38" i="25"/>
  <c r="F38" i="25"/>
  <c r="E38" i="25"/>
  <c r="D14" i="41" s="1"/>
  <c r="D38" i="25"/>
  <c r="D13" i="41" s="1"/>
  <c r="M37" i="25"/>
  <c r="J36" i="25"/>
  <c r="C35" i="25"/>
  <c r="P7" i="25"/>
  <c r="P8" i="25"/>
  <c r="P12" i="25"/>
  <c r="P13" i="25"/>
  <c r="C32" i="25"/>
  <c r="N47" i="40"/>
  <c r="M47" i="40"/>
  <c r="L47" i="40"/>
  <c r="K47" i="40"/>
  <c r="J47" i="40"/>
  <c r="I47" i="40"/>
  <c r="H47" i="40"/>
  <c r="O47" i="40" s="1"/>
  <c r="G47" i="40"/>
  <c r="F47" i="40"/>
  <c r="E47" i="40"/>
  <c r="D47" i="40"/>
  <c r="C47" i="40"/>
  <c r="E46" i="40"/>
  <c r="E48" i="40" s="1"/>
  <c r="E33" i="40" s="1"/>
  <c r="N45" i="40"/>
  <c r="M45" i="40"/>
  <c r="L45" i="40"/>
  <c r="K45" i="40"/>
  <c r="J45" i="40"/>
  <c r="I45" i="40"/>
  <c r="H45" i="40"/>
  <c r="G45" i="40"/>
  <c r="F45" i="40"/>
  <c r="E45" i="40"/>
  <c r="D45" i="40"/>
  <c r="C45" i="40"/>
  <c r="O43" i="40"/>
  <c r="N38" i="40"/>
  <c r="D23" i="24" s="1"/>
  <c r="M38" i="40"/>
  <c r="L38" i="40"/>
  <c r="D21" i="24" s="1"/>
  <c r="K38" i="40"/>
  <c r="D20" i="24" s="1"/>
  <c r="J38" i="40"/>
  <c r="D19" i="24" s="1"/>
  <c r="I38" i="40"/>
  <c r="H38" i="40"/>
  <c r="G38" i="40"/>
  <c r="D16" i="24" s="1"/>
  <c r="F38" i="40"/>
  <c r="D15" i="24" s="1"/>
  <c r="E38" i="40"/>
  <c r="D14" i="24" s="1"/>
  <c r="D38" i="40"/>
  <c r="D13" i="24" s="1"/>
  <c r="C38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2" i="40"/>
  <c r="M32" i="40"/>
  <c r="L32" i="40"/>
  <c r="K32" i="40"/>
  <c r="J32" i="40"/>
  <c r="I32" i="40"/>
  <c r="H32" i="40"/>
  <c r="G32" i="40"/>
  <c r="F32" i="40"/>
  <c r="E32" i="40"/>
  <c r="D32" i="40"/>
  <c r="C32" i="40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N43" i="40" s="1"/>
  <c r="M30" i="40"/>
  <c r="M43" i="40" s="1"/>
  <c r="L30" i="40"/>
  <c r="L43" i="40" s="1"/>
  <c r="K30" i="40"/>
  <c r="K43" i="40" s="1"/>
  <c r="J30" i="40"/>
  <c r="J43" i="40" s="1"/>
  <c r="I30" i="40"/>
  <c r="I43" i="40" s="1"/>
  <c r="H30" i="40"/>
  <c r="H43" i="40" s="1"/>
  <c r="G30" i="40"/>
  <c r="G43" i="40" s="1"/>
  <c r="F30" i="40"/>
  <c r="F43" i="40" s="1"/>
  <c r="E30" i="40"/>
  <c r="E43" i="40" s="1"/>
  <c r="D30" i="40"/>
  <c r="D43" i="40" s="1"/>
  <c r="C30" i="40"/>
  <c r="C43" i="40" s="1"/>
  <c r="B28" i="40"/>
  <c r="B27" i="40"/>
  <c r="P5" i="40"/>
  <c r="P6" i="40" s="1"/>
  <c r="P7" i="40" s="1"/>
  <c r="P8" i="40" s="1"/>
  <c r="P9" i="40" s="1"/>
  <c r="P10" i="40" s="1"/>
  <c r="A5" i="40"/>
  <c r="A6" i="40" s="1"/>
  <c r="A7" i="40" s="1"/>
  <c r="A8" i="40" s="1"/>
  <c r="A9" i="40" s="1"/>
  <c r="A10" i="40" s="1"/>
  <c r="M16" i="40"/>
  <c r="L16" i="40"/>
  <c r="K14" i="40"/>
  <c r="J16" i="40"/>
  <c r="I23" i="40"/>
  <c r="I16" i="40"/>
  <c r="H16" i="40"/>
  <c r="G14" i="40"/>
  <c r="F23" i="40"/>
  <c r="F16" i="40"/>
  <c r="E23" i="40"/>
  <c r="E16" i="40"/>
  <c r="D16" i="40"/>
  <c r="C14" i="40"/>
  <c r="O22" i="40"/>
  <c r="O20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O13" i="40"/>
  <c r="O12" i="40"/>
  <c r="O11" i="40"/>
  <c r="O10" i="40"/>
  <c r="O7" i="40"/>
  <c r="O6" i="40"/>
  <c r="I9" i="49"/>
  <c r="A10" i="49"/>
  <c r="I10" i="49" s="1"/>
  <c r="D23" i="49"/>
  <c r="D22" i="49"/>
  <c r="D21" i="49"/>
  <c r="D20" i="49"/>
  <c r="D19" i="49"/>
  <c r="D18" i="49"/>
  <c r="D17" i="49"/>
  <c r="D16" i="49"/>
  <c r="C16" i="49"/>
  <c r="D15" i="49"/>
  <c r="D14" i="49"/>
  <c r="D13" i="49"/>
  <c r="C13" i="49"/>
  <c r="E13" i="49" s="1"/>
  <c r="D12" i="49"/>
  <c r="D11" i="49"/>
  <c r="D10" i="49"/>
  <c r="D9" i="49"/>
  <c r="D7" i="49"/>
  <c r="E7" i="49" s="1"/>
  <c r="F7" i="49" s="1"/>
  <c r="G7" i="49" s="1"/>
  <c r="H7" i="49" s="1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9" i="25"/>
  <c r="A30" i="25"/>
  <c r="A31" i="25"/>
  <c r="A32" i="25"/>
  <c r="A33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9" i="25"/>
  <c r="Q30" i="25"/>
  <c r="Q31" i="25"/>
  <c r="Q32" i="25"/>
  <c r="Q33" i="25"/>
  <c r="D15" i="62"/>
  <c r="D39" i="62" s="1"/>
  <c r="D14" i="68" s="1"/>
  <c r="D15" i="59"/>
  <c r="F15" i="60"/>
  <c r="F15" i="63"/>
  <c r="H15" i="62"/>
  <c r="H15" i="59"/>
  <c r="O8" i="40"/>
  <c r="J31" i="25"/>
  <c r="F32" i="25"/>
  <c r="J35" i="25"/>
  <c r="J37" i="25"/>
  <c r="C31" i="25"/>
  <c r="K31" i="25"/>
  <c r="G36" i="25"/>
  <c r="K36" i="25"/>
  <c r="C37" i="25"/>
  <c r="G37" i="25"/>
  <c r="O37" i="25" s="1"/>
  <c r="K37" i="25"/>
  <c r="D16" i="25"/>
  <c r="H16" i="25"/>
  <c r="L16" i="25"/>
  <c r="D32" i="25"/>
  <c r="H32" i="25"/>
  <c r="L32" i="25"/>
  <c r="D35" i="25"/>
  <c r="H35" i="25"/>
  <c r="L35" i="25"/>
  <c r="D36" i="25"/>
  <c r="H36" i="25"/>
  <c r="L36" i="25"/>
  <c r="D37" i="25"/>
  <c r="H37" i="25"/>
  <c r="L37" i="25"/>
  <c r="F23" i="25"/>
  <c r="J23" i="25"/>
  <c r="N23" i="25"/>
  <c r="F31" i="25"/>
  <c r="N31" i="25"/>
  <c r="J32" i="25"/>
  <c r="N32" i="25"/>
  <c r="F35" i="25"/>
  <c r="N35" i="25"/>
  <c r="F37" i="25"/>
  <c r="N37" i="25"/>
  <c r="G31" i="25"/>
  <c r="C36" i="25"/>
  <c r="O13" i="25"/>
  <c r="F36" i="25"/>
  <c r="E32" i="25"/>
  <c r="I32" i="25"/>
  <c r="M32" i="25"/>
  <c r="E35" i="25"/>
  <c r="I35" i="25"/>
  <c r="M35" i="25"/>
  <c r="E36" i="25"/>
  <c r="I36" i="25"/>
  <c r="M36" i="25"/>
  <c r="D31" i="25"/>
  <c r="G32" i="25"/>
  <c r="G35" i="25"/>
  <c r="N36" i="25"/>
  <c r="C38" i="25"/>
  <c r="F45" i="25"/>
  <c r="H14" i="40"/>
  <c r="L14" i="40"/>
  <c r="D14" i="40"/>
  <c r="E31" i="25"/>
  <c r="I31" i="25"/>
  <c r="M31" i="25"/>
  <c r="I23" i="25"/>
  <c r="C23" i="25"/>
  <c r="C45" i="25"/>
  <c r="E23" i="25"/>
  <c r="I48" i="25"/>
  <c r="I33" i="25" s="1"/>
  <c r="M23" i="25"/>
  <c r="G23" i="25"/>
  <c r="G45" i="25"/>
  <c r="K23" i="25"/>
  <c r="K45" i="25"/>
  <c r="O20" i="25"/>
  <c r="O7" i="25"/>
  <c r="O10" i="25"/>
  <c r="O11" i="25"/>
  <c r="O22" i="25"/>
  <c r="O12" i="25"/>
  <c r="O6" i="25"/>
  <c r="D14" i="25"/>
  <c r="C14" i="65" s="1"/>
  <c r="E14" i="65" s="1"/>
  <c r="H14" i="25"/>
  <c r="C18" i="65" s="1"/>
  <c r="E18" i="65" s="1"/>
  <c r="L14" i="25"/>
  <c r="C22" i="65" s="1"/>
  <c r="E22" i="65" s="1"/>
  <c r="O21" i="25"/>
  <c r="D45" i="25"/>
  <c r="H45" i="25"/>
  <c r="L45" i="25"/>
  <c r="C16" i="40"/>
  <c r="E14" i="40"/>
  <c r="I14" i="40"/>
  <c r="M14" i="40"/>
  <c r="G16" i="40"/>
  <c r="F14" i="40"/>
  <c r="J14" i="40"/>
  <c r="K16" i="40"/>
  <c r="G15" i="62"/>
  <c r="G39" i="62" s="1"/>
  <c r="G14" i="68" s="1"/>
  <c r="G15" i="59"/>
  <c r="H15" i="60"/>
  <c r="H15" i="63"/>
  <c r="C15" i="62"/>
  <c r="C39" i="62" s="1"/>
  <c r="C15" i="59"/>
  <c r="D15" i="60"/>
  <c r="D15" i="63"/>
  <c r="D39" i="63" s="1"/>
  <c r="D34" i="68" s="1"/>
  <c r="E15" i="63"/>
  <c r="E15" i="60"/>
  <c r="G15" i="60"/>
  <c r="G25" i="60" s="1"/>
  <c r="G15" i="63"/>
  <c r="F15" i="62"/>
  <c r="F15" i="59"/>
  <c r="E15" i="62"/>
  <c r="E15" i="59"/>
  <c r="C15" i="63"/>
  <c r="C39" i="63" s="1"/>
  <c r="C34" i="68" s="1"/>
  <c r="C15" i="60"/>
  <c r="N16" i="40"/>
  <c r="N14" i="40"/>
  <c r="G14" i="25"/>
  <c r="C17" i="65" s="1"/>
  <c r="J16" i="25"/>
  <c r="N16" i="25"/>
  <c r="F16" i="25"/>
  <c r="G16" i="25"/>
  <c r="K14" i="25"/>
  <c r="C21" i="65" s="1"/>
  <c r="E21" i="65" s="1"/>
  <c r="E16" i="25"/>
  <c r="I14" i="25"/>
  <c r="C19" i="65" s="1"/>
  <c r="J14" i="25"/>
  <c r="C20" i="65" s="1"/>
  <c r="E20" i="65" s="1"/>
  <c r="F20" i="65" s="1"/>
  <c r="F14" i="25"/>
  <c r="C16" i="65" s="1"/>
  <c r="M14" i="25"/>
  <c r="C23" i="65" s="1"/>
  <c r="N14" i="25"/>
  <c r="C24" i="65" s="1"/>
  <c r="O8" i="25"/>
  <c r="K16" i="25"/>
  <c r="C14" i="25"/>
  <c r="C13" i="65" s="1"/>
  <c r="I16" i="25"/>
  <c r="C16" i="25"/>
  <c r="M16" i="25"/>
  <c r="E14" i="25"/>
  <c r="C15" i="65" s="1"/>
  <c r="D12" i="24"/>
  <c r="E11" i="33"/>
  <c r="E12" i="33"/>
  <c r="A11" i="33"/>
  <c r="A12" i="33"/>
  <c r="A13" i="33"/>
  <c r="A14" i="33"/>
  <c r="A15" i="33"/>
  <c r="A16" i="33"/>
  <c r="A17" i="33"/>
  <c r="E13" i="33"/>
  <c r="E14" i="33"/>
  <c r="E15" i="33"/>
  <c r="E16" i="33"/>
  <c r="E17" i="33"/>
  <c r="B4" i="33"/>
  <c r="A4" i="41"/>
  <c r="D23" i="41"/>
  <c r="D18" i="41"/>
  <c r="D15" i="41"/>
  <c r="D12" i="41"/>
  <c r="D22" i="24"/>
  <c r="D17" i="24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E18" i="33"/>
  <c r="E19" i="33"/>
  <c r="E20" i="33"/>
  <c r="E21" i="33"/>
  <c r="E22" i="33"/>
  <c r="E23" i="33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E24" i="33"/>
  <c r="E25" i="33"/>
  <c r="E26" i="33"/>
  <c r="E27" i="33"/>
  <c r="E28" i="33"/>
  <c r="E29" i="33"/>
  <c r="E30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E30" i="62"/>
  <c r="E47" i="62" s="1"/>
  <c r="E22" i="68" s="1"/>
  <c r="D30" i="62"/>
  <c r="D41" i="62" s="1"/>
  <c r="D16" i="68" s="1"/>
  <c r="H30" i="62"/>
  <c r="F30" i="62"/>
  <c r="G30" i="62"/>
  <c r="G41" i="62" s="1"/>
  <c r="G16" i="68" s="1"/>
  <c r="C45" i="62"/>
  <c r="C20" i="68" s="1"/>
  <c r="C37" i="62"/>
  <c r="C12" i="68" s="1"/>
  <c r="C43" i="62"/>
  <c r="C18" i="68" s="1"/>
  <c r="C30" i="63"/>
  <c r="F30" i="63" s="1"/>
  <c r="H30" i="63"/>
  <c r="H47" i="63" s="1"/>
  <c r="H42" i="68" s="1"/>
  <c r="G30" i="63"/>
  <c r="C37" i="63"/>
  <c r="C32" i="68" s="1"/>
  <c r="D30" i="63"/>
  <c r="D41" i="63" s="1"/>
  <c r="D36" i="68" s="1"/>
  <c r="C35" i="63"/>
  <c r="C30" i="68" s="1"/>
  <c r="H45" i="62"/>
  <c r="H20" i="68" s="1"/>
  <c r="H39" i="62"/>
  <c r="H14" i="68" s="1"/>
  <c r="D35" i="62"/>
  <c r="D10" i="68" s="1"/>
  <c r="D37" i="62"/>
  <c r="D12" i="68" s="1"/>
  <c r="G45" i="62"/>
  <c r="G20" i="68" s="1"/>
  <c r="G35" i="62"/>
  <c r="G10" i="68" s="1"/>
  <c r="G47" i="62"/>
  <c r="G22" i="68" s="1"/>
  <c r="D35" i="63"/>
  <c r="D30" i="68" s="1"/>
  <c r="D47" i="63"/>
  <c r="D42" i="68" s="1"/>
  <c r="H37" i="63"/>
  <c r="H32" i="68" s="1"/>
  <c r="H43" i="63"/>
  <c r="H38" i="68" s="1"/>
  <c r="E39" i="63" l="1"/>
  <c r="E34" i="68" s="1"/>
  <c r="D43" i="63"/>
  <c r="D38" i="68" s="1"/>
  <c r="E39" i="62"/>
  <c r="E14" i="68" s="1"/>
  <c r="E30" i="63"/>
  <c r="D43" i="62"/>
  <c r="D18" i="68" s="1"/>
  <c r="H47" i="62"/>
  <c r="H22" i="68" s="1"/>
  <c r="H45" i="63"/>
  <c r="H40" i="68" s="1"/>
  <c r="C41" i="63"/>
  <c r="C36" i="68" s="1"/>
  <c r="E45" i="62"/>
  <c r="E20" i="68" s="1"/>
  <c r="E35" i="62"/>
  <c r="E10" i="68" s="1"/>
  <c r="H39" i="63"/>
  <c r="H34" i="68" s="1"/>
  <c r="E37" i="62"/>
  <c r="E12" i="68" s="1"/>
  <c r="C43" i="63"/>
  <c r="C38" i="68" s="1"/>
  <c r="H43" i="62"/>
  <c r="H18" i="68" s="1"/>
  <c r="D47" i="62"/>
  <c r="D22" i="68" s="1"/>
  <c r="D45" i="63"/>
  <c r="D40" i="68" s="1"/>
  <c r="J48" i="40"/>
  <c r="J33" i="40" s="1"/>
  <c r="K48" i="25"/>
  <c r="K33" i="25" s="1"/>
  <c r="C48" i="25"/>
  <c r="C33" i="25" s="1"/>
  <c r="O45" i="25"/>
  <c r="E48" i="25"/>
  <c r="E33" i="25" s="1"/>
  <c r="M48" i="25"/>
  <c r="M33" i="25" s="1"/>
  <c r="M39" i="25" s="1"/>
  <c r="C22" i="41" s="1"/>
  <c r="D48" i="25"/>
  <c r="D33" i="25" s="1"/>
  <c r="D41" i="25" s="1"/>
  <c r="J48" i="25"/>
  <c r="J33" i="25" s="1"/>
  <c r="N48" i="25"/>
  <c r="N33" i="25" s="1"/>
  <c r="N41" i="25" s="1"/>
  <c r="E13" i="65"/>
  <c r="F13" i="65" s="1"/>
  <c r="D25" i="60"/>
  <c r="E24" i="65"/>
  <c r="E16" i="65"/>
  <c r="F16" i="65" s="1"/>
  <c r="M38" i="53"/>
  <c r="L40" i="53"/>
  <c r="J40" i="53"/>
  <c r="H40" i="53"/>
  <c r="G40" i="53"/>
  <c r="K40" i="53"/>
  <c r="J57" i="53"/>
  <c r="J59" i="53" s="1"/>
  <c r="D57" i="53"/>
  <c r="H10" i="53"/>
  <c r="I10" i="53" s="1"/>
  <c r="J10" i="53" s="1"/>
  <c r="K10" i="53" s="1"/>
  <c r="L10" i="53" s="1"/>
  <c r="M10" i="53" s="1"/>
  <c r="N10" i="53" s="1"/>
  <c r="H48" i="64"/>
  <c r="H33" i="64" s="1"/>
  <c r="H39" i="64" s="1"/>
  <c r="C48" i="64"/>
  <c r="C33" i="64" s="1"/>
  <c r="O38" i="64"/>
  <c r="O37" i="64"/>
  <c r="O34" i="64"/>
  <c r="A11" i="49"/>
  <c r="E134" i="50"/>
  <c r="E74" i="50"/>
  <c r="C22" i="49"/>
  <c r="E22" i="49" s="1"/>
  <c r="G43" i="63"/>
  <c r="G38" i="68" s="1"/>
  <c r="F150" i="50"/>
  <c r="F154" i="50" s="1"/>
  <c r="K23" i="40"/>
  <c r="F25" i="60"/>
  <c r="I15" i="60"/>
  <c r="I23" i="63"/>
  <c r="H25" i="63"/>
  <c r="E23" i="65"/>
  <c r="F23" i="65" s="1"/>
  <c r="D25" i="59"/>
  <c r="H25" i="60"/>
  <c r="H25" i="62"/>
  <c r="F25" i="62"/>
  <c r="I11" i="63"/>
  <c r="D25" i="63"/>
  <c r="I17" i="63"/>
  <c r="O32" i="25"/>
  <c r="F45" i="62"/>
  <c r="F20" i="68" s="1"/>
  <c r="H41" i="62"/>
  <c r="H16" i="68" s="1"/>
  <c r="H25" i="59"/>
  <c r="H35" i="63"/>
  <c r="H30" i="68" s="1"/>
  <c r="I15" i="63"/>
  <c r="O23" i="25"/>
  <c r="H48" i="25"/>
  <c r="H33" i="25" s="1"/>
  <c r="H39" i="25" s="1"/>
  <c r="C17" i="41" s="1"/>
  <c r="F21" i="65"/>
  <c r="F22" i="65"/>
  <c r="F18" i="65"/>
  <c r="F24" i="65"/>
  <c r="F14" i="65"/>
  <c r="L57" i="53"/>
  <c r="L59" i="53" s="1"/>
  <c r="M57" i="53"/>
  <c r="M59" i="53" s="1"/>
  <c r="H46" i="40"/>
  <c r="H48" i="40" s="1"/>
  <c r="H33" i="40" s="1"/>
  <c r="H39" i="40" s="1"/>
  <c r="C17" i="24" s="1"/>
  <c r="E17" i="24" s="1"/>
  <c r="H9" i="53" s="1"/>
  <c r="H11" i="53" s="1"/>
  <c r="E8" i="49"/>
  <c r="E16" i="49"/>
  <c r="F8" i="49"/>
  <c r="G8" i="49"/>
  <c r="C23" i="49"/>
  <c r="E23" i="49" s="1"/>
  <c r="D154" i="50"/>
  <c r="C12" i="49"/>
  <c r="C19" i="49"/>
  <c r="E19" i="49" s="1"/>
  <c r="D114" i="50"/>
  <c r="E26" i="49"/>
  <c r="C24" i="49"/>
  <c r="E24" i="49" s="1"/>
  <c r="F120" i="50"/>
  <c r="F124" i="50" s="1"/>
  <c r="D124" i="50"/>
  <c r="F114" i="50"/>
  <c r="F190" i="50"/>
  <c r="F194" i="50" s="1"/>
  <c r="F210" i="50"/>
  <c r="F214" i="50" s="1"/>
  <c r="D44" i="50"/>
  <c r="C20" i="49"/>
  <c r="E20" i="49" s="1"/>
  <c r="F140" i="50"/>
  <c r="F144" i="50" s="1"/>
  <c r="E25" i="49"/>
  <c r="F44" i="50"/>
  <c r="F104" i="50"/>
  <c r="D134" i="50"/>
  <c r="F94" i="50"/>
  <c r="E21" i="49"/>
  <c r="C28" i="49"/>
  <c r="E28" i="49" s="1"/>
  <c r="F160" i="50"/>
  <c r="F164" i="50" s="1"/>
  <c r="C15" i="49"/>
  <c r="E15" i="49" s="1"/>
  <c r="F80" i="50"/>
  <c r="F84" i="50" s="1"/>
  <c r="C14" i="49"/>
  <c r="E14" i="49" s="1"/>
  <c r="E12" i="49"/>
  <c r="G41" i="25"/>
  <c r="O47" i="25"/>
  <c r="E39" i="25"/>
  <c r="C14" i="41" s="1"/>
  <c r="E14" i="41" s="1"/>
  <c r="D37" i="63"/>
  <c r="D32" i="68" s="1"/>
  <c r="H35" i="62"/>
  <c r="H10" i="68" s="1"/>
  <c r="F25" i="63"/>
  <c r="O14" i="25"/>
  <c r="I11" i="60"/>
  <c r="C25" i="59"/>
  <c r="G25" i="59"/>
  <c r="I23" i="60"/>
  <c r="I13" i="60"/>
  <c r="I19" i="60"/>
  <c r="E25" i="60"/>
  <c r="C25" i="62"/>
  <c r="G25" i="62"/>
  <c r="I19" i="63"/>
  <c r="G25" i="63"/>
  <c r="I13" i="63"/>
  <c r="I21" i="63"/>
  <c r="I17" i="60"/>
  <c r="D22" i="41"/>
  <c r="D26" i="41" s="1"/>
  <c r="C25" i="60"/>
  <c r="E19" i="65"/>
  <c r="F19" i="65" s="1"/>
  <c r="L39" i="25"/>
  <c r="C21" i="41" s="1"/>
  <c r="E21" i="41" s="1"/>
  <c r="K41" i="25"/>
  <c r="D26" i="65"/>
  <c r="H41" i="63"/>
  <c r="H36" i="68" s="1"/>
  <c r="D25" i="62"/>
  <c r="O38" i="25"/>
  <c r="F25" i="59"/>
  <c r="O16" i="25"/>
  <c r="E17" i="65"/>
  <c r="F17" i="65" s="1"/>
  <c r="I41" i="25"/>
  <c r="O35" i="25"/>
  <c r="E25" i="62"/>
  <c r="F39" i="63"/>
  <c r="F34" i="68" s="1"/>
  <c r="F41" i="63"/>
  <c r="F36" i="68" s="1"/>
  <c r="F43" i="63"/>
  <c r="F38" i="68" s="1"/>
  <c r="F35" i="63"/>
  <c r="F30" i="68" s="1"/>
  <c r="F45" i="63"/>
  <c r="F40" i="68" s="1"/>
  <c r="F47" i="63"/>
  <c r="F42" i="68" s="1"/>
  <c r="F37" i="63"/>
  <c r="F32" i="68" s="1"/>
  <c r="D48" i="64"/>
  <c r="D33" i="64" s="1"/>
  <c r="D39" i="64" s="1"/>
  <c r="L48" i="64"/>
  <c r="L33" i="64" s="1"/>
  <c r="L41" i="64" s="1"/>
  <c r="E48" i="64"/>
  <c r="E33" i="64" s="1"/>
  <c r="J48" i="64"/>
  <c r="J33" i="64" s="1"/>
  <c r="J39" i="64" s="1"/>
  <c r="O16" i="64"/>
  <c r="O35" i="64"/>
  <c r="O36" i="64"/>
  <c r="O31" i="64"/>
  <c r="O14" i="64"/>
  <c r="G39" i="64"/>
  <c r="O20" i="53"/>
  <c r="C40" i="53"/>
  <c r="E21" i="54"/>
  <c r="C10" i="49"/>
  <c r="E10" i="49" s="1"/>
  <c r="A5" i="68"/>
  <c r="D44" i="68"/>
  <c r="G39" i="63"/>
  <c r="G34" i="68" s="1"/>
  <c r="G47" i="63"/>
  <c r="G42" i="68" s="1"/>
  <c r="G45" i="63"/>
  <c r="G40" i="68" s="1"/>
  <c r="F43" i="62"/>
  <c r="F18" i="68" s="1"/>
  <c r="F41" i="62"/>
  <c r="F16" i="68" s="1"/>
  <c r="G41" i="63"/>
  <c r="G36" i="68" s="1"/>
  <c r="G37" i="63"/>
  <c r="G32" i="68" s="1"/>
  <c r="F37" i="62"/>
  <c r="F12" i="68" s="1"/>
  <c r="F47" i="62"/>
  <c r="F22" i="68" s="1"/>
  <c r="F39" i="62"/>
  <c r="F14" i="68" s="1"/>
  <c r="F35" i="62"/>
  <c r="F10" i="68" s="1"/>
  <c r="D49" i="62"/>
  <c r="C18" i="49"/>
  <c r="E18" i="49" s="1"/>
  <c r="D104" i="50"/>
  <c r="D194" i="50"/>
  <c r="C27" i="49"/>
  <c r="E27" i="49" s="1"/>
  <c r="D174" i="50"/>
  <c r="F170" i="50"/>
  <c r="F174" i="50" s="1"/>
  <c r="K41" i="64"/>
  <c r="K39" i="64"/>
  <c r="C41" i="64"/>
  <c r="O33" i="64"/>
  <c r="N41" i="64"/>
  <c r="D10" i="54" s="1"/>
  <c r="D12" i="54" s="1"/>
  <c r="D13" i="54" s="1"/>
  <c r="D14" i="54" s="1"/>
  <c r="D24" i="54" s="1"/>
  <c r="D28" i="54" s="1"/>
  <c r="N39" i="64"/>
  <c r="F39" i="64"/>
  <c r="F41" i="64"/>
  <c r="O46" i="64"/>
  <c r="I41" i="64"/>
  <c r="H41" i="64"/>
  <c r="E39" i="64"/>
  <c r="M41" i="64"/>
  <c r="C10" i="54" s="1"/>
  <c r="E10" i="54" s="1"/>
  <c r="J41" i="64"/>
  <c r="O47" i="64"/>
  <c r="G41" i="64"/>
  <c r="M39" i="64"/>
  <c r="E41" i="64"/>
  <c r="O32" i="64"/>
  <c r="C39" i="64"/>
  <c r="I39" i="64"/>
  <c r="D59" i="53"/>
  <c r="I40" i="53"/>
  <c r="J39" i="25"/>
  <c r="C19" i="41" s="1"/>
  <c r="E19" i="41" s="1"/>
  <c r="J41" i="25"/>
  <c r="L41" i="25"/>
  <c r="F48" i="25"/>
  <c r="F33" i="25" s="1"/>
  <c r="O33" i="25" s="1"/>
  <c r="E41" i="25"/>
  <c r="O46" i="25"/>
  <c r="O48" i="25" s="1"/>
  <c r="C39" i="25"/>
  <c r="C12" i="41" s="1"/>
  <c r="E12" i="41" s="1"/>
  <c r="G39" i="25"/>
  <c r="C16" i="41" s="1"/>
  <c r="E16" i="41" s="1"/>
  <c r="H41" i="25"/>
  <c r="K39" i="25"/>
  <c r="C20" i="41" s="1"/>
  <c r="E20" i="41" s="1"/>
  <c r="E15" i="65"/>
  <c r="F15" i="65" s="1"/>
  <c r="C26" i="65"/>
  <c r="C22" i="68"/>
  <c r="C16" i="68"/>
  <c r="C14" i="68"/>
  <c r="G37" i="62"/>
  <c r="E41" i="62"/>
  <c r="D17" i="41"/>
  <c r="C41" i="25"/>
  <c r="O36" i="25"/>
  <c r="O34" i="25"/>
  <c r="E37" i="63"/>
  <c r="C25" i="63"/>
  <c r="D49" i="63"/>
  <c r="E43" i="62"/>
  <c r="E18" i="68" s="1"/>
  <c r="I21" i="60"/>
  <c r="D20" i="68"/>
  <c r="C35" i="62"/>
  <c r="G35" i="63"/>
  <c r="E25" i="59"/>
  <c r="O31" i="25"/>
  <c r="C47" i="63"/>
  <c r="I39" i="25"/>
  <c r="C18" i="41" s="1"/>
  <c r="E18" i="41" s="1"/>
  <c r="O36" i="40"/>
  <c r="G23" i="40"/>
  <c r="D214" i="50"/>
  <c r="F54" i="50"/>
  <c r="F60" i="50"/>
  <c r="F64" i="50" s="1"/>
  <c r="D54" i="50"/>
  <c r="E251" i="50"/>
  <c r="C29" i="49"/>
  <c r="E29" i="49" s="1"/>
  <c r="F200" i="50"/>
  <c r="F204" i="50" s="1"/>
  <c r="D184" i="50"/>
  <c r="F180" i="50"/>
  <c r="F184" i="50" s="1"/>
  <c r="F130" i="50"/>
  <c r="F134" i="50" s="1"/>
  <c r="F70" i="50"/>
  <c r="F74" i="50" s="1"/>
  <c r="C17" i="49"/>
  <c r="E17" i="49" s="1"/>
  <c r="E34" i="50"/>
  <c r="F30" i="50"/>
  <c r="F34" i="50" s="1"/>
  <c r="F250" i="50"/>
  <c r="D251" i="50"/>
  <c r="O34" i="40"/>
  <c r="C9" i="49"/>
  <c r="E11" i="49"/>
  <c r="D34" i="50"/>
  <c r="F249" i="50"/>
  <c r="E24" i="50"/>
  <c r="F20" i="50"/>
  <c r="F24" i="50" s="1"/>
  <c r="E14" i="50"/>
  <c r="F10" i="50"/>
  <c r="F14" i="50" s="1"/>
  <c r="F248" i="50"/>
  <c r="J23" i="40"/>
  <c r="M48" i="40"/>
  <c r="M33" i="40" s="1"/>
  <c r="M39" i="40" s="1"/>
  <c r="C22" i="24" s="1"/>
  <c r="E22" i="24" s="1"/>
  <c r="M9" i="53" s="1"/>
  <c r="M11" i="53" s="1"/>
  <c r="O16" i="40"/>
  <c r="O45" i="40"/>
  <c r="O38" i="40"/>
  <c r="K48" i="40"/>
  <c r="K33" i="40" s="1"/>
  <c r="K41" i="40" s="1"/>
  <c r="P11" i="40"/>
  <c r="P12" i="40" s="1"/>
  <c r="P13" i="40" s="1"/>
  <c r="P14" i="40" s="1"/>
  <c r="P15" i="40" s="1"/>
  <c r="P16" i="40" s="1"/>
  <c r="P17" i="40" s="1"/>
  <c r="P18" i="40" s="1"/>
  <c r="P19" i="40" s="1"/>
  <c r="P20" i="40" s="1"/>
  <c r="P21" i="40" s="1"/>
  <c r="P22" i="40" s="1"/>
  <c r="P23" i="40" s="1"/>
  <c r="P24" i="40" s="1"/>
  <c r="P29" i="40" s="1"/>
  <c r="P30" i="40" s="1"/>
  <c r="P31" i="40" s="1"/>
  <c r="P32" i="40" s="1"/>
  <c r="P33" i="40" s="1"/>
  <c r="P36" i="40" s="1"/>
  <c r="P37" i="40" s="1"/>
  <c r="P38" i="40" s="1"/>
  <c r="P39" i="40" s="1"/>
  <c r="P40" i="40" s="1"/>
  <c r="P41" i="40" s="1"/>
  <c r="P42" i="40" s="1"/>
  <c r="P43" i="40" s="1"/>
  <c r="P44" i="40" s="1"/>
  <c r="P45" i="40" s="1"/>
  <c r="P46" i="40" s="1"/>
  <c r="P47" i="40" s="1"/>
  <c r="P48" i="40" s="1"/>
  <c r="P49" i="40" s="1"/>
  <c r="O14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9" i="40" s="1"/>
  <c r="A30" i="40" s="1"/>
  <c r="A31" i="40" s="1"/>
  <c r="A32" i="40" s="1"/>
  <c r="A33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D46" i="40"/>
  <c r="D48" i="40" s="1"/>
  <c r="D33" i="40" s="1"/>
  <c r="D41" i="40" s="1"/>
  <c r="D18" i="24"/>
  <c r="D26" i="24" s="1"/>
  <c r="M23" i="40"/>
  <c r="O37" i="40"/>
  <c r="E41" i="40"/>
  <c r="L48" i="40"/>
  <c r="L33" i="40" s="1"/>
  <c r="L41" i="40" s="1"/>
  <c r="O32" i="40"/>
  <c r="F48" i="40"/>
  <c r="F33" i="40" s="1"/>
  <c r="F41" i="40" s="1"/>
  <c r="E55" i="54"/>
  <c r="D57" i="54"/>
  <c r="E57" i="54" s="1"/>
  <c r="G39" i="40"/>
  <c r="C16" i="24" s="1"/>
  <c r="E16" i="24" s="1"/>
  <c r="G9" i="53" s="1"/>
  <c r="G11" i="53" s="1"/>
  <c r="G12" i="53" s="1"/>
  <c r="G13" i="53" s="1"/>
  <c r="G23" i="53" s="1"/>
  <c r="G27" i="53" s="1"/>
  <c r="G41" i="40"/>
  <c r="N46" i="40"/>
  <c r="N48" i="40" s="1"/>
  <c r="N33" i="40" s="1"/>
  <c r="L23" i="40"/>
  <c r="J41" i="40"/>
  <c r="I39" i="40"/>
  <c r="C18" i="24" s="1"/>
  <c r="C46" i="40"/>
  <c r="O21" i="40"/>
  <c r="O23" i="40" s="1"/>
  <c r="J39" i="40"/>
  <c r="C19" i="24" s="1"/>
  <c r="E19" i="24" s="1"/>
  <c r="J9" i="53" s="1"/>
  <c r="J11" i="53" s="1"/>
  <c r="O35" i="40"/>
  <c r="E39" i="40"/>
  <c r="C14" i="24" s="1"/>
  <c r="E14" i="24" s="1"/>
  <c r="E9" i="53" s="1"/>
  <c r="E11" i="53" s="1"/>
  <c r="O31" i="40"/>
  <c r="I41" i="40"/>
  <c r="E41" i="63" l="1"/>
  <c r="E36" i="68" s="1"/>
  <c r="E47" i="63"/>
  <c r="E42" i="68" s="1"/>
  <c r="E35" i="63"/>
  <c r="E30" i="68" s="1"/>
  <c r="E45" i="63"/>
  <c r="E40" i="68" s="1"/>
  <c r="E43" i="63"/>
  <c r="E38" i="68" s="1"/>
  <c r="D39" i="25"/>
  <c r="C13" i="41" s="1"/>
  <c r="E13" i="41" s="1"/>
  <c r="N39" i="25"/>
  <c r="C23" i="41" s="1"/>
  <c r="E23" i="41" s="1"/>
  <c r="M41" i="25"/>
  <c r="H44" i="68"/>
  <c r="I25" i="63"/>
  <c r="N38" i="53"/>
  <c r="N40" i="53" s="1"/>
  <c r="M40" i="53"/>
  <c r="M12" i="53" s="1"/>
  <c r="M13" i="53" s="1"/>
  <c r="M23" i="53" s="1"/>
  <c r="M27" i="53" s="1"/>
  <c r="O59" i="53"/>
  <c r="L39" i="64"/>
  <c r="D41" i="64"/>
  <c r="I11" i="49"/>
  <c r="A12" i="49"/>
  <c r="I38" i="68"/>
  <c r="D22" i="57" s="1"/>
  <c r="E9" i="49"/>
  <c r="F13" i="49"/>
  <c r="G13" i="49" s="1"/>
  <c r="H13" i="49" s="1"/>
  <c r="H49" i="62"/>
  <c r="F44" i="68"/>
  <c r="H24" i="68"/>
  <c r="O57" i="53"/>
  <c r="F39" i="25"/>
  <c r="C15" i="41" s="1"/>
  <c r="E15" i="41" s="1"/>
  <c r="E22" i="41"/>
  <c r="H49" i="63"/>
  <c r="I41" i="63"/>
  <c r="F49" i="63"/>
  <c r="I40" i="68"/>
  <c r="D24" i="57" s="1"/>
  <c r="I45" i="63"/>
  <c r="E17" i="41"/>
  <c r="F26" i="65"/>
  <c r="F34" i="65" s="1"/>
  <c r="F40" i="65" s="1"/>
  <c r="I43" i="63"/>
  <c r="I25" i="60"/>
  <c r="F49" i="62"/>
  <c r="I34" i="68"/>
  <c r="D18" i="57" s="1"/>
  <c r="I39" i="63"/>
  <c r="F24" i="68"/>
  <c r="O48" i="64"/>
  <c r="O41" i="64"/>
  <c r="C12" i="54"/>
  <c r="E12" i="54" s="1"/>
  <c r="K39" i="40"/>
  <c r="C20" i="24" s="1"/>
  <c r="E20" i="24" s="1"/>
  <c r="K9" i="53" s="1"/>
  <c r="K11" i="53" s="1"/>
  <c r="K12" i="53" s="1"/>
  <c r="K13" i="53" s="1"/>
  <c r="K23" i="53" s="1"/>
  <c r="K27" i="53" s="1"/>
  <c r="H41" i="40"/>
  <c r="F251" i="50"/>
  <c r="A5" i="62"/>
  <c r="A5" i="63"/>
  <c r="O39" i="64"/>
  <c r="F41" i="25"/>
  <c r="C42" i="68"/>
  <c r="C44" i="68" s="1"/>
  <c r="C49" i="63"/>
  <c r="E49" i="63"/>
  <c r="E32" i="68"/>
  <c r="E44" i="68" s="1"/>
  <c r="O39" i="25"/>
  <c r="O41" i="25"/>
  <c r="I47" i="63"/>
  <c r="I37" i="63"/>
  <c r="G12" i="68"/>
  <c r="G49" i="62"/>
  <c r="C10" i="68"/>
  <c r="C49" i="62"/>
  <c r="I35" i="63"/>
  <c r="D24" i="68"/>
  <c r="E26" i="65"/>
  <c r="E28" i="65" s="1"/>
  <c r="G30" i="68"/>
  <c r="G44" i="68" s="1"/>
  <c r="G49" i="63"/>
  <c r="E16" i="68"/>
  <c r="E24" i="68" s="1"/>
  <c r="E49" i="62"/>
  <c r="E18" i="24"/>
  <c r="I9" i="53" s="1"/>
  <c r="I11" i="53" s="1"/>
  <c r="I12" i="53" s="1"/>
  <c r="I13" i="53" s="1"/>
  <c r="I23" i="53" s="1"/>
  <c r="I27" i="53" s="1"/>
  <c r="D255" i="50"/>
  <c r="M41" i="40"/>
  <c r="L39" i="40"/>
  <c r="C21" i="24" s="1"/>
  <c r="E21" i="24" s="1"/>
  <c r="L9" i="53" s="1"/>
  <c r="L11" i="53" s="1"/>
  <c r="L12" i="53" s="1"/>
  <c r="L13" i="53" s="1"/>
  <c r="L23" i="53" s="1"/>
  <c r="L27" i="53" s="1"/>
  <c r="F39" i="40"/>
  <c r="C15" i="24" s="1"/>
  <c r="E15" i="24" s="1"/>
  <c r="F9" i="53" s="1"/>
  <c r="F11" i="53" s="1"/>
  <c r="F12" i="53" s="1"/>
  <c r="F13" i="53" s="1"/>
  <c r="F23" i="53" s="1"/>
  <c r="F27" i="53" s="1"/>
  <c r="D39" i="40"/>
  <c r="C13" i="24" s="1"/>
  <c r="E13" i="24" s="1"/>
  <c r="N41" i="40"/>
  <c r="N39" i="40"/>
  <c r="C23" i="24" s="1"/>
  <c r="E23" i="24" s="1"/>
  <c r="N9" i="53" s="1"/>
  <c r="N11" i="53" s="1"/>
  <c r="O46" i="40"/>
  <c r="O48" i="40" s="1"/>
  <c r="C48" i="40"/>
  <c r="C33" i="40" s="1"/>
  <c r="J12" i="53"/>
  <c r="J13" i="53" s="1"/>
  <c r="J23" i="53" s="1"/>
  <c r="J27" i="53" s="1"/>
  <c r="H12" i="53"/>
  <c r="H13" i="53" s="1"/>
  <c r="H23" i="53" s="1"/>
  <c r="H27" i="53" s="1"/>
  <c r="E12" i="53"/>
  <c r="E13" i="53" s="1"/>
  <c r="E23" i="53" s="1"/>
  <c r="E27" i="53" s="1"/>
  <c r="C13" i="54" l="1"/>
  <c r="E13" i="54" s="1"/>
  <c r="I12" i="49"/>
  <c r="A13" i="49"/>
  <c r="F31" i="49"/>
  <c r="G31" i="49" s="1"/>
  <c r="H31" i="49" s="1"/>
  <c r="F30" i="49"/>
  <c r="G30" i="49" s="1"/>
  <c r="H30" i="49" s="1"/>
  <c r="C26" i="41"/>
  <c r="E26" i="41"/>
  <c r="I42" i="68"/>
  <c r="D26" i="57" s="1"/>
  <c r="I36" i="68"/>
  <c r="D20" i="57" s="1"/>
  <c r="I30" i="68"/>
  <c r="C24" i="68"/>
  <c r="I32" i="68"/>
  <c r="D16" i="57" s="1"/>
  <c r="G24" i="68"/>
  <c r="I49" i="63"/>
  <c r="F10" i="49"/>
  <c r="G10" i="49" s="1"/>
  <c r="H10" i="49" s="1"/>
  <c r="F17" i="49"/>
  <c r="G17" i="49" s="1"/>
  <c r="H17" i="49" s="1"/>
  <c r="F19" i="49"/>
  <c r="G19" i="49" s="1"/>
  <c r="H19" i="49" s="1"/>
  <c r="F14" i="49"/>
  <c r="G14" i="49" s="1"/>
  <c r="H14" i="49" s="1"/>
  <c r="F9" i="49"/>
  <c r="G9" i="49" s="1"/>
  <c r="F18" i="49"/>
  <c r="G18" i="49" s="1"/>
  <c r="H18" i="49" s="1"/>
  <c r="F22" i="49"/>
  <c r="G22" i="49" s="1"/>
  <c r="H22" i="49" s="1"/>
  <c r="F26" i="49"/>
  <c r="G26" i="49" s="1"/>
  <c r="H26" i="49" s="1"/>
  <c r="F28" i="49"/>
  <c r="G28" i="49" s="1"/>
  <c r="H28" i="49" s="1"/>
  <c r="F29" i="49"/>
  <c r="G29" i="49" s="1"/>
  <c r="H29" i="49" s="1"/>
  <c r="F24" i="49"/>
  <c r="G24" i="49" s="1"/>
  <c r="H24" i="49" s="1"/>
  <c r="F15" i="49"/>
  <c r="G15" i="49" s="1"/>
  <c r="H15" i="49" s="1"/>
  <c r="F20" i="49"/>
  <c r="G20" i="49" s="1"/>
  <c r="H20" i="49" s="1"/>
  <c r="F23" i="49"/>
  <c r="G23" i="49" s="1"/>
  <c r="H23" i="49" s="1"/>
  <c r="F25" i="49"/>
  <c r="G25" i="49" s="1"/>
  <c r="H25" i="49" s="1"/>
  <c r="F21" i="49"/>
  <c r="G21" i="49" s="1"/>
  <c r="H21" i="49" s="1"/>
  <c r="F16" i="49"/>
  <c r="G16" i="49" s="1"/>
  <c r="H16" i="49" s="1"/>
  <c r="F12" i="49"/>
  <c r="G12" i="49" s="1"/>
  <c r="H12" i="49" s="1"/>
  <c r="F27" i="49"/>
  <c r="G27" i="49" s="1"/>
  <c r="H27" i="49" s="1"/>
  <c r="F11" i="49"/>
  <c r="G11" i="49" s="1"/>
  <c r="H11" i="49" s="1"/>
  <c r="C16" i="33" s="1"/>
  <c r="N12" i="53"/>
  <c r="N13" i="53" s="1"/>
  <c r="N23" i="53" s="1"/>
  <c r="N27" i="53" s="1"/>
  <c r="C41" i="40"/>
  <c r="O33" i="40"/>
  <c r="C39" i="40"/>
  <c r="C12" i="24" s="1"/>
  <c r="D9" i="53"/>
  <c r="C14" i="54" l="1"/>
  <c r="E14" i="54" s="1"/>
  <c r="E24" i="54" s="1"/>
  <c r="A14" i="49"/>
  <c r="I13" i="49"/>
  <c r="H9" i="49"/>
  <c r="D14" i="57"/>
  <c r="D28" i="57" s="1"/>
  <c r="I44" i="68"/>
  <c r="C16" i="69"/>
  <c r="E12" i="24"/>
  <c r="C26" i="24"/>
  <c r="O39" i="40"/>
  <c r="O41" i="40"/>
  <c r="D11" i="53"/>
  <c r="C24" i="54" l="1"/>
  <c r="C28" i="54" s="1"/>
  <c r="I14" i="49"/>
  <c r="A15" i="49"/>
  <c r="C9" i="53"/>
  <c r="E26" i="24"/>
  <c r="C28" i="33" s="1"/>
  <c r="D12" i="53"/>
  <c r="I15" i="49" l="1"/>
  <c r="A16" i="49"/>
  <c r="C11" i="53"/>
  <c r="O9" i="53"/>
  <c r="D13" i="53"/>
  <c r="I16" i="49" l="1"/>
  <c r="A17" i="49"/>
  <c r="C12" i="53"/>
  <c r="O12" i="53" s="1"/>
  <c r="O11" i="53"/>
  <c r="D23" i="53"/>
  <c r="I17" i="49" l="1"/>
  <c r="A18" i="49"/>
  <c r="C13" i="53"/>
  <c r="D27" i="53"/>
  <c r="I18" i="49" l="1"/>
  <c r="A19" i="49"/>
  <c r="C23" i="53"/>
  <c r="C27" i="53" s="1"/>
  <c r="C28" i="53" s="1"/>
  <c r="C30" i="53" s="1"/>
  <c r="C34" i="53" s="1"/>
  <c r="D6" i="53" s="1"/>
  <c r="O13" i="53"/>
  <c r="O23" i="53" s="1"/>
  <c r="I19" i="49" l="1"/>
  <c r="A20" i="49"/>
  <c r="D26" i="53"/>
  <c r="D28" i="53" s="1"/>
  <c r="D30" i="53" s="1"/>
  <c r="D34" i="53" s="1"/>
  <c r="E6" i="53" s="1"/>
  <c r="A21" i="49" l="1"/>
  <c r="I20" i="49"/>
  <c r="E26" i="53"/>
  <c r="E28" i="53" s="1"/>
  <c r="E30" i="53" s="1"/>
  <c r="E34" i="53" s="1"/>
  <c r="F6" i="53" s="1"/>
  <c r="I21" i="49" l="1"/>
  <c r="A22" i="49"/>
  <c r="F26" i="53"/>
  <c r="F28" i="53" s="1"/>
  <c r="F30" i="53" s="1"/>
  <c r="F34" i="53" s="1"/>
  <c r="G6" i="53" s="1"/>
  <c r="A23" i="49" l="1"/>
  <c r="I22" i="49"/>
  <c r="G26" i="53"/>
  <c r="G28" i="53" s="1"/>
  <c r="G30" i="53" s="1"/>
  <c r="G34" i="53" s="1"/>
  <c r="H6" i="53" s="1"/>
  <c r="A24" i="49" l="1"/>
  <c r="I23" i="49"/>
  <c r="H26" i="53"/>
  <c r="H28" i="53" s="1"/>
  <c r="H30" i="53" s="1"/>
  <c r="H34" i="53" s="1"/>
  <c r="I6" i="53" s="1"/>
  <c r="I24" i="49" l="1"/>
  <c r="A25" i="49"/>
  <c r="I26" i="53"/>
  <c r="I28" i="53" s="1"/>
  <c r="I30" i="53" s="1"/>
  <c r="I34" i="53" s="1"/>
  <c r="J6" i="53" s="1"/>
  <c r="J26" i="53" s="1"/>
  <c r="J28" i="53" s="1"/>
  <c r="J30" i="53" s="1"/>
  <c r="J34" i="53" s="1"/>
  <c r="K6" i="53" s="1"/>
  <c r="I25" i="49" l="1"/>
  <c r="A26" i="49"/>
  <c r="K26" i="53"/>
  <c r="K28" i="53" s="1"/>
  <c r="K30" i="53" s="1"/>
  <c r="K34" i="53" s="1"/>
  <c r="L6" i="53" s="1"/>
  <c r="L26" i="53" s="1"/>
  <c r="L28" i="53" s="1"/>
  <c r="L30" i="53" s="1"/>
  <c r="L34" i="53" s="1"/>
  <c r="M6" i="53" s="1"/>
  <c r="A27" i="49" l="1"/>
  <c r="I26" i="49"/>
  <c r="M26" i="53"/>
  <c r="M28" i="53" s="1"/>
  <c r="M30" i="53" s="1"/>
  <c r="I27" i="49" l="1"/>
  <c r="A28" i="49"/>
  <c r="M34" i="53"/>
  <c r="N6" i="53" s="1"/>
  <c r="N26" i="53" s="1"/>
  <c r="N28" i="53" s="1"/>
  <c r="N30" i="53" s="1"/>
  <c r="O30" i="53" s="1"/>
  <c r="O34" i="53" s="1"/>
  <c r="I28" i="49" l="1"/>
  <c r="A29" i="49"/>
  <c r="N34" i="53"/>
  <c r="C7" i="54"/>
  <c r="C10" i="69"/>
  <c r="C10" i="33"/>
  <c r="A30" i="49" l="1"/>
  <c r="I29" i="49"/>
  <c r="E7" i="54"/>
  <c r="C27" i="54"/>
  <c r="C29" i="54" s="1"/>
  <c r="C31" i="54" s="1"/>
  <c r="A31" i="49" l="1"/>
  <c r="I30" i="49"/>
  <c r="C37" i="54"/>
  <c r="C35" i="54"/>
  <c r="D7" i="54" s="1"/>
  <c r="I31" i="49" l="1"/>
  <c r="D27" i="54"/>
  <c r="D29" i="54" s="1"/>
  <c r="D31" i="54" s="1"/>
  <c r="D35" i="54" s="1"/>
  <c r="D37" i="54" l="1"/>
  <c r="E37" i="54" s="1"/>
  <c r="E31" i="54"/>
  <c r="E35" i="54" s="1"/>
  <c r="C12" i="69" l="1"/>
  <c r="C14" i="69" s="1"/>
  <c r="C18" i="69" s="1"/>
  <c r="C22" i="69" s="1"/>
  <c r="C12" i="33"/>
  <c r="C14" i="33" s="1"/>
  <c r="C18" i="33" s="1"/>
  <c r="C22" i="33" s="1"/>
  <c r="C20" i="33" l="1"/>
  <c r="C20" i="69"/>
  <c r="C24" i="33" l="1"/>
  <c r="C26" i="33" s="1"/>
  <c r="C30" i="33" s="1"/>
  <c r="C30" i="59" s="1"/>
  <c r="C30" i="60" s="1"/>
  <c r="C45" i="60" s="1"/>
  <c r="C40" i="67" s="1"/>
  <c r="C24" i="69"/>
  <c r="C26" i="69" s="1"/>
  <c r="C41" i="59" l="1"/>
  <c r="C16" i="67" s="1"/>
  <c r="C37" i="60"/>
  <c r="C32" i="67" s="1"/>
  <c r="G30" i="60"/>
  <c r="G39" i="60" s="1"/>
  <c r="G34" i="67" s="1"/>
  <c r="E30" i="60"/>
  <c r="E43" i="60" s="1"/>
  <c r="E38" i="67" s="1"/>
  <c r="C43" i="60"/>
  <c r="C38" i="67" s="1"/>
  <c r="F30" i="60"/>
  <c r="F43" i="60" s="1"/>
  <c r="F38" i="67" s="1"/>
  <c r="D30" i="60"/>
  <c r="D35" i="60" s="1"/>
  <c r="C39" i="60"/>
  <c r="C34" i="67" s="1"/>
  <c r="F30" i="59"/>
  <c r="F45" i="59" s="1"/>
  <c r="F20" i="67" s="1"/>
  <c r="G30" i="59"/>
  <c r="G43" i="59" s="1"/>
  <c r="G18" i="67" s="1"/>
  <c r="C41" i="60"/>
  <c r="C36" i="67" s="1"/>
  <c r="C43" i="59"/>
  <c r="C18" i="67" s="1"/>
  <c r="C35" i="60"/>
  <c r="C30" i="67" s="1"/>
  <c r="H30" i="60"/>
  <c r="H45" i="60" s="1"/>
  <c r="H40" i="67" s="1"/>
  <c r="C37" i="59"/>
  <c r="C12" i="67" s="1"/>
  <c r="C35" i="59"/>
  <c r="C10" i="67" s="1"/>
  <c r="D30" i="59"/>
  <c r="D37" i="59" s="1"/>
  <c r="D12" i="67" s="1"/>
  <c r="C47" i="60"/>
  <c r="C42" i="67" s="1"/>
  <c r="H30" i="59"/>
  <c r="H43" i="59" s="1"/>
  <c r="H18" i="67" s="1"/>
  <c r="C39" i="59"/>
  <c r="C14" i="67" s="1"/>
  <c r="E30" i="59"/>
  <c r="E37" i="59" s="1"/>
  <c r="E12" i="67" s="1"/>
  <c r="C47" i="59"/>
  <c r="C22" i="67" s="1"/>
  <c r="C45" i="59"/>
  <c r="C20" i="67" s="1"/>
  <c r="G43" i="60" l="1"/>
  <c r="G38" i="67" s="1"/>
  <c r="G47" i="60"/>
  <c r="G42" i="67" s="1"/>
  <c r="F37" i="60"/>
  <c r="F32" i="67" s="1"/>
  <c r="G41" i="59"/>
  <c r="G16" i="67" s="1"/>
  <c r="G47" i="59"/>
  <c r="G22" i="67" s="1"/>
  <c r="H35" i="60"/>
  <c r="H30" i="67" s="1"/>
  <c r="G39" i="59"/>
  <c r="G14" i="67" s="1"/>
  <c r="G37" i="59"/>
  <c r="G12" i="67" s="1"/>
  <c r="F47" i="60"/>
  <c r="F42" i="67" s="1"/>
  <c r="F41" i="60"/>
  <c r="F36" i="67" s="1"/>
  <c r="G45" i="59"/>
  <c r="G20" i="67" s="1"/>
  <c r="G35" i="59"/>
  <c r="G10" i="67" s="1"/>
  <c r="H41" i="59"/>
  <c r="H16" i="67" s="1"/>
  <c r="D41" i="60"/>
  <c r="D36" i="67" s="1"/>
  <c r="D37" i="60"/>
  <c r="D32" i="67" s="1"/>
  <c r="D47" i="60"/>
  <c r="D42" i="67" s="1"/>
  <c r="F45" i="60"/>
  <c r="F40" i="67" s="1"/>
  <c r="D39" i="60"/>
  <c r="D34" i="67" s="1"/>
  <c r="E45" i="60"/>
  <c r="E40" i="67" s="1"/>
  <c r="H43" i="60"/>
  <c r="H38" i="67" s="1"/>
  <c r="G41" i="60"/>
  <c r="G36" i="67" s="1"/>
  <c r="H47" i="60"/>
  <c r="H42" i="67" s="1"/>
  <c r="G37" i="60"/>
  <c r="G32" i="67" s="1"/>
  <c r="D45" i="60"/>
  <c r="D43" i="60"/>
  <c r="D38" i="67" s="1"/>
  <c r="G45" i="60"/>
  <c r="G40" i="67" s="1"/>
  <c r="G35" i="60"/>
  <c r="G30" i="67" s="1"/>
  <c r="H39" i="59"/>
  <c r="H14" i="67" s="1"/>
  <c r="H45" i="59"/>
  <c r="H20" i="67" s="1"/>
  <c r="F39" i="60"/>
  <c r="F34" i="67" s="1"/>
  <c r="H41" i="60"/>
  <c r="H36" i="67" s="1"/>
  <c r="F35" i="60"/>
  <c r="F30" i="67" s="1"/>
  <c r="H39" i="60"/>
  <c r="H34" i="67" s="1"/>
  <c r="H35" i="59"/>
  <c r="H10" i="67" s="1"/>
  <c r="H37" i="60"/>
  <c r="H32" i="67" s="1"/>
  <c r="C44" i="67"/>
  <c r="E37" i="60"/>
  <c r="E32" i="67" s="1"/>
  <c r="F35" i="59"/>
  <c r="F10" i="67" s="1"/>
  <c r="H37" i="59"/>
  <c r="H12" i="67" s="1"/>
  <c r="C24" i="67"/>
  <c r="F39" i="59"/>
  <c r="F14" i="67" s="1"/>
  <c r="E47" i="60"/>
  <c r="E42" i="67" s="1"/>
  <c r="E35" i="60"/>
  <c r="E30" i="67" s="1"/>
  <c r="F47" i="59"/>
  <c r="F22" i="67" s="1"/>
  <c r="C49" i="60"/>
  <c r="E39" i="60"/>
  <c r="E34" i="67" s="1"/>
  <c r="F43" i="59"/>
  <c r="F18" i="67" s="1"/>
  <c r="F41" i="59"/>
  <c r="F16" i="67" s="1"/>
  <c r="E41" i="60"/>
  <c r="E36" i="67" s="1"/>
  <c r="F37" i="59"/>
  <c r="F12" i="67" s="1"/>
  <c r="E41" i="59"/>
  <c r="E16" i="67" s="1"/>
  <c r="D41" i="59"/>
  <c r="D16" i="67" s="1"/>
  <c r="D43" i="59"/>
  <c r="D18" i="67" s="1"/>
  <c r="D47" i="59"/>
  <c r="D22" i="67" s="1"/>
  <c r="C49" i="59"/>
  <c r="D39" i="59"/>
  <c r="D14" i="67" s="1"/>
  <c r="D35" i="59"/>
  <c r="D10" i="67" s="1"/>
  <c r="D45" i="59"/>
  <c r="D20" i="67" s="1"/>
  <c r="H47" i="59"/>
  <c r="H22" i="67" s="1"/>
  <c r="E45" i="59"/>
  <c r="E20" i="67" s="1"/>
  <c r="E35" i="59"/>
  <c r="E10" i="67" s="1"/>
  <c r="E43" i="59"/>
  <c r="E18" i="67" s="1"/>
  <c r="E39" i="59"/>
  <c r="E14" i="67" s="1"/>
  <c r="E47" i="59"/>
  <c r="E22" i="67" s="1"/>
  <c r="D30" i="67"/>
  <c r="G24" i="67" l="1"/>
  <c r="G49" i="59"/>
  <c r="F44" i="67"/>
  <c r="D49" i="60"/>
  <c r="D40" i="67"/>
  <c r="D44" i="67" s="1"/>
  <c r="G49" i="60"/>
  <c r="G44" i="67"/>
  <c r="H49" i="60"/>
  <c r="I36" i="67"/>
  <c r="C20" i="57" s="1"/>
  <c r="E20" i="57" s="1"/>
  <c r="F20" i="57" s="1"/>
  <c r="H24" i="67"/>
  <c r="I45" i="60"/>
  <c r="I37" i="60"/>
  <c r="F24" i="67"/>
  <c r="I41" i="60"/>
  <c r="E44" i="67"/>
  <c r="H44" i="67"/>
  <c r="F49" i="60"/>
  <c r="E49" i="60"/>
  <c r="E24" i="67"/>
  <c r="I32" i="67"/>
  <c r="C16" i="57" s="1"/>
  <c r="E16" i="57" s="1"/>
  <c r="F16" i="57" s="1"/>
  <c r="F49" i="59"/>
  <c r="I39" i="60"/>
  <c r="D24" i="67"/>
  <c r="D49" i="59"/>
  <c r="H49" i="59"/>
  <c r="I42" i="67"/>
  <c r="C26" i="57" s="1"/>
  <c r="E26" i="57" s="1"/>
  <c r="F26" i="57" s="1"/>
  <c r="I43" i="60"/>
  <c r="I35" i="60"/>
  <c r="I34" i="67"/>
  <c r="C18" i="57" s="1"/>
  <c r="E18" i="57" s="1"/>
  <c r="F18" i="57" s="1"/>
  <c r="I38" i="67"/>
  <c r="C22" i="57" s="1"/>
  <c r="E22" i="57" s="1"/>
  <c r="F22" i="57" s="1"/>
  <c r="I47" i="60"/>
  <c r="E49" i="59"/>
  <c r="I30" i="67"/>
  <c r="I40" i="67" l="1"/>
  <c r="C24" i="57" s="1"/>
  <c r="E24" i="57" s="1"/>
  <c r="F24" i="57" s="1"/>
  <c r="I49" i="60"/>
  <c r="C14" i="57"/>
  <c r="I44" i="67" l="1"/>
  <c r="C28" i="57"/>
  <c r="E14" i="57"/>
  <c r="F14" i="57" l="1"/>
  <c r="E28" i="57"/>
  <c r="F28" i="57" s="1"/>
</calcChain>
</file>

<file path=xl/sharedStrings.xml><?xml version="1.0" encoding="utf-8"?>
<sst xmlns="http://schemas.openxmlformats.org/spreadsheetml/2006/main" count="1254" uniqueCount="417">
  <si>
    <t>Statement BD</t>
  </si>
  <si>
    <t>San Diego Gas &amp; Electric Company</t>
  </si>
  <si>
    <t>Allocation Energy and Supporting Data</t>
  </si>
  <si>
    <t>(A)</t>
  </si>
  <si>
    <t xml:space="preserve">(B) </t>
  </si>
  <si>
    <t>(C) = (A) - (B)</t>
  </si>
  <si>
    <t>Retail Energy Sales</t>
  </si>
  <si>
    <t>Sale for Resale</t>
  </si>
  <si>
    <t>Line</t>
  </si>
  <si>
    <t>@ Meter Level</t>
  </si>
  <si>
    <t xml:space="preserve">(City of </t>
  </si>
  <si>
    <t>No.</t>
  </si>
  <si>
    <t>Date</t>
  </si>
  <si>
    <t>Plus Sale for Resale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</si>
  <si>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</si>
  <si>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Net of Sale for Resale</t>
  </si>
  <si>
    <t>Reference</t>
  </si>
  <si>
    <t>Workpaper No. 1; Page 1.1; Lines 30; 29</t>
  </si>
  <si>
    <t>Total</t>
  </si>
  <si>
    <t>Sum Lines 1 thru 12</t>
  </si>
  <si>
    <t>City of Escondido sales are excluded from the KWh total because they are classified as sales to wholesale customers.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</si>
  <si>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</si>
  <si>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Workpaper No. 1; Page 1.2; Lines 31; 32</t>
  </si>
  <si>
    <t>City of Escondido sales are excluded from the KWh total because they are classified as sales to wholesale customers not retail.</t>
  </si>
  <si>
    <t>Forecast sales are used to develop Statements BG and BH, Revenues at Proposed Rates and Present Rates.</t>
  </si>
  <si>
    <t>MWH SALES FORECAST @ Transmission Level</t>
  </si>
  <si>
    <t>(B)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</si>
  <si>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</si>
  <si>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</si>
  <si>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</si>
  <si>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</si>
  <si>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</si>
  <si>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</si>
  <si>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</si>
  <si>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</si>
  <si>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</si>
  <si>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Cols. A to C, WP No. 1; Page 1.2; Lines 11, 10 &amp; 13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</si>
  <si>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</si>
  <si>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</si>
  <si>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</si>
  <si>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</si>
  <si>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</si>
  <si>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</si>
  <si>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</si>
  <si>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Statement BD WP; Page 4 of 5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</si>
  <si>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</si>
  <si>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t>Statement BD WP; Page 5 of 5</t>
  </si>
  <si>
    <t>Total Gross Load Forecast</t>
  </si>
  <si>
    <t>Sum Lines 22 thru 26</t>
  </si>
  <si>
    <t>This information is used for CAISO TAC purposes as shown in Statement BL -Wholesale. The sales forecast excludes Sale for Resale.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</si>
  <si>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</si>
  <si>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</si>
  <si>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</si>
  <si>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</si>
  <si>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</si>
  <si>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</si>
  <si>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</si>
  <si>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</si>
  <si>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</si>
  <si>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</si>
  <si>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</si>
  <si>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</si>
  <si>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</si>
  <si>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</si>
  <si>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Lake Hodges Pumping Load</t>
  </si>
  <si>
    <t>Primary Level Distribution Loss Factor</t>
  </si>
  <si>
    <t>Total Lake Hodges Pumping Load</t>
  </si>
  <si>
    <t>Olivenhain-Lake Hodges Pumping Load Adjustment Mechanism</t>
  </si>
  <si>
    <t>Line No.</t>
  </si>
  <si>
    <t>Description</t>
  </si>
  <si>
    <t>Amount</t>
  </si>
  <si>
    <t xml:space="preserve">Pumped Storage Facility - Actual Load </t>
  </si>
  <si>
    <t>SDG&amp;E Records</t>
  </si>
  <si>
    <t xml:space="preserve">Pumped Storage Facility - Forecast Load </t>
  </si>
  <si>
    <t>Difference</t>
  </si>
  <si>
    <t>Line 1 Minus Line 2</t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</si>
  <si>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</si>
  <si>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Line 3 x Line 4</t>
  </si>
  <si>
    <t>The Pumped Storage - True Up Adjustment reconciles the difference between the prior year's forecast and actual load data.</t>
  </si>
  <si>
    <t>Statement BG</t>
  </si>
  <si>
    <t>Transmission Access Charge Balancing Account Adjustment (TACBAA) Revenues Data to Reflect Changed Rates</t>
  </si>
  <si>
    <t>Comparison of Revenues</t>
  </si>
  <si>
    <t>(D) = (C) / (B)</t>
  </si>
  <si>
    <t>(Statement BG)</t>
  </si>
  <si>
    <t>(Statement BH)</t>
  </si>
  <si>
    <t>TACBAA Revenues</t>
  </si>
  <si>
    <t>(%)</t>
  </si>
  <si>
    <t>Customer Classes</t>
  </si>
  <si>
    <t>@ Changed Rates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</si>
  <si>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</si>
  <si>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($) Change</t>
  </si>
  <si>
    <t>Change</t>
  </si>
  <si>
    <t xml:space="preserve">Residential </t>
  </si>
  <si>
    <t>Statement BG; Page 2 of 4; Line 16</t>
  </si>
  <si>
    <t>Statement BH; Page 1 of 3; Line 16</t>
  </si>
  <si>
    <t xml:space="preserve">Small Commercial </t>
  </si>
  <si>
    <t>Statement BG; Page 2 of 4; Line 18</t>
  </si>
  <si>
    <t>Statement BH; Page 1 of 3; Line 18</t>
  </si>
  <si>
    <t xml:space="preserve">Medium and Large Commercial/Industrial </t>
  </si>
  <si>
    <t>Statement BG; Page 2 of 4; Line 20</t>
  </si>
  <si>
    <t>Statement BH; Page 1 of 3; Line 20</t>
  </si>
  <si>
    <t>San Diego Unified Port District</t>
  </si>
  <si>
    <t>Statement BG; Page 2 of 4; Line 22</t>
  </si>
  <si>
    <t>Statement BH; Page 1 of 3; Line 22</t>
  </si>
  <si>
    <t>Agriculture (PA and TOU-PA)</t>
  </si>
  <si>
    <t>Statement BG; Page 2 of 4; Line 24</t>
  </si>
  <si>
    <t>Statement BH; Page 1 of 3; Line 24</t>
  </si>
  <si>
    <t>Agriculture (PA-T-1)</t>
  </si>
  <si>
    <t>Statement BG; Page 2 of 4; Line 26</t>
  </si>
  <si>
    <t>Statement BH; Page 1 of 3; Line 26</t>
  </si>
  <si>
    <t xml:space="preserve">Street Lighting </t>
  </si>
  <si>
    <t>Statement BG; Page 2 of 4; Line 28</t>
  </si>
  <si>
    <t>Statement BH; Page 1 of 3; Line 28</t>
  </si>
  <si>
    <t xml:space="preserve">     Grand Total</t>
  </si>
  <si>
    <t>Sum Lines 1 through 13</t>
  </si>
  <si>
    <t>(C)</t>
  </si>
  <si>
    <t>(D)</t>
  </si>
  <si>
    <t>(E)</t>
  </si>
  <si>
    <t>(F)</t>
  </si>
  <si>
    <t>(G)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</si>
  <si>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</si>
  <si>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</si>
  <si>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</si>
  <si>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r>
      <t xml:space="preserve">San Diego Unified Port District  </t>
    </r>
    <r>
      <rPr>
        <b/>
        <vertAlign val="superscript"/>
        <sz val="12"/>
        <rFont val="Times New Roman"/>
        <family val="1"/>
      </rPr>
      <t>4</t>
    </r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</si>
  <si>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5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</si>
  <si>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6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</si>
  <si>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7</t>
    </r>
  </si>
  <si>
    <t>TOTAL</t>
  </si>
  <si>
    <t>1</t>
  </si>
  <si>
    <t>See Stmt BG pages 3 of 4 and 4 of 4, Line 25.</t>
  </si>
  <si>
    <t>See Stmt BG pages 3 of 4 and 4 of 4, Line 33.</t>
  </si>
  <si>
    <t>See Stmt BG pages 3 of 4 and 4 of 4, Line 27.</t>
  </si>
  <si>
    <t>See Stmt BG pages 3 of 4 and 4 of 4, Line 35.</t>
  </si>
  <si>
    <t>See Stmt BG pages 3 of 4 and 4 of 4, Line 29.</t>
  </si>
  <si>
    <t>See Stmt BG pages 3 of 4 and 4 of 4, Line 37.</t>
  </si>
  <si>
    <t>See Stmt BG pages 3 of 4 and 4 of 4, Line 31.</t>
  </si>
  <si>
    <t>Energy (kWh)</t>
  </si>
  <si>
    <t>Residential Customers</t>
  </si>
  <si>
    <t>Work Paper No. 1; Page 1.2; Line 24</t>
  </si>
  <si>
    <t>Work Paper No. 1; Page 1.2; Line 25</t>
  </si>
  <si>
    <t>Medium and Large Commercial/Industrial</t>
  </si>
  <si>
    <t>Work Paper No. 1; Page 1.2; Line 26</t>
  </si>
  <si>
    <t>Work Paper No. 1; Page 1.2; Line 27</t>
  </si>
  <si>
    <t>Work Paper No. 1; Page 1.2; Line 28</t>
  </si>
  <si>
    <t>Work Paper No. 1; Page 1.2; Line 29</t>
  </si>
  <si>
    <t>Street Lighting</t>
  </si>
  <si>
    <t>Work Paper No. 1; Page 1.2; Line 30</t>
  </si>
  <si>
    <t>Sum Lines 1 thru 13</t>
  </si>
  <si>
    <t>$/(kWh)</t>
  </si>
  <si>
    <t>Retail TACBAA Rate ($/kWh) @ Changed Rate</t>
  </si>
  <si>
    <t>Statement BL-Retail; Page 1; Line 21</t>
  </si>
  <si>
    <t>Revenues @ Changed Rates</t>
  </si>
  <si>
    <t>Line 1 x Line 20</t>
  </si>
  <si>
    <t>Line 3 x Line 20</t>
  </si>
  <si>
    <t>Line 5 x Line 20</t>
  </si>
  <si>
    <t>Line 7 x Line 20</t>
  </si>
  <si>
    <t>Line 9 x Line 20</t>
  </si>
  <si>
    <t>Line 11 x Line 20</t>
  </si>
  <si>
    <t>Line 13 x Line 20</t>
  </si>
  <si>
    <t>Sum Lines 25 through 37</t>
  </si>
  <si>
    <t>(H)</t>
  </si>
  <si>
    <t>(I)</t>
  </si>
  <si>
    <t>(J)</t>
  </si>
  <si>
    <t>(K)</t>
  </si>
  <si>
    <t>(L)</t>
  </si>
  <si>
    <t>(M)</t>
  </si>
  <si>
    <t>(N)</t>
  </si>
  <si>
    <t>(O)</t>
  </si>
  <si>
    <t>Statement BH</t>
  </si>
  <si>
    <t>See Stmt BH pages 2 of 3 and 3 of 3, Line 25.</t>
  </si>
  <si>
    <t>See Stmt BH pages 2 of 3 and 3 of 3, Line 33.</t>
  </si>
  <si>
    <t>See Stmt BH pages 2 of 3 and 3 of 3, Line 27.</t>
  </si>
  <si>
    <t>See Stmt BH pages 2 of 3 and 3 of 3, Line 35.</t>
  </si>
  <si>
    <t>See Stmt BH pages 2 of 3 and 3 of 3, Line 29.</t>
  </si>
  <si>
    <t>See Stmt BH pages 2 of 3 and 3 of 3, Line 37.</t>
  </si>
  <si>
    <t>See Stmt BH pages 2 of 3 and 3 of 3, Line 31.</t>
  </si>
  <si>
    <t>Retail TACBAA Rate ($/kWh) @ Present Rate</t>
  </si>
  <si>
    <t>Revenues @ Present Rates</t>
  </si>
  <si>
    <t>Statement BK</t>
  </si>
  <si>
    <t>TACBAA Forecast Including Franchise Fees &amp; Uncollectible Expense</t>
  </si>
  <si>
    <t>Components</t>
  </si>
  <si>
    <t>TACBAA</t>
  </si>
  <si>
    <t>Workpaper No. 2; Pages 2.4; Line 29</t>
  </si>
  <si>
    <t>Workpaper No. 3; Page 3.1; Total Col; Line 31</t>
  </si>
  <si>
    <t>Line 1 + Line 3</t>
  </si>
  <si>
    <t>Forecasted Net Access Charge Billings</t>
  </si>
  <si>
    <t>Workpaper No. 4; Page 4.1; Col. 6; Line 3</t>
  </si>
  <si>
    <t>Total TACBAA Before Franchise Fees &amp; Uncollectible</t>
  </si>
  <si>
    <t>Line 5 + Line 7</t>
  </si>
  <si>
    <t>Total Franchise Fees and Uncollectible</t>
  </si>
  <si>
    <t>Line 11 + Line 13</t>
  </si>
  <si>
    <t>Total TACBAA Forecast Including FF&amp;U</t>
  </si>
  <si>
    <t>Line 9 + Line 15</t>
  </si>
  <si>
    <t>Statement BL</t>
  </si>
  <si>
    <t>TACBAA Rate Schedule</t>
  </si>
  <si>
    <t>Statement BD; Page 1 of 5; Column C; Line 15</t>
  </si>
  <si>
    <t xml:space="preserve">Total TACBAA Rate ($/kWh) </t>
  </si>
  <si>
    <t>Line 17 / Line 19</t>
  </si>
  <si>
    <t>San Diego Gas &amp; Electric</t>
  </si>
  <si>
    <t>System Delivery Determinants</t>
  </si>
  <si>
    <t>Customer Class Deliveries (MWh)</t>
  </si>
  <si>
    <t>Residential</t>
  </si>
  <si>
    <t>Small Commercial</t>
  </si>
  <si>
    <t>Med. &amp; Large Comm./Ind.</t>
  </si>
  <si>
    <t>Agriculture (PA/TOU-PA)</t>
  </si>
  <si>
    <t>Lighting</t>
  </si>
  <si>
    <t>Total System</t>
  </si>
  <si>
    <t>Total System - EXCLUDING Sale for Resale</t>
  </si>
  <si>
    <t>INPUT FROM RECORDED SALES FILE:</t>
  </si>
  <si>
    <t>Medium &amp; Large Details - Deliveries in MWH:</t>
  </si>
  <si>
    <t>Med. &amp; Large Comm./Ind. (AD)</t>
  </si>
  <si>
    <t>Med. &amp; Large Comm./Ind. (excluding AD/A6-TOU)</t>
  </si>
  <si>
    <t>Med. &amp; Large Comm./Ind. (A6-TOU)</t>
  </si>
  <si>
    <t>Customer Class Deliveries (kWh)</t>
  </si>
  <si>
    <t>Agriculture (PA)</t>
  </si>
  <si>
    <t>Medium &amp; Large Details - Deliveries in kWh:</t>
  </si>
  <si>
    <t>Med &amp; Large C/I (AD)</t>
  </si>
  <si>
    <t>Med &amp; Large C/I (AL+AY+DGR)</t>
  </si>
  <si>
    <t>Med &amp; Large C/I (A6)</t>
  </si>
  <si>
    <t>Total Deliveries MWH - Work Paper</t>
  </si>
  <si>
    <t>Sum Lines 3 - 7</t>
  </si>
  <si>
    <t>INPUT FROM FORECAST:</t>
  </si>
  <si>
    <t>Sum Lines 12 - 14</t>
  </si>
  <si>
    <t>November</t>
  </si>
  <si>
    <t>December</t>
  </si>
  <si>
    <t>January</t>
  </si>
  <si>
    <t>February</t>
  </si>
  <si>
    <t>March</t>
  </si>
  <si>
    <t>April</t>
  </si>
  <si>
    <t>August</t>
  </si>
  <si>
    <t>September</t>
  </si>
  <si>
    <t>October</t>
  </si>
  <si>
    <t>Beginning Balance (Overcollection)/Undercollection</t>
  </si>
  <si>
    <t>Previous Month's Balance</t>
  </si>
  <si>
    <t>TACBAA Refund</t>
  </si>
  <si>
    <t xml:space="preserve">   Kwh</t>
  </si>
  <si>
    <t>Work Paper No. 1; Page 1.1; Line 32</t>
  </si>
  <si>
    <t xml:space="preserve">   TACBAA Rate</t>
  </si>
  <si>
    <t xml:space="preserve">        Total TACBAA Refund Including Franchise Fees &amp; Uncollectibles</t>
  </si>
  <si>
    <t>Line 4 x Line 5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</si>
  <si>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</si>
  <si>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(Line 6 / (1+ Line 35)) * Line 35</t>
  </si>
  <si>
    <t xml:space="preserve">        Total TACBAA Refund</t>
  </si>
  <si>
    <t>Line 6 - Line 7</t>
  </si>
  <si>
    <t>Monthly ISO Charge Types (Revenues=Cr.) / Expenses=Dr.:</t>
  </si>
  <si>
    <t xml:space="preserve">      CT 372 - HVAC Due ISO - Expense</t>
  </si>
  <si>
    <t xml:space="preserve">CT 372 - HVAC Due ISO </t>
  </si>
  <si>
    <t xml:space="preserve">      CT 374 - HVAC Due PTO - Revenues</t>
  </si>
  <si>
    <t>CT 374 - HVAC Due PTO</t>
  </si>
  <si>
    <t xml:space="preserve">          Total Monthly Related (Revenues)/Expenses:</t>
  </si>
  <si>
    <t>Sum Lines 11 through 13</t>
  </si>
  <si>
    <t>Net Monthly Activity (Net of Refunds, Revenues, &amp; Expenses)</t>
  </si>
  <si>
    <t xml:space="preserve">Minus Line 8 + Line 15 </t>
  </si>
  <si>
    <t>Interest Expense Calculations:</t>
  </si>
  <si>
    <t xml:space="preserve">      Beginning Balance for Interest Calculation</t>
  </si>
  <si>
    <t xml:space="preserve">Beg. Monthly Balances 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</si>
  <si>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</si>
  <si>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</si>
  <si>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</si>
  <si>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>Line 21 + Line 22</t>
  </si>
  <si>
    <t xml:space="preserve">      Monthly Interest Rate</t>
  </si>
  <si>
    <t>FERC Monthly Rates</t>
  </si>
  <si>
    <t xml:space="preserve">         Interest Expense</t>
  </si>
  <si>
    <t>Line 23 x Line 24</t>
  </si>
  <si>
    <t>Other Adjustment (rounding)</t>
  </si>
  <si>
    <t>Other Adjustment</t>
  </si>
  <si>
    <t>Ending Balance (Overcollection)/Undercollection</t>
  </si>
  <si>
    <t>Line 1 + Line 18 + Line 25 + Line 27</t>
  </si>
  <si>
    <t>Franchise Fees &amp; Uncollectible Adjustment:</t>
  </si>
  <si>
    <t>Franchise Fees Expense Rate</t>
  </si>
  <si>
    <t>Uncollectible Expense Adjustment Rate</t>
  </si>
  <si>
    <t xml:space="preserve">     Combined FF&amp;U Adjustment Rate</t>
  </si>
  <si>
    <t>Franchise Fees &amp; Uncollectible Rate</t>
  </si>
  <si>
    <t>The Franchise Fees and Uncollectible expense amount adjustment are removed from the amount collected from/(refunded) to customers to properly balance in the TACBAA mechanism only the approved revenue credits and CAISO charges.</t>
  </si>
  <si>
    <t>Franchise Fee Rate</t>
  </si>
  <si>
    <t>Uncollectible Rate</t>
  </si>
  <si>
    <t xml:space="preserve">      Total</t>
  </si>
  <si>
    <t>Total Rate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</si>
  <si>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</si>
  <si>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</si>
  <si>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</si>
  <si>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</si>
  <si>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</si>
  <si>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</si>
  <si>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Forecast</t>
  </si>
  <si>
    <t>(Line 6 / (1+ Line 37)) * Line 37</t>
  </si>
  <si>
    <t>Monthly ISO Charge Types (Revenues=Cr.)/Expenses=Dr.:</t>
  </si>
  <si>
    <t xml:space="preserve">Estimated CT 372 - HVAC Due ISO </t>
  </si>
  <si>
    <t>Estimated CT 374 - HVAC Due PTO</t>
  </si>
  <si>
    <t>Beginning Monthly Balances</t>
  </si>
  <si>
    <t>Estimated Ending Balance (Overcollection)/Undercollection Forecast</t>
  </si>
  <si>
    <t>Net Monthly Activity Forecast</t>
  </si>
  <si>
    <t>Line 18 + Line 25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</si>
  <si>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</si>
  <si>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</si>
  <si>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</si>
  <si>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</si>
  <si>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</si>
  <si>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</si>
  <si>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</si>
  <si>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</si>
  <si>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</si>
  <si>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</si>
  <si>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</si>
  <si>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PG&amp;E</t>
  </si>
  <si>
    <t>SCE</t>
  </si>
  <si>
    <t>SDG&amp;E</t>
  </si>
  <si>
    <t>Anaheim</t>
  </si>
  <si>
    <t>Azusa</t>
  </si>
  <si>
    <t>Banning</t>
  </si>
  <si>
    <t>Pasadena</t>
  </si>
  <si>
    <t>Riverside</t>
  </si>
  <si>
    <t>Vernon</t>
  </si>
  <si>
    <t>DATC Path 15</t>
  </si>
  <si>
    <t>Startrans IO</t>
  </si>
  <si>
    <t>Trans Bay Cable</t>
  </si>
  <si>
    <t>Citizens Sunrise</t>
  </si>
  <si>
    <t>Colton</t>
  </si>
  <si>
    <t>VEA</t>
  </si>
  <si>
    <t>GLW</t>
  </si>
  <si>
    <t>MCCT</t>
  </si>
  <si>
    <t>CSPT</t>
  </si>
  <si>
    <t>HZWT</t>
  </si>
  <si>
    <t>DSLK</t>
  </si>
  <si>
    <t>Morongo Trans.</t>
  </si>
  <si>
    <t xml:space="preserve"> ISO Total</t>
  </si>
  <si>
    <t>San Diego Gas &amp; Electric Co.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</si>
  <si>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</si>
  <si>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</si>
  <si>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</si>
  <si>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</si>
  <si>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</si>
  <si>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</si>
  <si>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</si>
  <si>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</si>
  <si>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</si>
  <si>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</si>
  <si>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</si>
  <si>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</si>
  <si>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</si>
  <si>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7/1/2020 ER20-1738</t>
  </si>
  <si>
    <t>4/23/2020 ER19-2846</t>
  </si>
  <si>
    <t>9/15/2017 ER17-727</t>
  </si>
  <si>
    <t>Total CAISO Grid</t>
  </si>
  <si>
    <t>For Information Only</t>
  </si>
  <si>
    <t xml:space="preserve">TRBAA </t>
  </si>
  <si>
    <t>10/7/2022 ER22-2612</t>
  </si>
  <si>
    <t xml:space="preserve">    Franchise Fees @ 1.0207 %</t>
  </si>
  <si>
    <t>Line 9 x 1.0207%</t>
  </si>
  <si>
    <t>Forecast Billing Determinants for the 12-Month Period: January 2025 - December 2025</t>
  </si>
  <si>
    <t>4/15/2019 ER19-1136</t>
  </si>
  <si>
    <t>1/1/2024 ER24-711</t>
  </si>
  <si>
    <t>1/1/2024 ER24-519</t>
  </si>
  <si>
    <t>1/1/2024 ER24-520</t>
  </si>
  <si>
    <t>DCRT</t>
  </si>
  <si>
    <t>6/12/2024 ER23-2309</t>
  </si>
  <si>
    <t>Citizens S-Line</t>
  </si>
  <si>
    <t>2026 Forecasted Net Access Charge Billings</t>
  </si>
  <si>
    <t xml:space="preserve">1/1/2026 ER26-XXX </t>
  </si>
  <si>
    <t>1/1/2026 ER25-3533</t>
  </si>
  <si>
    <t>1/1/2026 ER26-XXX</t>
  </si>
  <si>
    <t>1/1/2026 ER26-378</t>
  </si>
  <si>
    <t>1/1/2026 ER26-336</t>
  </si>
  <si>
    <t>1/1/2025 NJ25-1</t>
  </si>
  <si>
    <t>1/1/2025 NJ25-6</t>
  </si>
  <si>
    <t>1/1/2025 NJ25-3</t>
  </si>
  <si>
    <t>1/1/2025 NJ25-7</t>
  </si>
  <si>
    <t>1/1/2025 NJ25-5</t>
  </si>
  <si>
    <t>Viridon (formerly DATC) Path 15</t>
  </si>
  <si>
    <t>1/30/2026 ER25-2707</t>
  </si>
  <si>
    <t>1/1/2026 ER26-261</t>
  </si>
  <si>
    <t>1/1/2026 ER26-302</t>
  </si>
  <si>
    <t>1/1/2026 ER26-334</t>
  </si>
  <si>
    <t>1/1/2025 ER25-557</t>
  </si>
  <si>
    <t>1/1/2026 ER26-206</t>
  </si>
  <si>
    <t>1/1/2026 ER26-150</t>
  </si>
  <si>
    <t>1/1/2025 NJ25-2</t>
  </si>
  <si>
    <t>1/1/2025 ER25-597</t>
  </si>
  <si>
    <t>1/1/2025 ER25-556</t>
  </si>
  <si>
    <t>1/1/2025 ER19-2314</t>
  </si>
  <si>
    <t>1/1/2026 ER26-207</t>
  </si>
  <si>
    <t>1/1/2026 ER26-151</t>
  </si>
  <si>
    <t>1/1/2025 ER25-598</t>
  </si>
  <si>
    <t>1/1/2025 ER25-648</t>
  </si>
  <si>
    <t>1/1/2025 ER25-321</t>
  </si>
  <si>
    <t>1/1/2025 ER25-235</t>
  </si>
  <si>
    <t>1/1/2026 ER26-208</t>
  </si>
  <si>
    <t>1/1/2026 ER26-155</t>
  </si>
  <si>
    <t>LS Power Grid</t>
  </si>
  <si>
    <t>3/12/2025 ER25-1129</t>
  </si>
  <si>
    <t>TACBAA Rates; ER25-405-000</t>
  </si>
  <si>
    <t>Forecast Sales in Nov &amp; Dec 2025 (Page 3.2, Line 32)</t>
  </si>
  <si>
    <t>TACBAA Rates; ER24-370 (Nov - Dec 2024); ER25-405 (Jan - Dec 2025); Blended rate in Jan 2025</t>
  </si>
  <si>
    <t>Average TACBAA Rate Calculation for January 2025:</t>
  </si>
  <si>
    <t xml:space="preserve">   Prior Year - TACBAA Rate 2024</t>
  </si>
  <si>
    <t xml:space="preserve">   Current Year - TACBAA Rate 2025</t>
  </si>
  <si>
    <t>FF&amp;U used in Balancing Acct detail (2024 Rates)</t>
  </si>
  <si>
    <t>FF&amp;U used in Balancing Acct detail (2025 Rates):</t>
  </si>
  <si>
    <t>Forecast Billing Determinants for the 12-Month Period: January 2026 - December 2026</t>
  </si>
  <si>
    <t>Recorded Billing Determinants for the 12-Month Period: November 2024 - October 2025</t>
  </si>
  <si>
    <t>2026 - TACBAA Rate Filing</t>
  </si>
  <si>
    <r>
      <t xml:space="preserve">January 2026 - December 2026 </t>
    </r>
    <r>
      <rPr>
        <b/>
        <vertAlign val="superscript"/>
        <sz val="12"/>
        <rFont val="Times New Roman"/>
        <family val="1"/>
      </rPr>
      <t xml:space="preserve"> 1</t>
    </r>
  </si>
  <si>
    <t>Per Cost Statement BB; Page 1; Line 24 of SDG&amp;E's TO6-Cycle 2 Annual Informational Filing.</t>
  </si>
  <si>
    <t>The 1.0414 factor is used to convert the retail sales forecast at meter level up to the transmission level.</t>
  </si>
  <si>
    <t>Forecast Period January 2026 - December 2026</t>
  </si>
  <si>
    <t>2026 (MWh)</t>
  </si>
  <si>
    <t>For the 12-Month Base &amp; True Up Period Ending December 31, 2024</t>
  </si>
  <si>
    <t>Rate Effective Period - Twelve Months Ending December 31, 2026</t>
  </si>
  <si>
    <t>Present Rates are defined as rates effective pursuant to ER25-405.</t>
  </si>
  <si>
    <t>Transmission Access Charge Balancing Account Adjustment (TACBAA) Revenue Data to Reflect Present Rates per ER25-405</t>
  </si>
  <si>
    <t>FERC Docket No. ER25-405-000</t>
  </si>
  <si>
    <t>Recorded TACBAA Balance @ October 31, 2025</t>
  </si>
  <si>
    <t>TACBAA Forecast (Nov and Dec 2025)</t>
  </si>
  <si>
    <t>TACBAA Projected Balance @ December 31, 2025</t>
  </si>
  <si>
    <t xml:space="preserve">    Uncollectibles @ 0.5510%</t>
  </si>
  <si>
    <t>Line 9 x 0.551%</t>
  </si>
  <si>
    <t>S: = 12 Months KWh Ending October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</si>
</sst>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  <numFmt numFmtId="207" formatCode="_(* #,##0.0_);_(* \(#,##0.0\);_(* &quot;-&quot;??_);_(@_)"/>
  </numFmts>
  <fonts count="1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937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3" borderId="0" applyNumberFormat="0" applyBorder="0" applyAlignment="0" applyProtection="0"/>
    <xf numFmtId="0" fontId="59" fillId="45" borderId="0" applyNumberFormat="0" applyBorder="0" applyAlignment="0" applyProtection="0"/>
    <xf numFmtId="0" fontId="59" fillId="46" borderId="0" applyNumberFormat="0" applyBorder="0" applyAlignment="0" applyProtection="0"/>
    <xf numFmtId="0" fontId="60" fillId="47" borderId="0" applyNumberFormat="0" applyBorder="0" applyAlignment="0" applyProtection="0"/>
    <xf numFmtId="0" fontId="59" fillId="49" borderId="0" applyNumberFormat="0" applyBorder="0" applyAlignment="0" applyProtection="0"/>
    <xf numFmtId="0" fontId="59" fillId="50" borderId="0" applyNumberFormat="0" applyBorder="0" applyAlignment="0" applyProtection="0"/>
    <xf numFmtId="0" fontId="60" fillId="51" borderId="0" applyNumberFormat="0" applyBorder="0" applyAlignment="0" applyProtection="0"/>
    <xf numFmtId="0" fontId="59" fillId="50" borderId="0" applyNumberFormat="0" applyBorder="0" applyAlignment="0" applyProtection="0"/>
    <xf numFmtId="0" fontId="59" fillId="51" borderId="0" applyNumberFormat="0" applyBorder="0" applyAlignment="0" applyProtection="0"/>
    <xf numFmtId="0" fontId="60" fillId="51" borderId="0" applyNumberFormat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2" borderId="0" applyNumberFormat="0" applyBorder="0" applyAlignment="0" applyProtection="0"/>
    <xf numFmtId="0" fontId="59" fillId="53" borderId="0" applyNumberFormat="0" applyBorder="0" applyAlignment="0" applyProtection="0"/>
    <xf numFmtId="0" fontId="59" fillId="46" borderId="0" applyNumberFormat="0" applyBorder="0" applyAlignment="0" applyProtection="0"/>
    <xf numFmtId="0" fontId="60" fillId="54" borderId="0" applyNumberFormat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64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4" fontId="64" fillId="58" borderId="101" applyNumberFormat="0" applyProtection="0">
      <alignment horizontal="left" vertical="center" indent="1"/>
    </xf>
    <xf numFmtId="0" fontId="64" fillId="58" borderId="101" applyNumberFormat="0" applyProtection="0">
      <alignment horizontal="left" vertical="top" indent="1"/>
    </xf>
    <xf numFmtId="4" fontId="64" fillId="60" borderId="0" applyNumberFormat="0" applyProtection="0">
      <alignment horizontal="left" vertical="center" indent="1"/>
    </xf>
    <xf numFmtId="4" fontId="62" fillId="35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4" fillId="62" borderId="102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4" fontId="62" fillId="60" borderId="101" applyNumberFormat="0" applyProtection="0">
      <alignment horizontal="right" vertical="center"/>
    </xf>
    <xf numFmtId="4" fontId="62" fillId="63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4" fontId="62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4" fontId="62" fillId="59" borderId="101" applyNumberFormat="0" applyProtection="0">
      <alignment horizontal="left" vertical="center" indent="1"/>
    </xf>
    <xf numFmtId="0" fontId="62" fillId="59" borderId="101" applyNumberFormat="0" applyProtection="0">
      <alignment horizontal="left" vertical="top" indent="1"/>
    </xf>
    <xf numFmtId="4" fontId="62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2" fillId="60" borderId="101" applyNumberFormat="0" applyProtection="0">
      <alignment horizontal="left" vertical="center" indent="1"/>
    </xf>
    <xf numFmtId="0" fontId="62" fillId="60" borderId="101" applyNumberFormat="0" applyProtection="0">
      <alignment horizontal="left" vertical="top" indent="1"/>
    </xf>
    <xf numFmtId="4" fontId="69" fillId="66" borderId="0" applyNumberFormat="0" applyProtection="0">
      <alignment horizontal="left" vertical="center" indent="1"/>
    </xf>
    <xf numFmtId="4" fontId="63" fillId="63" borderId="101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184" fontId="7" fillId="0" borderId="0" applyFont="0" applyFill="0" applyBorder="0" applyAlignment="0" applyProtection="0"/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43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/>
    <xf numFmtId="43" fontId="59" fillId="0" borderId="0" applyFont="0" applyFill="0" applyBorder="0" applyAlignment="0" applyProtection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5" fontId="77" fillId="0" borderId="0" applyNumberFormat="0" applyFill="0" applyBorder="0" applyAlignment="0" applyProtection="0">
      <alignment vertical="top"/>
    </xf>
    <xf numFmtId="186" fontId="77" fillId="0" borderId="0" applyNumberFormat="0" applyFill="0" applyBorder="0" applyAlignment="0" applyProtection="0">
      <alignment vertical="top"/>
    </xf>
    <xf numFmtId="185" fontId="78" fillId="0" borderId="42" applyBorder="0">
      <alignment horizontal="left"/>
    </xf>
    <xf numFmtId="186" fontId="78" fillId="0" borderId="42" applyBorder="0">
      <alignment horizontal="lef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59" fillId="68" borderId="0" applyNumberFormat="0" applyBorder="0" applyAlignment="0" applyProtection="0"/>
    <xf numFmtId="189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0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2" fillId="12" borderId="0" applyNumberFormat="0" applyBorder="0" applyAlignment="0" applyProtection="0"/>
    <xf numFmtId="172" fontId="2" fillId="12" borderId="0" applyNumberFormat="0" applyBorder="0" applyAlignment="0" applyProtection="0"/>
    <xf numFmtId="0" fontId="59" fillId="35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6" borderId="0" applyNumberFormat="0" applyBorder="0" applyAlignment="0" applyProtection="0"/>
    <xf numFmtId="172" fontId="2" fillId="16" borderId="0" applyNumberFormat="0" applyBorder="0" applyAlignment="0" applyProtection="0"/>
    <xf numFmtId="0" fontId="59" fillId="69" borderId="0" applyNumberFormat="0" applyBorder="0" applyAlignment="0" applyProtection="0"/>
    <xf numFmtId="189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0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59" fillId="70" borderId="0" applyNumberFormat="0" applyBorder="0" applyAlignment="0" applyProtection="0"/>
    <xf numFmtId="189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2" fillId="24" borderId="0" applyNumberFormat="0" applyBorder="0" applyAlignment="0" applyProtection="0"/>
    <xf numFmtId="172" fontId="2" fillId="24" borderId="0" applyNumberFormat="0" applyBorder="0" applyAlignment="0" applyProtection="0"/>
    <xf numFmtId="0" fontId="59" fillId="71" borderId="0" applyNumberFormat="0" applyBorder="0" applyAlignment="0" applyProtection="0"/>
    <xf numFmtId="189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59" fillId="72" borderId="0" applyNumberFormat="0" applyBorder="0" applyAlignment="0" applyProtection="0"/>
    <xf numFmtId="189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2" fillId="32" borderId="0" applyNumberFormat="0" applyBorder="0" applyAlignment="0" applyProtection="0"/>
    <xf numFmtId="172" fontId="2" fillId="32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13" borderId="0" applyNumberFormat="0" applyBorder="0" applyAlignment="0" applyProtection="0"/>
    <xf numFmtId="172" fontId="2" fillId="13" borderId="0" applyNumberFormat="0" applyBorder="0" applyAlignment="0" applyProtection="0"/>
    <xf numFmtId="0" fontId="59" fillId="37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0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7" borderId="0" applyNumberFormat="0" applyBorder="0" applyAlignment="0" applyProtection="0"/>
    <xf numFmtId="172" fontId="2" fillId="17" borderId="0" applyNumberFormat="0" applyBorder="0" applyAlignment="0" applyProtection="0"/>
    <xf numFmtId="0" fontId="59" fillId="38" borderId="0" applyNumberFormat="0" applyBorder="0" applyAlignment="0" applyProtection="0"/>
    <xf numFmtId="189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59" fillId="70" borderId="0" applyNumberFormat="0" applyBorder="0" applyAlignment="0" applyProtection="0"/>
    <xf numFmtId="189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2" fillId="25" borderId="0" applyNumberFormat="0" applyBorder="0" applyAlignment="0" applyProtection="0"/>
    <xf numFmtId="172" fontId="2" fillId="25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29" borderId="0" applyNumberFormat="0" applyBorder="0" applyAlignment="0" applyProtection="0"/>
    <xf numFmtId="172" fontId="2" fillId="29" borderId="0" applyNumberFormat="0" applyBorder="0" applyAlignment="0" applyProtection="0"/>
    <xf numFmtId="0" fontId="59" fillId="39" borderId="0" applyNumberFormat="0" applyBorder="0" applyAlignment="0" applyProtection="0"/>
    <xf numFmtId="189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0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2" fillId="33" borderId="0" applyNumberFormat="0" applyBorder="0" applyAlignment="0" applyProtection="0"/>
    <xf numFmtId="172" fontId="2" fillId="33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0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9" fontId="79" fillId="64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79" fillId="64" borderId="0" applyNumberFormat="0" applyBorder="0" applyAlignment="0" applyProtection="0"/>
    <xf numFmtId="0" fontId="60" fillId="7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14" borderId="0" applyNumberFormat="0" applyBorder="0" applyAlignment="0" applyProtection="0"/>
    <xf numFmtId="172" fontId="55" fillId="14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0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9" fontId="79" fillId="37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79" fillId="37" borderId="0" applyNumberFormat="0" applyBorder="0" applyAlignment="0" applyProtection="0"/>
    <xf numFmtId="0" fontId="60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55" fillId="18" borderId="0" applyNumberFormat="0" applyBorder="0" applyAlignment="0" applyProtection="0"/>
    <xf numFmtId="172" fontId="55" fillId="1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0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9" fontId="79" fillId="4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79" fillId="48" borderId="0" applyNumberFormat="0" applyBorder="0" applyAlignment="0" applyProtection="0"/>
    <xf numFmtId="0" fontId="60" fillId="3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55" fillId="22" borderId="0" applyNumberFormat="0" applyBorder="0" applyAlignment="0" applyProtection="0"/>
    <xf numFmtId="172" fontId="55" fillId="22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79" fillId="73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79" fillId="73" borderId="0" applyNumberFormat="0" applyBorder="0" applyAlignment="0" applyProtection="0"/>
    <xf numFmtId="0" fontId="60" fillId="75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55" fillId="26" borderId="0" applyNumberFormat="0" applyBorder="0" applyAlignment="0" applyProtection="0"/>
    <xf numFmtId="172" fontId="55" fillId="2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79" fillId="64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79" fillId="64" borderId="0" applyNumberFormat="0" applyBorder="0" applyAlignment="0" applyProtection="0"/>
    <xf numFmtId="0" fontId="60" fillId="76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30" borderId="0" applyNumberFormat="0" applyBorder="0" applyAlignment="0" applyProtection="0"/>
    <xf numFmtId="172" fontId="55" fillId="30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0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9" fontId="79" fillId="72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79" fillId="72" borderId="0" applyNumberFormat="0" applyBorder="0" applyAlignment="0" applyProtection="0"/>
    <xf numFmtId="0" fontId="60" fillId="40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55" fillId="34" borderId="0" applyNumberFormat="0" applyBorder="0" applyAlignment="0" applyProtection="0"/>
    <xf numFmtId="172" fontId="55" fillId="34" borderId="0" applyNumberFormat="0" applyBorder="0" applyAlignment="0" applyProtection="0"/>
    <xf numFmtId="186" fontId="59" fillId="41" borderId="0" applyNumberFormat="0" applyBorder="0" applyAlignment="0" applyProtection="0"/>
    <xf numFmtId="172" fontId="59" fillId="77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77" borderId="0" applyNumberFormat="0" applyBorder="0" applyAlignment="0" applyProtection="0"/>
    <xf numFmtId="185" fontId="59" fillId="77" borderId="0" applyNumberFormat="0" applyBorder="0" applyAlignment="0" applyProtection="0"/>
    <xf numFmtId="185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2" borderId="0" applyNumberFormat="0" applyBorder="0" applyAlignment="0" applyProtection="0"/>
    <xf numFmtId="172" fontId="59" fillId="5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9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9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59" fillId="45" borderId="0" applyNumberFormat="0" applyBorder="0" applyAlignment="0" applyProtection="0"/>
    <xf numFmtId="172" fontId="59" fillId="81" borderId="0" applyNumberFormat="0" applyBorder="0" applyAlignment="0" applyProtection="0"/>
    <xf numFmtId="0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6" borderId="0" applyNumberFormat="0" applyBorder="0" applyAlignment="0" applyProtection="0"/>
    <xf numFmtId="172" fontId="59" fillId="50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4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6" borderId="0" applyNumberFormat="0" applyBorder="0" applyAlignment="0" applyProtection="0"/>
    <xf numFmtId="185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9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59" fillId="49" borderId="0" applyNumberFormat="0" applyBorder="0" applyAlignment="0" applyProtection="0"/>
    <xf numFmtId="172" fontId="59" fillId="83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83" borderId="0" applyNumberFormat="0" applyBorder="0" applyAlignment="0" applyProtection="0"/>
    <xf numFmtId="185" fontId="59" fillId="83" borderId="0" applyNumberFormat="0" applyBorder="0" applyAlignment="0" applyProtection="0"/>
    <xf numFmtId="185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50" borderId="0" applyNumberFormat="0" applyBorder="0" applyAlignment="0" applyProtection="0"/>
    <xf numFmtId="172" fontId="59" fillId="84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4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72" fontId="60" fillId="85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85" borderId="0" applyNumberFormat="0" applyBorder="0" applyAlignment="0" applyProtection="0"/>
    <xf numFmtId="185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59" fillId="50" borderId="0" applyNumberFormat="0" applyBorder="0" applyAlignment="0" applyProtection="0"/>
    <xf numFmtId="172" fontId="59" fillId="8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72" fontId="59" fillId="47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72" fontId="60" fillId="50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0" borderId="0" applyNumberFormat="0" applyBorder="0" applyAlignment="0" applyProtection="0"/>
    <xf numFmtId="185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9" fontId="60" fillId="87" borderId="0" applyNumberFormat="0" applyBorder="0" applyAlignment="0" applyProtection="0"/>
    <xf numFmtId="0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59" fillId="41" borderId="0" applyNumberFormat="0" applyBorder="0" applyAlignment="0" applyProtection="0"/>
    <xf numFmtId="172" fontId="59" fillId="49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9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9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9" fontId="60" fillId="89" borderId="0" applyNumberFormat="0" applyBorder="0" applyAlignment="0" applyProtection="0"/>
    <xf numFmtId="0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72" fontId="59" fillId="53" borderId="0" applyNumberFormat="0" applyBorder="0" applyAlignment="0" applyProtection="0"/>
    <xf numFmtId="186" fontId="59" fillId="46" borderId="0" applyNumberFormat="0" applyBorder="0" applyAlignment="0" applyProtection="0"/>
    <xf numFmtId="172" fontId="59" fillId="54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90" borderId="0" applyNumberFormat="0" applyBorder="0" applyAlignment="0" applyProtection="0"/>
    <xf numFmtId="0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90" borderId="0" applyNumberFormat="0" applyBorder="0" applyAlignment="0" applyProtection="0"/>
    <xf numFmtId="185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9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9" fontId="60" fillId="91" borderId="0" applyNumberFormat="0" applyBorder="0" applyAlignment="0" applyProtection="0"/>
    <xf numFmtId="0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12" fillId="0" borderId="0" applyNumberFormat="0" applyAlignment="0"/>
    <xf numFmtId="0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9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90" fontId="27" fillId="93" borderId="104">
      <alignment horizontal="center" vertical="center"/>
    </xf>
    <xf numFmtId="191" fontId="74" fillId="93" borderId="104">
      <alignment horizontal="center" vertical="center"/>
    </xf>
    <xf numFmtId="190" fontId="27" fillId="93" borderId="104">
      <alignment horizontal="center" vertical="center"/>
    </xf>
    <xf numFmtId="0" fontId="57" fillId="0" borderId="0">
      <alignment horizontal="center" wrapText="1"/>
      <protection locked="0"/>
    </xf>
    <xf numFmtId="0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9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0" fontId="80" fillId="35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72" fontId="81" fillId="53" borderId="0" applyNumberFormat="0" applyBorder="0" applyAlignment="0" applyProtection="0"/>
    <xf numFmtId="0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9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46" fillId="5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1" fillId="53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1" fillId="53" borderId="0" applyNumberFormat="0" applyBorder="0" applyAlignment="0" applyProtection="0"/>
    <xf numFmtId="186" fontId="81" fillId="53" borderId="0" applyNumberFormat="0" applyBorder="0" applyAlignment="0" applyProtection="0"/>
    <xf numFmtId="186" fontId="81" fillId="53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9" fontId="82" fillId="46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0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72" fontId="46" fillId="5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9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1" fontId="84" fillId="0" borderId="7" applyFont="0"/>
    <xf numFmtId="1" fontId="84" fillId="0" borderId="7"/>
    <xf numFmtId="9" fontId="85" fillId="0" borderId="42" applyNumberFormat="0" applyBorder="0">
      <alignment horizontal="right"/>
    </xf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72" fontId="49" fillId="8" borderId="9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6" fillId="73" borderId="105" applyNumberFormat="0" applyAlignment="0" applyProtection="0"/>
    <xf numFmtId="172" fontId="87" fillId="94" borderId="106" applyNumberFormat="0" applyAlignment="0" applyProtection="0"/>
    <xf numFmtId="0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7" fillId="94" borderId="106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6" fillId="73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49" fillId="8" borderId="95" applyNumberFormat="0" applyAlignment="0" applyProtection="0"/>
    <xf numFmtId="186" fontId="49" fillId="8" borderId="9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49" fillId="8" borderId="95" applyNumberFormat="0" applyAlignment="0" applyProtection="0"/>
    <xf numFmtId="0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7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92" fontId="89" fillId="0" borderId="0" applyNumberFormat="0" applyFont="0" applyFill="0" applyBorder="0" applyProtection="0">
      <alignment horizontal="centerContinuous" wrapText="1"/>
    </xf>
    <xf numFmtId="193" fontId="7" fillId="0" borderId="0"/>
    <xf numFmtId="0" fontId="90" fillId="96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72" fontId="90" fillId="88" borderId="107" applyNumberFormat="0" applyAlignment="0" applyProtection="0"/>
    <xf numFmtId="0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88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90" fillId="88" borderId="107" applyNumberFormat="0" applyAlignment="0" applyProtection="0"/>
    <xf numFmtId="186" fontId="90" fillId="88" borderId="107" applyNumberFormat="0" applyAlignment="0" applyProtection="0"/>
    <xf numFmtId="186" fontId="90" fillId="88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9" fontId="90" fillId="47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47" borderId="107" applyNumberFormat="0" applyAlignment="0" applyProtection="0"/>
    <xf numFmtId="0" fontId="90" fillId="96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72" fontId="51" fillId="9" borderId="98" applyNumberFormat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9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94" fontId="84" fillId="0" borderId="7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92" fillId="0" borderId="0" applyFont="0" applyFill="0" applyBorder="0" applyAlignment="0" applyProtection="0"/>
    <xf numFmtId="6" fontId="93" fillId="0" borderId="0">
      <protection locked="0"/>
    </xf>
    <xf numFmtId="14" fontId="7" fillId="0" borderId="0" applyFont="0" applyFill="0" applyBorder="0" applyAlignment="0" applyProtection="0"/>
    <xf numFmtId="14" fontId="7" fillId="0" borderId="0" applyFont="0" applyFill="0" applyBorder="0" applyAlignment="0" applyProtection="0"/>
    <xf numFmtId="6" fontId="94" fillId="0" borderId="0">
      <protection locked="0"/>
    </xf>
    <xf numFmtId="4" fontId="95" fillId="0" borderId="0" applyFont="0" applyFill="0" applyBorder="0" applyAlignment="0" applyProtection="0"/>
    <xf numFmtId="172" fontId="61" fillId="97" borderId="0" applyNumberFormat="0" applyBorder="0" applyAlignment="0" applyProtection="0"/>
    <xf numFmtId="0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97" borderId="0" applyNumberFormat="0" applyBorder="0" applyAlignment="0" applyProtection="0"/>
    <xf numFmtId="185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9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72" fontId="61" fillId="98" borderId="0" applyNumberFormat="0" applyBorder="0" applyAlignment="0" applyProtection="0"/>
    <xf numFmtId="0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98" borderId="0" applyNumberFormat="0" applyBorder="0" applyAlignment="0" applyProtection="0"/>
    <xf numFmtId="185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9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9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72" fontId="61" fillId="57" borderId="0" applyNumberFormat="0" applyBorder="0" applyAlignment="0" applyProtection="0"/>
    <xf numFmtId="0" fontId="96" fillId="0" borderId="0" applyNumberFormat="0" applyAlignment="0">
      <alignment horizontal="left"/>
    </xf>
    <xf numFmtId="0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9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9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0" fontId="95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98" fontId="58" fillId="0" borderId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72" fontId="59" fillId="84" borderId="0" applyNumberFormat="0" applyBorder="0" applyAlignment="0" applyProtection="0"/>
    <xf numFmtId="0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9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45" fillId="4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59" fillId="84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9" fontId="99" fillId="9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99" borderId="0" applyNumberFormat="0" applyBorder="0" applyAlignment="0" applyProtection="0"/>
    <xf numFmtId="0" fontId="99" fillId="6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72" fontId="45" fillId="4" borderId="0" applyNumberFormat="0" applyBorder="0" applyAlignment="0" applyProtection="0"/>
    <xf numFmtId="38" fontId="12" fillId="3" borderId="0" applyNumberFormat="0" applyBorder="0" applyAlignment="0" applyProtection="0"/>
    <xf numFmtId="38" fontId="12" fillId="3" borderId="0" applyNumberFormat="0" applyBorder="0" applyAlignment="0" applyProtection="0"/>
    <xf numFmtId="0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9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0" fontId="71" fillId="0" borderId="103" applyNumberFormat="0" applyAlignment="0" applyProtection="0">
      <alignment horizontal="left" vertical="center"/>
    </xf>
    <xf numFmtId="0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9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101" fillId="0" borderId="108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72" fontId="102" fillId="0" borderId="109" applyNumberFormat="0" applyFill="0" applyAlignment="0" applyProtection="0"/>
    <xf numFmtId="0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9" fontId="102" fillId="0" borderId="109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2" fillId="0" borderId="109" applyNumberFormat="0" applyFill="0" applyAlignment="0" applyProtection="0"/>
    <xf numFmtId="0" fontId="101" fillId="0" borderId="108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72" fontId="42" fillId="0" borderId="92" applyNumberFormat="0" applyFill="0" applyAlignment="0" applyProtection="0"/>
    <xf numFmtId="0" fontId="103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72" fontId="104" fillId="0" borderId="111" applyNumberFormat="0" applyFill="0" applyAlignment="0" applyProtection="0"/>
    <xf numFmtId="0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1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104" fillId="0" borderId="111" applyNumberFormat="0" applyFill="0" applyAlignment="0" applyProtection="0"/>
    <xf numFmtId="186" fontId="104" fillId="0" borderId="111" applyNumberFormat="0" applyFill="0" applyAlignment="0" applyProtection="0"/>
    <xf numFmtId="186" fontId="104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9" fontId="104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4" fillId="0" borderId="110" applyNumberFormat="0" applyFill="0" applyAlignment="0" applyProtection="0"/>
    <xf numFmtId="0" fontId="103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72" fontId="43" fillId="0" borderId="93" applyNumberFormat="0" applyFill="0" applyAlignment="0" applyProtection="0"/>
    <xf numFmtId="0" fontId="105" fillId="0" borderId="112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72" fontId="106" fillId="0" borderId="113" applyNumberFormat="0" applyFill="0" applyAlignment="0" applyProtection="0"/>
    <xf numFmtId="0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3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106" fillId="0" borderId="113" applyNumberFormat="0" applyFill="0" applyAlignment="0" applyProtection="0"/>
    <xf numFmtId="186" fontId="106" fillId="0" borderId="113" applyNumberFormat="0" applyFill="0" applyAlignment="0" applyProtection="0"/>
    <xf numFmtId="186" fontId="106" fillId="0" borderId="113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9" fontId="106" fillId="0" borderId="114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6" fillId="0" borderId="114" applyNumberFormat="0" applyFill="0" applyAlignment="0" applyProtection="0"/>
    <xf numFmtId="0" fontId="105" fillId="0" borderId="112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72" fontId="44" fillId="0" borderId="94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72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9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72" fontId="44" fillId="0" borderId="0" applyNumberFormat="0" applyFill="0" applyBorder="0" applyAlignment="0" applyProtection="0"/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0" fontId="107" fillId="0" borderId="18">
      <alignment horizontal="center"/>
    </xf>
    <xf numFmtId="0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9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0" fontId="107" fillId="0" borderId="0">
      <alignment horizontal="center"/>
    </xf>
    <xf numFmtId="0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9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0" fontId="95" fillId="0" borderId="0" applyProtection="0">
      <alignment horizontal="right"/>
    </xf>
    <xf numFmtId="0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9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0" fontId="108" fillId="0" borderId="115" applyNumberFormat="0" applyFill="0" applyAlignment="0" applyProtection="0"/>
    <xf numFmtId="187" fontId="108" fillId="0" borderId="115" applyNumberFormat="0" applyFill="0" applyAlignment="0" applyProtection="0"/>
    <xf numFmtId="0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7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9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9" fillId="0" borderId="0" applyFill="0" applyBorder="0" applyAlignment="0" applyProtection="0">
      <alignment horizontal="right"/>
    </xf>
    <xf numFmtId="186" fontId="109" fillId="0" borderId="0" applyFill="0" applyBorder="0" applyAlignment="0" applyProtection="0">
      <alignment horizontal="right"/>
    </xf>
    <xf numFmtId="10" fontId="12" fillId="100" borderId="7" applyNumberFormat="0" applyBorder="0" applyAlignment="0" applyProtection="0"/>
    <xf numFmtId="10" fontId="12" fillId="100" borderId="7" applyNumberFormat="0" applyBorder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1" fillId="72" borderId="105" applyNumberFormat="0" applyAlignment="0" applyProtection="0"/>
    <xf numFmtId="172" fontId="110" fillId="54" borderId="106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9" fontId="47" fillId="7" borderId="9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200" fontId="112" fillId="0" borderId="0" applyFont="0" applyFill="0" applyBorder="0" applyProtection="0">
      <alignment horizontal="center"/>
    </xf>
    <xf numFmtId="185" fontId="58" fillId="67" borderId="0" applyNumberFormat="0" applyFont="0" applyBorder="0" applyAlignment="0" applyProtection="0">
      <alignment horizontal="left"/>
    </xf>
    <xf numFmtId="186" fontId="58" fillId="67" borderId="0" applyNumberFormat="0" applyFont="0" applyBorder="0" applyAlignment="0" applyProtection="0">
      <alignment horizontal="left"/>
    </xf>
    <xf numFmtId="0" fontId="113" fillId="0" borderId="116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72" fontId="99" fillId="0" borderId="117" applyNumberFormat="0" applyFill="0" applyAlignment="0" applyProtection="0"/>
    <xf numFmtId="0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99" fillId="0" borderId="117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99" fillId="0" borderId="117" applyNumberFormat="0" applyFill="0" applyAlignment="0" applyProtection="0"/>
    <xf numFmtId="186" fontId="99" fillId="0" borderId="117" applyNumberFormat="0" applyFill="0" applyAlignment="0" applyProtection="0"/>
    <xf numFmtId="186" fontId="99" fillId="0" borderId="117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9" fontId="114" fillId="0" borderId="118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4" fillId="0" borderId="118" applyNumberFormat="0" applyFill="0" applyAlignment="0" applyProtection="0"/>
    <xf numFmtId="0" fontId="113" fillId="0" borderId="116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72" fontId="50" fillId="0" borderId="97" applyNumberFormat="0" applyFill="0" applyAlignment="0" applyProtection="0"/>
    <xf numFmtId="185" fontId="115" fillId="101" borderId="0">
      <alignment horizontal="right"/>
    </xf>
    <xf numFmtId="186" fontId="115" fillId="101" borderId="0">
      <alignment horizontal="right"/>
    </xf>
    <xf numFmtId="17" fontId="116" fillId="0" borderId="0" applyFont="0" applyFill="0" applyBorder="0" applyAlignment="0" applyProtection="0">
      <alignment horizontal="centerContinuous"/>
      <protection locked="0"/>
    </xf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72" fontId="99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9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73" fillId="6" borderId="0" applyNumberFormat="0" applyBorder="0" applyAlignment="0" applyProtection="0"/>
    <xf numFmtId="0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99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99" fillId="54" borderId="0" applyNumberFormat="0" applyBorder="0" applyAlignment="0" applyProtection="0"/>
    <xf numFmtId="186" fontId="99" fillId="54" borderId="0" applyNumberFormat="0" applyBorder="0" applyAlignment="0" applyProtection="0"/>
    <xf numFmtId="186" fontId="99" fillId="54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9" fontId="73" fillId="6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72" fontId="73" fillId="6" borderId="0" applyNumberFormat="0" applyBorder="0" applyAlignment="0" applyProtection="0"/>
    <xf numFmtId="37" fontId="118" fillId="0" borderId="0"/>
    <xf numFmtId="201" fontId="119" fillId="0" borderId="0"/>
    <xf numFmtId="202" fontId="7" fillId="0" borderId="0"/>
    <xf numFmtId="202" fontId="7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186" fontId="7" fillId="0" borderId="0"/>
    <xf numFmtId="172" fontId="12" fillId="102" borderId="0"/>
    <xf numFmtId="173" fontId="2" fillId="0" borderId="0"/>
    <xf numFmtId="0" fontId="2" fillId="0" borderId="0"/>
    <xf numFmtId="173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7" fillId="0" borderId="0"/>
    <xf numFmtId="186" fontId="7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6" fontId="7" fillId="0" borderId="0"/>
    <xf numFmtId="172" fontId="7" fillId="0" borderId="0"/>
    <xf numFmtId="173" fontId="2" fillId="0" borderId="0"/>
    <xf numFmtId="0" fontId="120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6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0" fontId="120" fillId="0" borderId="0"/>
    <xf numFmtId="185" fontId="120" fillId="0" borderId="0"/>
    <xf numFmtId="186" fontId="120" fillId="0" borderId="0"/>
    <xf numFmtId="186" fontId="120" fillId="0" borderId="0"/>
    <xf numFmtId="186" fontId="120" fillId="0" borderId="0"/>
    <xf numFmtId="0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7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73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8" fontId="7" fillId="0" borderId="0">
      <alignment horizontal="left" wrapText="1"/>
    </xf>
    <xf numFmtId="0" fontId="1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9" fontId="2" fillId="0" borderId="0"/>
    <xf numFmtId="186" fontId="2" fillId="0" borderId="0"/>
    <xf numFmtId="186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2" borderId="0"/>
    <xf numFmtId="186" fontId="12" fillId="102" borderId="0"/>
    <xf numFmtId="186" fontId="12" fillId="102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59" fillId="0" borderId="0"/>
    <xf numFmtId="189" fontId="2" fillId="0" borderId="0"/>
    <xf numFmtId="186" fontId="2" fillId="0" borderId="0"/>
    <xf numFmtId="186" fontId="7" fillId="0" borderId="0"/>
    <xf numFmtId="173" fontId="7" fillId="0" borderId="0"/>
    <xf numFmtId="172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5" fontId="2" fillId="0" borderId="0"/>
    <xf numFmtId="186" fontId="2" fillId="0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56" fillId="0" borderId="0"/>
    <xf numFmtId="0" fontId="12" fillId="102" borderId="0"/>
    <xf numFmtId="186" fontId="12" fillId="102" borderId="0"/>
    <xf numFmtId="186" fontId="56" fillId="0" borderId="0"/>
    <xf numFmtId="0" fontId="12" fillId="102" borderId="0"/>
    <xf numFmtId="186" fontId="12" fillId="102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186" fontId="2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12" fillId="102" borderId="0"/>
    <xf numFmtId="173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85" fontId="2" fillId="0" borderId="0"/>
    <xf numFmtId="185" fontId="2" fillId="0" borderId="0"/>
    <xf numFmtId="185" fontId="2" fillId="0" borderId="0"/>
    <xf numFmtId="0" fontId="12" fillId="102" borderId="0"/>
    <xf numFmtId="0" fontId="12" fillId="102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2" fillId="102" borderId="0"/>
    <xf numFmtId="0" fontId="2" fillId="0" borderId="0"/>
    <xf numFmtId="0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102" borderId="0"/>
    <xf numFmtId="0" fontId="12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12" fillId="102" borderId="0"/>
    <xf numFmtId="0" fontId="12" fillId="102" borderId="0"/>
    <xf numFmtId="0" fontId="2" fillId="0" borderId="0"/>
    <xf numFmtId="0" fontId="12" fillId="102" borderId="0"/>
    <xf numFmtId="0" fontId="12" fillId="102" borderId="0"/>
    <xf numFmtId="173" fontId="2" fillId="0" borderId="0"/>
    <xf numFmtId="173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98" fontId="7" fillId="0" borderId="0"/>
    <xf numFmtId="198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8" fillId="103" borderId="0" applyBorder="0" applyAlignment="0">
      <alignment horizontal="left"/>
    </xf>
    <xf numFmtId="185" fontId="58" fillId="103" borderId="0" applyBorder="0" applyAlignment="0">
      <alignment horizontal="left"/>
    </xf>
    <xf numFmtId="186" fontId="58" fillId="103" borderId="0" applyBorder="0" applyAlignment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8" fillId="103" borderId="0" applyBorder="0" applyAlignment="0">
      <alignment horizontal="left"/>
    </xf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59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7" fillId="59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12" fillId="53" borderId="106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59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2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59" borderId="11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203" fontId="121" fillId="0" borderId="120" applyFont="0" applyFill="0" applyBorder="0" applyAlignment="0" applyProtection="0">
      <alignment horizontal="center"/>
      <protection locked="0"/>
    </xf>
    <xf numFmtId="203" fontId="121" fillId="0" borderId="120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72" fontId="48" fillId="8" borderId="96" applyNumberFormat="0" applyAlignment="0" applyProtection="0"/>
    <xf numFmtId="0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9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73" borderId="121" applyNumberFormat="0" applyAlignment="0" applyProtection="0"/>
    <xf numFmtId="172" fontId="122" fillId="94" borderId="121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4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48" fillId="8" borderId="96" applyNumberFormat="0" applyAlignment="0" applyProtection="0"/>
    <xf numFmtId="186" fontId="48" fillId="8" borderId="96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48" fillId="8" borderId="96" applyNumberFormat="0" applyAlignment="0" applyProtection="0"/>
    <xf numFmtId="10" fontId="123" fillId="0" borderId="122" applyFont="0" applyFill="0" applyBorder="0" applyAlignment="0" applyProtection="0">
      <alignment horizontal="center"/>
      <protection locked="0"/>
    </xf>
    <xf numFmtId="10" fontId="123" fillId="0" borderId="122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124" fillId="0" borderId="0" applyFont="0" applyFill="0" applyBorder="0" applyProtection="0">
      <alignment horizontal="center"/>
    </xf>
    <xf numFmtId="192" fontId="124" fillId="0" borderId="0" applyFont="0" applyFill="0" applyBorder="0" applyProtection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/>
    <xf numFmtId="10" fontId="125" fillId="0" borderId="123" applyFont="0" applyFill="0" applyBorder="0" applyAlignment="0" applyProtection="0">
      <alignment horizontal="center"/>
      <protection locked="0"/>
    </xf>
    <xf numFmtId="10" fontId="125" fillId="0" borderId="123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8" fillId="0" borderId="0" applyFont="0" applyAlignment="0">
      <alignment horizontal="center" wrapText="1"/>
    </xf>
    <xf numFmtId="9" fontId="58" fillId="0" borderId="0" applyFont="0" applyAlignment="0">
      <alignment horizontal="center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6" fillId="0" borderId="0" applyNumberFormat="0" applyFill="0" applyBorder="0" applyProtection="0">
      <alignment horizontal="right"/>
    </xf>
    <xf numFmtId="9" fontId="126" fillId="0" borderId="0" applyNumberFormat="0" applyFill="0" applyBorder="0" applyProtection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205" fontId="128" fillId="0" borderId="0" applyNumberFormat="0" applyFill="0" applyBorder="0" applyAlignment="0" applyProtection="0">
      <alignment horizontal="left"/>
    </xf>
    <xf numFmtId="205" fontId="128" fillId="0" borderId="0" applyNumberForma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186" fontId="7" fillId="0" borderId="0"/>
    <xf numFmtId="4" fontId="64" fillId="58" borderId="101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64" fillId="58" borderId="101" applyNumberFormat="0" applyProtection="0">
      <alignment vertical="center"/>
    </xf>
    <xf numFmtId="4" fontId="64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9" fillId="105" borderId="106" applyNumberFormat="0" applyProtection="0">
      <alignment vertical="center"/>
    </xf>
    <xf numFmtId="186" fontId="7" fillId="0" borderId="0"/>
    <xf numFmtId="4" fontId="66" fillId="58" borderId="101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66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6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186" fontId="7" fillId="0" borderId="0"/>
    <xf numFmtId="4" fontId="64" fillId="58" borderId="101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7" fillId="0" borderId="0"/>
    <xf numFmtId="172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64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186" fontId="7" fillId="0" borderId="0"/>
    <xf numFmtId="4" fontId="62" fillId="35" borderId="101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186" fontId="7" fillId="0" borderId="0"/>
    <xf numFmtId="4" fontId="62" fillId="37" borderId="101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7" fillId="0" borderId="0"/>
    <xf numFmtId="186" fontId="7" fillId="0" borderId="0"/>
    <xf numFmtId="186" fontId="7" fillId="0" borderId="0"/>
    <xf numFmtId="4" fontId="62" fillId="44" borderId="101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186" fontId="7" fillId="0" borderId="0"/>
    <xf numFmtId="4" fontId="62" fillId="39" borderId="101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186" fontId="7" fillId="0" borderId="0"/>
    <xf numFmtId="4" fontId="62" fillId="40" borderId="101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186" fontId="7" fillId="0" borderId="0"/>
    <xf numFmtId="4" fontId="62" fillId="52" borderId="101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186" fontId="7" fillId="0" borderId="0"/>
    <xf numFmtId="4" fontId="62" fillId="48" borderId="101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186" fontId="7" fillId="0" borderId="0"/>
    <xf numFmtId="4" fontId="62" fillId="61" borderId="101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186" fontId="7" fillId="0" borderId="0"/>
    <xf numFmtId="4" fontId="62" fillId="38" borderId="101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4" fillId="62" borderId="102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64" fillId="62" borderId="102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7" fillId="64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186" fontId="7" fillId="0" borderId="0"/>
    <xf numFmtId="4" fontId="62" fillId="60" borderId="101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0" borderId="0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7" fillId="0" borderId="0"/>
    <xf numFmtId="172" fontId="12" fillId="73" borderId="106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72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7" fillId="0" borderId="0"/>
    <xf numFmtId="172" fontId="12" fillId="107" borderId="106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0" borderId="0"/>
    <xf numFmtId="172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7" fillId="0" borderId="0"/>
    <xf numFmtId="172" fontId="12" fillId="36" borderId="106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0" borderId="0"/>
    <xf numFmtId="172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7" fillId="0" borderId="0"/>
    <xf numFmtId="172" fontId="12" fillId="63" borderId="106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0" borderId="0"/>
    <xf numFmtId="172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9" fontId="7" fillId="65" borderId="7" applyNumberFormat="0">
      <protection locked="0"/>
    </xf>
    <xf numFmtId="0" fontId="7" fillId="0" borderId="0"/>
    <xf numFmtId="186" fontId="7" fillId="0" borderId="0"/>
    <xf numFmtId="186" fontId="7" fillId="65" borderId="7" applyNumberFormat="0">
      <protection locked="0"/>
    </xf>
    <xf numFmtId="0" fontId="7" fillId="0" borderId="0"/>
    <xf numFmtId="186" fontId="7" fillId="0" borderId="0"/>
    <xf numFmtId="0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6" fontId="7" fillId="0" borderId="0"/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72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72" fontId="131" fillId="64" borderId="126" applyBorder="0"/>
    <xf numFmtId="186" fontId="131" fillId="64" borderId="126" applyBorder="0"/>
    <xf numFmtId="172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1" fillId="64" borderId="126" applyBorder="0"/>
    <xf numFmtId="189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59" borderId="101" applyNumberFormat="0" applyProtection="0">
      <alignment vertical="center"/>
    </xf>
    <xf numFmtId="186" fontId="7" fillId="0" borderId="0"/>
    <xf numFmtId="4" fontId="62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8" fillId="59" borderId="101" applyNumberFormat="0" applyProtection="0">
      <alignment vertical="center"/>
    </xf>
    <xf numFmtId="4" fontId="129" fillId="100" borderId="7" applyNumberFormat="0" applyProtection="0">
      <alignment vertical="center"/>
    </xf>
    <xf numFmtId="4" fontId="129" fillId="100" borderId="7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73" borderId="101" applyNumberFormat="0" applyProtection="0">
      <alignment horizontal="left" vertical="center" indent="1"/>
    </xf>
    <xf numFmtId="186" fontId="7" fillId="0" borderId="0"/>
    <xf numFmtId="4" fontId="62" fillId="59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73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7" fillId="0" borderId="0"/>
    <xf numFmtId="172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63" borderId="101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7" fillId="0" borderId="0"/>
    <xf numFmtId="172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9" fillId="66" borderId="0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69" fillId="66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72" fontId="12" fillId="108" borderId="7"/>
    <xf numFmtId="186" fontId="12" fillId="108" borderId="7"/>
    <xf numFmtId="172" fontId="12" fillId="108" borderId="7"/>
    <xf numFmtId="0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8" borderId="7"/>
    <xf numFmtId="186" fontId="12" fillId="108" borderId="7"/>
    <xf numFmtId="0" fontId="12" fillId="108" borderId="7"/>
    <xf numFmtId="186" fontId="12" fillId="108" borderId="7"/>
    <xf numFmtId="0" fontId="7" fillId="0" borderId="0"/>
    <xf numFmtId="186" fontId="7" fillId="0" borderId="0"/>
    <xf numFmtId="0" fontId="7" fillId="0" borderId="0"/>
    <xf numFmtId="186" fontId="7" fillId="0" borderId="0"/>
    <xf numFmtId="4" fontId="133" fillId="65" borderId="106" applyNumberFormat="0" applyProtection="0">
      <alignment horizontal="right" vertical="center"/>
    </xf>
    <xf numFmtId="186" fontId="7" fillId="0" borderId="0"/>
    <xf numFmtId="4" fontId="63" fillId="63" borderId="101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3" fillId="63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72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5" fontId="135" fillId="0" borderId="0">
      <alignment horizontal="right"/>
    </xf>
    <xf numFmtId="185" fontId="135" fillId="0" borderId="0">
      <alignment horizontal="right"/>
    </xf>
    <xf numFmtId="186" fontId="135" fillId="0" borderId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5" fillId="0" borderId="0">
      <alignment horizontal="righ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0" fontId="136" fillId="0" borderId="0" applyBorder="0">
      <alignment horizontal="right"/>
    </xf>
    <xf numFmtId="40" fontId="136" fillId="0" borderId="0" applyBorder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9" fontId="137" fillId="0" borderId="0">
      <alignment horizontal="left"/>
    </xf>
    <xf numFmtId="49" fontId="137" fillId="0" borderId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8" fillId="109" borderId="0" applyNumberFormat="0" applyBorder="0" applyAlignment="0" applyProtection="0">
      <protection locked="0"/>
    </xf>
    <xf numFmtId="185" fontId="138" fillId="109" borderId="0" applyNumberFormat="0" applyBorder="0" applyAlignment="0" applyProtection="0">
      <protection locked="0"/>
    </xf>
    <xf numFmtId="186" fontId="138" fillId="109" borderId="0" applyNumberFormat="0" applyBorder="0" applyAlignment="0" applyProtection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8" fillId="109" borderId="0" applyNumberFormat="0" applyBorder="0" applyAlignment="0" applyProtection="0">
      <protection locked="0"/>
    </xf>
    <xf numFmtId="0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54" fillId="0" borderId="100" applyNumberFormat="0" applyFill="0" applyAlignment="0" applyProtection="0"/>
    <xf numFmtId="0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9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7" applyNumberFormat="0" applyFill="0" applyAlignment="0" applyProtection="0"/>
    <xf numFmtId="172" fontId="61" fillId="0" borderId="128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99" fontId="7" fillId="0" borderId="28">
      <protection locked="0"/>
    </xf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99" fontId="7" fillId="0" borderId="28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54" fillId="0" borderId="100" applyNumberFormat="0" applyFill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3" borderId="0" applyNumberFormat="0" applyBorder="0" applyAlignment="0" applyProtection="0"/>
    <xf numFmtId="3" fontId="140" fillId="0" borderId="115" applyProtection="0"/>
    <xf numFmtId="3" fontId="140" fillId="0" borderId="115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72" fontId="1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9" fontId="143" fillId="2" borderId="129" applyNumberFormat="0" applyFill="0" applyBorder="0" applyAlignment="0" applyProtection="0">
      <alignment horizontal="center"/>
      <protection locked="0"/>
    </xf>
    <xf numFmtId="9" fontId="143" fillId="2" borderId="129" applyNumberForma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84" fillId="0" borderId="0" applyNumberFormat="0" applyFont="0" applyFill="0" applyBorder="0" applyProtection="0">
      <alignment wrapText="1"/>
    </xf>
    <xf numFmtId="192" fontId="84" fillId="0" borderId="0" applyNumberFormat="0" applyFont="0" applyFill="0" applyBorder="0" applyProtection="0">
      <alignment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0" borderId="99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</cellStyleXfs>
  <cellXfs count="791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/>
    <xf numFmtId="0" fontId="10" fillId="0" borderId="0" xfId="0" applyFont="1" applyAlignment="1">
      <alignment horizontal="centerContinuous" vertical="justify"/>
    </xf>
    <xf numFmtId="0" fontId="8" fillId="0" borderId="0" xfId="0" applyFont="1" applyAlignment="1">
      <alignment horizontal="centerContinuous" vertical="justify"/>
    </xf>
    <xf numFmtId="0" fontId="11" fillId="0" borderId="2" xfId="0" applyFont="1" applyBorder="1"/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166" fontId="11" fillId="0" borderId="3" xfId="2" applyNumberFormat="1" applyFont="1" applyBorder="1"/>
    <xf numFmtId="166" fontId="11" fillId="0" borderId="1" xfId="0" applyNumberFormat="1" applyFont="1" applyBorder="1"/>
    <xf numFmtId="0" fontId="11" fillId="0" borderId="1" xfId="0" applyFont="1" applyBorder="1"/>
    <xf numFmtId="166" fontId="11" fillId="0" borderId="1" xfId="2" applyNumberFormat="1" applyFont="1" applyBorder="1"/>
    <xf numFmtId="166" fontId="11" fillId="0" borderId="2" xfId="2" applyNumberFormat="1" applyFont="1" applyBorder="1"/>
    <xf numFmtId="44" fontId="11" fillId="0" borderId="1" xfId="0" applyNumberFormat="1" applyFont="1" applyBorder="1"/>
    <xf numFmtId="0" fontId="11" fillId="0" borderId="0" xfId="0" applyFont="1"/>
    <xf numFmtId="165" fontId="11" fillId="0" borderId="1" xfId="1" applyNumberFormat="1" applyFont="1" applyBorder="1"/>
    <xf numFmtId="165" fontId="11" fillId="0" borderId="3" xfId="1" applyNumberFormat="1" applyFont="1" applyBorder="1"/>
    <xf numFmtId="44" fontId="11" fillId="0" borderId="1" xfId="2" applyFont="1" applyBorder="1" applyAlignment="1">
      <alignment horizontal="center"/>
    </xf>
    <xf numFmtId="44" fontId="10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Continuous" vertical="justify"/>
    </xf>
    <xf numFmtId="165" fontId="11" fillId="0" borderId="0" xfId="1" applyNumberFormat="1" applyFont="1"/>
    <xf numFmtId="165" fontId="11" fillId="0" borderId="1" xfId="1" applyNumberFormat="1" applyFont="1" applyFill="1" applyBorder="1"/>
    <xf numFmtId="41" fontId="11" fillId="0" borderId="1" xfId="0" applyNumberFormat="1" applyFont="1" applyBorder="1" applyAlignment="1">
      <alignment horizontal="center"/>
    </xf>
    <xf numFmtId="41" fontId="11" fillId="0" borderId="3" xfId="0" applyNumberFormat="1" applyFont="1" applyBorder="1"/>
    <xf numFmtId="41" fontId="11" fillId="0" borderId="1" xfId="0" applyNumberFormat="1" applyFont="1" applyBorder="1"/>
    <xf numFmtId="0" fontId="11" fillId="0" borderId="0" xfId="0" applyFont="1" applyAlignment="1">
      <alignment horizontal="center"/>
    </xf>
    <xf numFmtId="41" fontId="11" fillId="0" borderId="4" xfId="0" applyNumberFormat="1" applyFont="1" applyBorder="1"/>
    <xf numFmtId="0" fontId="11" fillId="0" borderId="6" xfId="0" applyFont="1" applyBorder="1"/>
    <xf numFmtId="41" fontId="11" fillId="0" borderId="0" xfId="0" applyNumberFormat="1" applyFont="1"/>
    <xf numFmtId="0" fontId="13" fillId="0" borderId="0" xfId="0" quotePrefix="1" applyFont="1" applyAlignment="1">
      <alignment horizontal="center"/>
    </xf>
    <xf numFmtId="0" fontId="10" fillId="0" borderId="1" xfId="0" applyFont="1" applyBorder="1"/>
    <xf numFmtId="166" fontId="11" fillId="0" borderId="0" xfId="2" applyNumberFormat="1" applyFont="1" applyBorder="1"/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0" fillId="0" borderId="2" xfId="0" applyFont="1" applyBorder="1"/>
    <xf numFmtId="0" fontId="10" fillId="0" borderId="1" xfId="0" applyFont="1" applyBorder="1" applyAlignment="1">
      <alignment horizontal="center"/>
    </xf>
    <xf numFmtId="38" fontId="11" fillId="0" borderId="1" xfId="0" applyNumberFormat="1" applyFont="1" applyBorder="1"/>
    <xf numFmtId="37" fontId="11" fillId="0" borderId="1" xfId="0" applyNumberFormat="1" applyFont="1" applyBorder="1"/>
    <xf numFmtId="167" fontId="11" fillId="0" borderId="3" xfId="2" applyNumberFormat="1" applyFont="1" applyBorder="1"/>
    <xf numFmtId="166" fontId="11" fillId="0" borderId="7" xfId="2" applyNumberFormat="1" applyFont="1" applyBorder="1"/>
    <xf numFmtId="37" fontId="11" fillId="0" borderId="3" xfId="0" applyNumberFormat="1" applyFont="1" applyBorder="1"/>
    <xf numFmtId="171" fontId="11" fillId="0" borderId="3" xfId="3" applyNumberFormat="1" applyFont="1" applyBorder="1"/>
    <xf numFmtId="0" fontId="15" fillId="0" borderId="0" xfId="0" applyFont="1" applyAlignment="1">
      <alignment horizontal="right"/>
    </xf>
    <xf numFmtId="0" fontId="16" fillId="0" borderId="0" xfId="0" applyFont="1"/>
    <xf numFmtId="164" fontId="11" fillId="0" borderId="0" xfId="0" applyNumberFormat="1" applyFont="1"/>
    <xf numFmtId="166" fontId="11" fillId="0" borderId="0" xfId="0" applyNumberFormat="1" applyFont="1"/>
    <xf numFmtId="165" fontId="11" fillId="0" borderId="0" xfId="0" applyNumberFormat="1" applyFont="1"/>
    <xf numFmtId="0" fontId="11" fillId="0" borderId="9" xfId="0" applyFont="1" applyBorder="1" applyAlignment="1">
      <alignment horizontal="center"/>
    </xf>
    <xf numFmtId="0" fontId="11" fillId="0" borderId="9" xfId="0" applyFont="1" applyBorder="1"/>
    <xf numFmtId="0" fontId="10" fillId="0" borderId="9" xfId="0" applyFont="1" applyBorder="1" applyAlignment="1">
      <alignment horizontal="center"/>
    </xf>
    <xf numFmtId="166" fontId="11" fillId="0" borderId="9" xfId="2" applyNumberFormat="1" applyFont="1" applyBorder="1"/>
    <xf numFmtId="165" fontId="11" fillId="0" borderId="9" xfId="1" applyNumberFormat="1" applyFont="1" applyBorder="1"/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center"/>
    </xf>
    <xf numFmtId="0" fontId="11" fillId="0" borderId="10" xfId="0" applyFont="1" applyBorder="1"/>
    <xf numFmtId="37" fontId="11" fillId="0" borderId="3" xfId="2" applyNumberFormat="1" applyFont="1" applyBorder="1"/>
    <xf numFmtId="0" fontId="11" fillId="0" borderId="13" xfId="0" applyFont="1" applyBorder="1"/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167" fontId="11" fillId="0" borderId="1" xfId="2" applyNumberFormat="1" applyFont="1" applyBorder="1"/>
    <xf numFmtId="10" fontId="11" fillId="0" borderId="1" xfId="3" applyNumberFormat="1" applyFont="1" applyBorder="1"/>
    <xf numFmtId="164" fontId="11" fillId="0" borderId="1" xfId="0" applyNumberFormat="1" applyFont="1" applyBorder="1"/>
    <xf numFmtId="169" fontId="11" fillId="0" borderId="1" xfId="3" applyNumberFormat="1" applyFont="1" applyBorder="1"/>
    <xf numFmtId="0" fontId="10" fillId="0" borderId="14" xfId="0" applyFont="1" applyBorder="1" applyAlignment="1">
      <alignment horizontal="center"/>
    </xf>
    <xf numFmtId="166" fontId="11" fillId="0" borderId="16" xfId="2" applyNumberFormat="1" applyFont="1" applyBorder="1"/>
    <xf numFmtId="164" fontId="11" fillId="0" borderId="3" xfId="0" applyNumberFormat="1" applyFont="1" applyBorder="1"/>
    <xf numFmtId="166" fontId="18" fillId="0" borderId="14" xfId="2" applyNumberFormat="1" applyFont="1" applyBorder="1" applyAlignment="1">
      <alignment horizontal="center"/>
    </xf>
    <xf numFmtId="38" fontId="18" fillId="0" borderId="14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37" fontId="18" fillId="0" borderId="14" xfId="0" applyNumberFormat="1" applyFont="1" applyBorder="1" applyAlignment="1">
      <alignment horizontal="center"/>
    </xf>
    <xf numFmtId="0" fontId="18" fillId="0" borderId="14" xfId="0" applyFont="1" applyBorder="1"/>
    <xf numFmtId="0" fontId="18" fillId="0" borderId="19" xfId="0" applyFont="1" applyBorder="1"/>
    <xf numFmtId="0" fontId="18" fillId="0" borderId="1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0" fontId="11" fillId="0" borderId="1" xfId="3" applyNumberFormat="1" applyFont="1" applyFill="1" applyBorder="1"/>
    <xf numFmtId="171" fontId="11" fillId="0" borderId="3" xfId="3" applyNumberFormat="1" applyFont="1" applyFill="1" applyBorder="1"/>
    <xf numFmtId="0" fontId="17" fillId="0" borderId="3" xfId="0" applyFont="1" applyBorder="1"/>
    <xf numFmtId="0" fontId="15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4" xfId="0" applyFont="1" applyBorder="1"/>
    <xf numFmtId="0" fontId="11" fillId="0" borderId="15" xfId="0" applyFont="1" applyBorder="1"/>
    <xf numFmtId="165" fontId="11" fillId="0" borderId="3" xfId="1" applyNumberFormat="1" applyFont="1" applyFill="1" applyBorder="1"/>
    <xf numFmtId="166" fontId="11" fillId="0" borderId="1" xfId="2" applyNumberFormat="1" applyFont="1" applyFill="1" applyBorder="1"/>
    <xf numFmtId="166" fontId="11" fillId="0" borderId="3" xfId="2" applyNumberFormat="1" applyFont="1" applyFill="1" applyBorder="1"/>
    <xf numFmtId="166" fontId="11" fillId="0" borderId="2" xfId="2" applyNumberFormat="1" applyFont="1" applyFill="1" applyBorder="1"/>
    <xf numFmtId="0" fontId="11" fillId="0" borderId="4" xfId="0" applyFont="1" applyBorder="1" applyAlignment="1">
      <alignment horizontal="center"/>
    </xf>
    <xf numFmtId="173" fontId="11" fillId="0" borderId="7" xfId="0" applyNumberFormat="1" applyFont="1" applyBorder="1" applyAlignment="1">
      <alignment horizontal="center"/>
    </xf>
    <xf numFmtId="167" fontId="11" fillId="0" borderId="3" xfId="2" applyNumberFormat="1" applyFont="1" applyFill="1" applyBorder="1"/>
    <xf numFmtId="0" fontId="11" fillId="0" borderId="8" xfId="0" applyFont="1" applyBorder="1" applyAlignment="1">
      <alignment horizontal="center"/>
    </xf>
    <xf numFmtId="0" fontId="19" fillId="0" borderId="0" xfId="0" applyFont="1"/>
    <xf numFmtId="0" fontId="10" fillId="0" borderId="10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11" fillId="0" borderId="22" xfId="0" applyFont="1" applyBorder="1"/>
    <xf numFmtId="0" fontId="11" fillId="0" borderId="23" xfId="0" applyFont="1" applyBorder="1"/>
    <xf numFmtId="0" fontId="11" fillId="0" borderId="24" xfId="0" applyFont="1" applyBorder="1"/>
    <xf numFmtId="0" fontId="20" fillId="0" borderId="9" xfId="0" applyFont="1" applyBorder="1" applyAlignment="1">
      <alignment horizontal="left"/>
    </xf>
    <xf numFmtId="17" fontId="20" fillId="0" borderId="25" xfId="0" applyNumberFormat="1" applyFont="1" applyBorder="1" applyAlignment="1">
      <alignment horizontal="center"/>
    </xf>
    <xf numFmtId="17" fontId="20" fillId="0" borderId="0" xfId="0" applyNumberFormat="1" applyFont="1" applyAlignment="1">
      <alignment horizontal="center"/>
    </xf>
    <xf numFmtId="17" fontId="20" fillId="0" borderId="26" xfId="0" applyNumberFormat="1" applyFont="1" applyBorder="1" applyAlignment="1">
      <alignment horizontal="center"/>
    </xf>
    <xf numFmtId="0" fontId="21" fillId="0" borderId="9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11" fillId="0" borderId="25" xfId="0" applyFont="1" applyBorder="1" applyAlignment="1">
      <alignment horizontal="center"/>
    </xf>
    <xf numFmtId="0" fontId="11" fillId="0" borderId="33" xfId="0" applyFont="1" applyBorder="1"/>
    <xf numFmtId="0" fontId="11" fillId="0" borderId="18" xfId="0" applyFont="1" applyBorder="1"/>
    <xf numFmtId="0" fontId="19" fillId="0" borderId="33" xfId="0" applyFont="1" applyBorder="1"/>
    <xf numFmtId="0" fontId="22" fillId="0" borderId="9" xfId="0" applyFont="1" applyBorder="1"/>
    <xf numFmtId="0" fontId="20" fillId="0" borderId="9" xfId="0" applyFont="1" applyBorder="1" applyAlignment="1">
      <alignment horizontal="center"/>
    </xf>
    <xf numFmtId="0" fontId="20" fillId="0" borderId="9" xfId="0" applyFont="1" applyBorder="1"/>
    <xf numFmtId="0" fontId="14" fillId="0" borderId="9" xfId="0" applyFont="1" applyBorder="1"/>
    <xf numFmtId="0" fontId="11" fillId="0" borderId="34" xfId="0" applyFont="1" applyBorder="1"/>
    <xf numFmtId="0" fontId="14" fillId="0" borderId="10" xfId="0" applyFont="1" applyBorder="1" applyAlignment="1">
      <alignment horizontal="center"/>
    </xf>
    <xf numFmtId="0" fontId="19" fillId="0" borderId="0" xfId="0" applyFont="1" applyAlignment="1">
      <alignment horizontal="center"/>
    </xf>
    <xf numFmtId="165" fontId="11" fillId="0" borderId="1" xfId="1" applyNumberFormat="1" applyFont="1" applyFill="1" applyBorder="1" applyAlignment="1">
      <alignment horizontal="center"/>
    </xf>
    <xf numFmtId="0" fontId="11" fillId="0" borderId="1" xfId="0" quotePrefix="1" applyFont="1" applyBorder="1" applyAlignment="1">
      <alignment horizontal="center"/>
    </xf>
    <xf numFmtId="172" fontId="11" fillId="0" borderId="39" xfId="0" applyNumberFormat="1" applyFont="1" applyBorder="1" applyAlignment="1">
      <alignment horizontal="center"/>
    </xf>
    <xf numFmtId="170" fontId="11" fillId="0" borderId="0" xfId="1" applyNumberFormat="1" applyFont="1"/>
    <xf numFmtId="169" fontId="11" fillId="0" borderId="3" xfId="3" applyNumberFormat="1" applyFont="1" applyBorder="1"/>
    <xf numFmtId="3" fontId="11" fillId="0" borderId="25" xfId="0" applyNumberFormat="1" applyFont="1" applyBorder="1"/>
    <xf numFmtId="3" fontId="11" fillId="0" borderId="0" xfId="0" applyNumberFormat="1" applyFont="1"/>
    <xf numFmtId="3" fontId="11" fillId="0" borderId="26" xfId="0" applyNumberFormat="1" applyFont="1" applyBorder="1" applyAlignment="1">
      <alignment horizontal="right"/>
    </xf>
    <xf numFmtId="0" fontId="11" fillId="0" borderId="25" xfId="0" applyFont="1" applyBorder="1" applyAlignment="1">
      <alignment horizontal="left"/>
    </xf>
    <xf numFmtId="3" fontId="11" fillId="0" borderId="25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8" fontId="11" fillId="0" borderId="26" xfId="0" applyNumberFormat="1" applyFont="1" applyBorder="1" applyAlignment="1">
      <alignment horizontal="right"/>
    </xf>
    <xf numFmtId="3" fontId="11" fillId="0" borderId="27" xfId="0" applyNumberFormat="1" applyFont="1" applyBorder="1" applyAlignment="1">
      <alignment horizontal="right"/>
    </xf>
    <xf numFmtId="3" fontId="11" fillId="0" borderId="28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11" fillId="0" borderId="32" xfId="0" applyNumberFormat="1" applyFont="1" applyBorder="1" applyAlignment="1">
      <alignment horizontal="right"/>
    </xf>
    <xf numFmtId="3" fontId="11" fillId="0" borderId="18" xfId="0" applyNumberFormat="1" applyFont="1" applyBorder="1"/>
    <xf numFmtId="3" fontId="11" fillId="0" borderId="34" xfId="0" applyNumberFormat="1" applyFont="1" applyBorder="1"/>
    <xf numFmtId="0" fontId="11" fillId="0" borderId="25" xfId="0" applyFont="1" applyBorder="1"/>
    <xf numFmtId="0" fontId="11" fillId="0" borderId="26" xfId="0" applyFont="1" applyBorder="1"/>
    <xf numFmtId="3" fontId="11" fillId="0" borderId="5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3" fontId="11" fillId="0" borderId="36" xfId="0" applyNumberFormat="1" applyFont="1" applyBorder="1"/>
    <xf numFmtId="3" fontId="11" fillId="0" borderId="37" xfId="0" applyNumberFormat="1" applyFont="1" applyBorder="1"/>
    <xf numFmtId="3" fontId="11" fillId="0" borderId="38" xfId="0" applyNumberFormat="1" applyFont="1" applyBorder="1"/>
    <xf numFmtId="168" fontId="11" fillId="0" borderId="5" xfId="0" applyNumberFormat="1" applyFont="1" applyBorder="1" applyAlignment="1">
      <alignment horizontal="right"/>
    </xf>
    <xf numFmtId="166" fontId="10" fillId="0" borderId="4" xfId="2" applyNumberFormat="1" applyFont="1" applyBorder="1"/>
    <xf numFmtId="0" fontId="11" fillId="0" borderId="39" xfId="0" applyFont="1" applyBorder="1" applyAlignment="1">
      <alignment horizontal="center"/>
    </xf>
    <xf numFmtId="166" fontId="11" fillId="0" borderId="17" xfId="2" applyNumberFormat="1" applyFont="1" applyBorder="1"/>
    <xf numFmtId="166" fontId="11" fillId="0" borderId="43" xfId="2" applyNumberFormat="1" applyFont="1" applyBorder="1"/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46" xfId="0" applyFont="1" applyBorder="1"/>
    <xf numFmtId="0" fontId="11" fillId="0" borderId="47" xfId="0" applyFont="1" applyBorder="1"/>
    <xf numFmtId="0" fontId="11" fillId="0" borderId="44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166" fontId="11" fillId="0" borderId="46" xfId="2" applyNumberFormat="1" applyFont="1" applyBorder="1"/>
    <xf numFmtId="38" fontId="11" fillId="0" borderId="46" xfId="0" applyNumberFormat="1" applyFont="1" applyBorder="1"/>
    <xf numFmtId="167" fontId="11" fillId="0" borderId="48" xfId="2" applyNumberFormat="1" applyFont="1" applyBorder="1"/>
    <xf numFmtId="166" fontId="11" fillId="0" borderId="52" xfId="2" applyNumberFormat="1" applyFont="1" applyBorder="1"/>
    <xf numFmtId="165" fontId="11" fillId="0" borderId="48" xfId="1" applyNumberFormat="1" applyFont="1" applyBorder="1"/>
    <xf numFmtId="166" fontId="11" fillId="0" borderId="53" xfId="2" applyNumberFormat="1" applyFont="1" applyBorder="1"/>
    <xf numFmtId="165" fontId="11" fillId="0" borderId="46" xfId="1" applyNumberFormat="1" applyFont="1" applyBorder="1"/>
    <xf numFmtId="37" fontId="11" fillId="0" borderId="46" xfId="0" applyNumberFormat="1" applyFont="1" applyBorder="1"/>
    <xf numFmtId="37" fontId="11" fillId="0" borderId="49" xfId="0" applyNumberFormat="1" applyFont="1" applyBorder="1"/>
    <xf numFmtId="171" fontId="11" fillId="0" borderId="48" xfId="3" applyNumberFormat="1" applyFont="1" applyBorder="1"/>
    <xf numFmtId="165" fontId="11" fillId="0" borderId="49" xfId="1" applyNumberFormat="1" applyFont="1" applyBorder="1"/>
    <xf numFmtId="166" fontId="11" fillId="0" borderId="25" xfId="2" applyNumberFormat="1" applyFont="1" applyBorder="1"/>
    <xf numFmtId="166" fontId="11" fillId="0" borderId="22" xfId="2" applyNumberFormat="1" applyFont="1" applyBorder="1"/>
    <xf numFmtId="166" fontId="11" fillId="0" borderId="24" xfId="2" applyNumberFormat="1" applyFont="1" applyBorder="1"/>
    <xf numFmtId="169" fontId="11" fillId="0" borderId="25" xfId="3" applyNumberFormat="1" applyFont="1" applyBorder="1"/>
    <xf numFmtId="169" fontId="11" fillId="0" borderId="26" xfId="3" applyNumberFormat="1" applyFont="1" applyBorder="1"/>
    <xf numFmtId="169" fontId="11" fillId="0" borderId="35" xfId="3" applyNumberFormat="1" applyFont="1" applyBorder="1"/>
    <xf numFmtId="169" fontId="11" fillId="0" borderId="55" xfId="3" applyNumberFormat="1" applyFont="1" applyBorder="1"/>
    <xf numFmtId="166" fontId="11" fillId="0" borderId="26" xfId="2" applyNumberFormat="1" applyFont="1" applyBorder="1"/>
    <xf numFmtId="169" fontId="11" fillId="0" borderId="46" xfId="3" applyNumberFormat="1" applyFont="1" applyBorder="1"/>
    <xf numFmtId="166" fontId="11" fillId="0" borderId="33" xfId="2" applyNumberFormat="1" applyFont="1" applyBorder="1"/>
    <xf numFmtId="166" fontId="11" fillId="0" borderId="34" xfId="2" applyNumberFormat="1" applyFont="1" applyBorder="1"/>
    <xf numFmtId="38" fontId="11" fillId="0" borderId="26" xfId="0" applyNumberFormat="1" applyFont="1" applyBorder="1"/>
    <xf numFmtId="166" fontId="11" fillId="0" borderId="38" xfId="2" applyNumberFormat="1" applyFont="1" applyBorder="1"/>
    <xf numFmtId="165" fontId="11" fillId="0" borderId="26" xfId="1" applyNumberFormat="1" applyFont="1" applyBorder="1"/>
    <xf numFmtId="166" fontId="11" fillId="0" borderId="55" xfId="2" applyNumberFormat="1" applyFont="1" applyBorder="1"/>
    <xf numFmtId="37" fontId="11" fillId="0" borderId="26" xfId="0" applyNumberFormat="1" applyFont="1" applyBorder="1"/>
    <xf numFmtId="37" fontId="11" fillId="0" borderId="55" xfId="0" applyNumberFormat="1" applyFont="1" applyBorder="1"/>
    <xf numFmtId="171" fontId="11" fillId="0" borderId="55" xfId="3" applyNumberFormat="1" applyFont="1" applyBorder="1"/>
    <xf numFmtId="165" fontId="11" fillId="0" borderId="55" xfId="1" applyNumberFormat="1" applyFont="1" applyBorder="1"/>
    <xf numFmtId="164" fontId="11" fillId="0" borderId="25" xfId="0" applyNumberFormat="1" applyFont="1" applyBorder="1"/>
    <xf numFmtId="0" fontId="11" fillId="0" borderId="42" xfId="0" applyFont="1" applyBorder="1"/>
    <xf numFmtId="0" fontId="11" fillId="0" borderId="42" xfId="0" applyFont="1" applyBorder="1" applyAlignment="1">
      <alignment horizontal="left"/>
    </xf>
    <xf numFmtId="166" fontId="11" fillId="0" borderId="48" xfId="2" applyNumberFormat="1" applyFont="1" applyFill="1" applyBorder="1"/>
    <xf numFmtId="0" fontId="11" fillId="0" borderId="39" xfId="0" applyFont="1" applyBorder="1"/>
    <xf numFmtId="10" fontId="11" fillId="0" borderId="14" xfId="3" applyNumberFormat="1" applyFont="1" applyBorder="1"/>
    <xf numFmtId="166" fontId="11" fillId="0" borderId="56" xfId="2" applyNumberFormat="1" applyFont="1" applyBorder="1"/>
    <xf numFmtId="0" fontId="20" fillId="0" borderId="8" xfId="0" applyFont="1" applyBorder="1" applyAlignment="1">
      <alignment horizontal="center"/>
    </xf>
    <xf numFmtId="166" fontId="11" fillId="0" borderId="14" xfId="2" applyNumberFormat="1" applyFont="1" applyBorder="1"/>
    <xf numFmtId="38" fontId="11" fillId="0" borderId="14" xfId="0" applyNumberFormat="1" applyFont="1" applyBorder="1"/>
    <xf numFmtId="166" fontId="11" fillId="0" borderId="13" xfId="2" applyNumberFormat="1" applyFont="1" applyBorder="1"/>
    <xf numFmtId="165" fontId="11" fillId="0" borderId="15" xfId="1" applyNumberFormat="1" applyFont="1" applyBorder="1"/>
    <xf numFmtId="166" fontId="11" fillId="0" borderId="59" xfId="2" applyNumberFormat="1" applyFont="1" applyBorder="1"/>
    <xf numFmtId="165" fontId="11" fillId="0" borderId="14" xfId="1" applyNumberFormat="1" applyFont="1" applyBorder="1"/>
    <xf numFmtId="166" fontId="11" fillId="0" borderId="15" xfId="2" applyNumberFormat="1" applyFont="1" applyBorder="1"/>
    <xf numFmtId="37" fontId="11" fillId="0" borderId="14" xfId="0" applyNumberFormat="1" applyFont="1" applyBorder="1"/>
    <xf numFmtId="37" fontId="11" fillId="0" borderId="15" xfId="0" applyNumberFormat="1" applyFont="1" applyBorder="1"/>
    <xf numFmtId="166" fontId="11" fillId="0" borderId="19" xfId="2" applyNumberFormat="1" applyFont="1" applyBorder="1"/>
    <xf numFmtId="169" fontId="11" fillId="0" borderId="14" xfId="3" applyNumberFormat="1" applyFont="1" applyBorder="1"/>
    <xf numFmtId="164" fontId="11" fillId="0" borderId="14" xfId="0" applyNumberFormat="1" applyFont="1" applyBorder="1"/>
    <xf numFmtId="38" fontId="11" fillId="0" borderId="0" xfId="0" applyNumberFormat="1" applyFont="1"/>
    <xf numFmtId="167" fontId="11" fillId="0" borderId="5" xfId="2" applyNumberFormat="1" applyFont="1" applyFill="1" applyBorder="1"/>
    <xf numFmtId="166" fontId="11" fillId="0" borderId="41" xfId="2" applyNumberFormat="1" applyFont="1" applyBorder="1"/>
    <xf numFmtId="165" fontId="11" fillId="0" borderId="5" xfId="1" applyNumberFormat="1" applyFont="1" applyBorder="1"/>
    <xf numFmtId="166" fontId="11" fillId="0" borderId="37" xfId="2" applyNumberFormat="1" applyFont="1" applyBorder="1"/>
    <xf numFmtId="165" fontId="11" fillId="0" borderId="0" xfId="1" applyNumberFormat="1" applyFont="1" applyBorder="1"/>
    <xf numFmtId="166" fontId="11" fillId="0" borderId="5" xfId="2" applyNumberFormat="1" applyFont="1" applyBorder="1"/>
    <xf numFmtId="37" fontId="11" fillId="0" borderId="0" xfId="0" applyNumberFormat="1" applyFont="1"/>
    <xf numFmtId="37" fontId="11" fillId="0" borderId="5" xfId="0" applyNumberFormat="1" applyFont="1" applyBorder="1"/>
    <xf numFmtId="171" fontId="11" fillId="0" borderId="5" xfId="3" applyNumberFormat="1" applyFont="1" applyBorder="1"/>
    <xf numFmtId="166" fontId="11" fillId="0" borderId="23" xfId="2" applyNumberFormat="1" applyFont="1" applyBorder="1"/>
    <xf numFmtId="169" fontId="11" fillId="0" borderId="0" xfId="3" applyNumberFormat="1" applyFont="1" applyBorder="1"/>
    <xf numFmtId="169" fontId="11" fillId="0" borderId="5" xfId="3" applyNumberFormat="1" applyFont="1" applyBorder="1"/>
    <xf numFmtId="167" fontId="11" fillId="0" borderId="15" xfId="2" applyNumberFormat="1" applyFont="1" applyBorder="1"/>
    <xf numFmtId="0" fontId="11" fillId="0" borderId="61" xfId="0" applyFont="1" applyBorder="1"/>
    <xf numFmtId="0" fontId="10" fillId="0" borderId="18" xfId="0" applyFont="1" applyBorder="1" applyAlignment="1">
      <alignment horizontal="centerContinuous"/>
    </xf>
    <xf numFmtId="0" fontId="11" fillId="0" borderId="18" xfId="0" applyFont="1" applyBorder="1" applyAlignment="1">
      <alignment horizontal="centerContinuous"/>
    </xf>
    <xf numFmtId="0" fontId="11" fillId="0" borderId="16" xfId="0" applyFont="1" applyBorder="1" applyAlignment="1">
      <alignment horizontal="center"/>
    </xf>
    <xf numFmtId="0" fontId="11" fillId="0" borderId="17" xfId="0" applyFont="1" applyBorder="1"/>
    <xf numFmtId="0" fontId="11" fillId="0" borderId="51" xfId="0" applyFont="1" applyBorder="1"/>
    <xf numFmtId="0" fontId="7" fillId="0" borderId="0" xfId="0" applyFont="1"/>
    <xf numFmtId="166" fontId="0" fillId="0" borderId="0" xfId="0" applyNumberFormat="1"/>
    <xf numFmtId="0" fontId="29" fillId="0" borderId="0" xfId="0" applyFont="1"/>
    <xf numFmtId="0" fontId="7" fillId="0" borderId="2" xfId="0" applyFont="1" applyBorder="1"/>
    <xf numFmtId="166" fontId="9" fillId="0" borderId="0" xfId="0" applyNumberFormat="1" applyFont="1"/>
    <xf numFmtId="0" fontId="32" fillId="0" borderId="0" xfId="0" quotePrefix="1" applyFont="1" applyAlignment="1">
      <alignment horizontal="center"/>
    </xf>
    <xf numFmtId="165" fontId="0" fillId="0" borderId="0" xfId="1" applyNumberFormat="1" applyFont="1"/>
    <xf numFmtId="0" fontId="11" fillId="0" borderId="0" xfId="0" applyFont="1" applyAlignment="1">
      <alignment horizontal="left"/>
    </xf>
    <xf numFmtId="0" fontId="0" fillId="0" borderId="1" xfId="0" applyBorder="1"/>
    <xf numFmtId="43" fontId="11" fillId="0" borderId="34" xfId="1" applyFont="1" applyFill="1" applyBorder="1"/>
    <xf numFmtId="0" fontId="0" fillId="0" borderId="0" xfId="0" applyAlignment="1">
      <alignment horizontal="centerContinuous" vertical="justify"/>
    </xf>
    <xf numFmtId="42" fontId="11" fillId="0" borderId="0" xfId="0" applyNumberFormat="1" applyFont="1" applyAlignment="1">
      <alignment horizontal="centerContinuous" vertical="justify"/>
    </xf>
    <xf numFmtId="10" fontId="11" fillId="0" borderId="0" xfId="3" applyNumberFormat="1" applyFont="1" applyBorder="1" applyAlignment="1">
      <alignment horizontal="centerContinuous" vertical="justify"/>
    </xf>
    <xf numFmtId="166" fontId="11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horizontal="left"/>
    </xf>
    <xf numFmtId="42" fontId="11" fillId="0" borderId="4" xfId="0" applyNumberFormat="1" applyFont="1" applyBorder="1"/>
    <xf numFmtId="10" fontId="11" fillId="0" borderId="21" xfId="3" applyNumberFormat="1" applyFont="1" applyBorder="1"/>
    <xf numFmtId="42" fontId="11" fillId="0" borderId="1" xfId="0" applyNumberFormat="1" applyFont="1" applyBorder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167" fontId="11" fillId="0" borderId="0" xfId="2" applyNumberFormat="1" applyFont="1"/>
    <xf numFmtId="166" fontId="11" fillId="0" borderId="1" xfId="2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left"/>
    </xf>
    <xf numFmtId="166" fontId="11" fillId="0" borderId="4" xfId="2" applyNumberFormat="1" applyFont="1" applyFill="1" applyBorder="1" applyAlignment="1">
      <alignment horizontal="left"/>
    </xf>
    <xf numFmtId="0" fontId="21" fillId="0" borderId="0" xfId="0" applyFont="1"/>
    <xf numFmtId="166" fontId="21" fillId="0" borderId="0" xfId="0" applyNumberFormat="1" applyFont="1"/>
    <xf numFmtId="0" fontId="31" fillId="0" borderId="0" xfId="0" applyFont="1"/>
    <xf numFmtId="0" fontId="11" fillId="0" borderId="17" xfId="0" applyFont="1" applyBorder="1" applyAlignment="1">
      <alignment horizontal="center"/>
    </xf>
    <xf numFmtId="165" fontId="11" fillId="0" borderId="1" xfId="1" applyNumberFormat="1" applyFont="1" applyBorder="1" applyAlignment="1">
      <alignment horizontal="center"/>
    </xf>
    <xf numFmtId="165" fontId="11" fillId="0" borderId="1" xfId="1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center"/>
    </xf>
    <xf numFmtId="165" fontId="11" fillId="0" borderId="17" xfId="1" applyNumberFormat="1" applyFont="1" applyBorder="1"/>
    <xf numFmtId="167" fontId="11" fillId="0" borderId="1" xfId="2" applyNumberFormat="1" applyFont="1" applyBorder="1" applyAlignment="1">
      <alignment horizontal="center"/>
    </xf>
    <xf numFmtId="0" fontId="11" fillId="0" borderId="17" xfId="0" applyFont="1" applyBorder="1" applyAlignment="1">
      <alignment horizontal="centerContinuous" vertical="justify"/>
    </xf>
    <xf numFmtId="166" fontId="11" fillId="0" borderId="1" xfId="2" applyNumberFormat="1" applyFont="1" applyFill="1" applyBorder="1" applyAlignment="1">
      <alignment horizontal="center"/>
    </xf>
    <xf numFmtId="0" fontId="21" fillId="0" borderId="16" xfId="0" applyFont="1" applyBorder="1"/>
    <xf numFmtId="165" fontId="18" fillId="0" borderId="17" xfId="1" applyNumberFormat="1" applyFont="1" applyFill="1" applyBorder="1" applyAlignment="1">
      <alignment horizontal="center"/>
    </xf>
    <xf numFmtId="167" fontId="11" fillId="0" borderId="17" xfId="2" applyNumberFormat="1" applyFont="1" applyBorder="1" applyAlignment="1">
      <alignment horizontal="center"/>
    </xf>
    <xf numFmtId="165" fontId="11" fillId="0" borderId="42" xfId="1" applyNumberFormat="1" applyFont="1" applyBorder="1"/>
    <xf numFmtId="0" fontId="11" fillId="0" borderId="57" xfId="0" applyFont="1" applyBorder="1" applyAlignment="1">
      <alignment horizontal="centerContinuous" vertical="justify"/>
    </xf>
    <xf numFmtId="0" fontId="32" fillId="0" borderId="0" xfId="0" applyFont="1" applyAlignment="1">
      <alignment horizontal="center"/>
    </xf>
    <xf numFmtId="167" fontId="11" fillId="0" borderId="55" xfId="2" applyNumberFormat="1" applyFont="1" applyFill="1" applyBorder="1"/>
    <xf numFmtId="169" fontId="11" fillId="0" borderId="26" xfId="3" applyNumberFormat="1" applyFont="1" applyFill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166" fontId="11" fillId="0" borderId="47" xfId="2" applyNumberFormat="1" applyFont="1" applyBorder="1"/>
    <xf numFmtId="38" fontId="11" fillId="0" borderId="47" xfId="0" applyNumberFormat="1" applyFont="1" applyBorder="1"/>
    <xf numFmtId="167" fontId="11" fillId="0" borderId="49" xfId="2" applyNumberFormat="1" applyFont="1" applyBorder="1"/>
    <xf numFmtId="166" fontId="11" fillId="0" borderId="70" xfId="2" applyNumberFormat="1" applyFont="1" applyBorder="1"/>
    <xf numFmtId="166" fontId="11" fillId="0" borderId="71" xfId="2" applyNumberFormat="1" applyFont="1" applyBorder="1"/>
    <xf numFmtId="165" fontId="11" fillId="0" borderId="47" xfId="1" applyNumberFormat="1" applyFont="1" applyBorder="1"/>
    <xf numFmtId="166" fontId="11" fillId="0" borderId="49" xfId="2" applyNumberFormat="1" applyFont="1" applyBorder="1"/>
    <xf numFmtId="37" fontId="11" fillId="0" borderId="47" xfId="0" applyNumberFormat="1" applyFont="1" applyBorder="1"/>
    <xf numFmtId="171" fontId="11" fillId="0" borderId="49" xfId="3" applyNumberFormat="1" applyFont="1" applyBorder="1"/>
    <xf numFmtId="166" fontId="11" fillId="0" borderId="44" xfId="2" applyNumberFormat="1" applyFont="1" applyBorder="1"/>
    <xf numFmtId="166" fontId="11" fillId="0" borderId="45" xfId="2" applyNumberFormat="1" applyFont="1" applyBorder="1"/>
    <xf numFmtId="169" fontId="11" fillId="0" borderId="47" xfId="3" applyNumberFormat="1" applyFont="1" applyBorder="1"/>
    <xf numFmtId="169" fontId="11" fillId="0" borderId="48" xfId="3" applyNumberFormat="1" applyFont="1" applyBorder="1"/>
    <xf numFmtId="169" fontId="11" fillId="0" borderId="49" xfId="3" applyNumberFormat="1" applyFont="1" applyBorder="1"/>
    <xf numFmtId="38" fontId="11" fillId="0" borderId="25" xfId="0" applyNumberFormat="1" applyFont="1" applyBorder="1"/>
    <xf numFmtId="167" fontId="11" fillId="0" borderId="35" xfId="2" applyNumberFormat="1" applyFont="1" applyBorder="1"/>
    <xf numFmtId="166" fontId="11" fillId="0" borderId="74" xfId="2" applyNumberFormat="1" applyFont="1" applyFill="1" applyBorder="1"/>
    <xf numFmtId="165" fontId="11" fillId="0" borderId="35" xfId="1" applyNumberFormat="1" applyFont="1" applyFill="1" applyBorder="1"/>
    <xf numFmtId="165" fontId="11" fillId="0" borderId="49" xfId="1" applyNumberFormat="1" applyFont="1" applyFill="1" applyBorder="1"/>
    <xf numFmtId="166" fontId="11" fillId="0" borderId="36" xfId="2" applyNumberFormat="1" applyFont="1" applyBorder="1"/>
    <xf numFmtId="165" fontId="11" fillId="0" borderId="25" xfId="1" applyNumberFormat="1" applyFont="1" applyBorder="1"/>
    <xf numFmtId="166" fontId="11" fillId="0" borderId="35" xfId="2" applyNumberFormat="1" applyFont="1" applyBorder="1"/>
    <xf numFmtId="37" fontId="11" fillId="0" borderId="25" xfId="0" applyNumberFormat="1" applyFont="1" applyBorder="1"/>
    <xf numFmtId="37" fontId="11" fillId="0" borderId="35" xfId="0" applyNumberFormat="1" applyFont="1" applyBorder="1"/>
    <xf numFmtId="171" fontId="11" fillId="0" borderId="35" xfId="3" applyNumberFormat="1" applyFont="1" applyBorder="1"/>
    <xf numFmtId="165" fontId="11" fillId="0" borderId="35" xfId="1" applyNumberFormat="1" applyFont="1" applyBorder="1"/>
    <xf numFmtId="173" fontId="11" fillId="0" borderId="0" xfId="0" applyNumberFormat="1" applyFont="1" applyAlignment="1">
      <alignment horizontal="center"/>
    </xf>
    <xf numFmtId="167" fontId="11" fillId="0" borderId="0" xfId="2" applyNumberFormat="1" applyFont="1" applyBorder="1"/>
    <xf numFmtId="166" fontId="10" fillId="0" borderId="60" xfId="2" applyNumberFormat="1" applyFont="1" applyBorder="1"/>
    <xf numFmtId="166" fontId="10" fillId="0" borderId="4" xfId="2" applyNumberFormat="1" applyFont="1" applyFill="1" applyBorder="1"/>
    <xf numFmtId="3" fontId="10" fillId="0" borderId="0" xfId="0" applyNumberFormat="1" applyFont="1" applyAlignment="1">
      <alignment horizontal="centerContinuous" vertical="justify"/>
    </xf>
    <xf numFmtId="0" fontId="11" fillId="0" borderId="17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8" fontId="11" fillId="0" borderId="0" xfId="0" applyNumberFormat="1" applyFont="1"/>
    <xf numFmtId="168" fontId="11" fillId="0" borderId="0" xfId="0" applyNumberFormat="1" applyFont="1" applyAlignment="1">
      <alignment horizontal="right"/>
    </xf>
    <xf numFmtId="0" fontId="29" fillId="0" borderId="62" xfId="0" applyFont="1" applyBorder="1"/>
    <xf numFmtId="0" fontId="29" fillId="0" borderId="18" xfId="0" applyFont="1" applyBorder="1"/>
    <xf numFmtId="0" fontId="29" fillId="0" borderId="34" xfId="0" applyFont="1" applyBorder="1"/>
    <xf numFmtId="43" fontId="7" fillId="0" borderId="0" xfId="1" applyFont="1" applyFill="1" applyBorder="1"/>
    <xf numFmtId="165" fontId="7" fillId="0" borderId="0" xfId="0" applyNumberFormat="1" applyFont="1"/>
    <xf numFmtId="0" fontId="1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6" fillId="0" borderId="0" xfId="0" applyFont="1"/>
    <xf numFmtId="0" fontId="29" fillId="0" borderId="0" xfId="0" applyFont="1" applyAlignment="1">
      <alignment vertical="top" wrapText="1"/>
    </xf>
    <xf numFmtId="0" fontId="29" fillId="0" borderId="2" xfId="0" applyFont="1" applyBorder="1"/>
    <xf numFmtId="0" fontId="29" fillId="0" borderId="1" xfId="0" applyFont="1" applyBorder="1"/>
    <xf numFmtId="0" fontId="29" fillId="0" borderId="3" xfId="0" applyFont="1" applyBorder="1" applyAlignment="1">
      <alignment vertical="top" wrapText="1"/>
    </xf>
    <xf numFmtId="0" fontId="26" fillId="0" borderId="0" xfId="0" applyFont="1" applyAlignment="1">
      <alignment vertical="center" textRotation="90"/>
    </xf>
    <xf numFmtId="166" fontId="11" fillId="0" borderId="8" xfId="2" applyNumberFormat="1" applyFont="1" applyBorder="1"/>
    <xf numFmtId="38" fontId="11" fillId="0" borderId="9" xfId="0" applyNumberFormat="1" applyFont="1" applyBorder="1"/>
    <xf numFmtId="37" fontId="11" fillId="0" borderId="9" xfId="0" applyNumberFormat="1" applyFont="1" applyBorder="1"/>
    <xf numFmtId="167" fontId="11" fillId="0" borderId="11" xfId="2" applyNumberFormat="1" applyFont="1" applyBorder="1"/>
    <xf numFmtId="166" fontId="11" fillId="0" borderId="62" xfId="2" applyNumberFormat="1" applyFont="1" applyBorder="1"/>
    <xf numFmtId="165" fontId="11" fillId="0" borderId="11" xfId="1" applyNumberFormat="1" applyFont="1" applyBorder="1"/>
    <xf numFmtId="166" fontId="11" fillId="0" borderId="11" xfId="2" applyNumberFormat="1" applyFont="1" applyBorder="1"/>
    <xf numFmtId="166" fontId="11" fillId="0" borderId="75" xfId="2" applyNumberFormat="1" applyFont="1" applyBorder="1"/>
    <xf numFmtId="37" fontId="11" fillId="0" borderId="11" xfId="0" applyNumberFormat="1" applyFont="1" applyBorder="1"/>
    <xf numFmtId="166" fontId="10" fillId="0" borderId="51" xfId="2" applyNumberFormat="1" applyFont="1" applyFill="1" applyBorder="1"/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165" fontId="33" fillId="0" borderId="17" xfId="1" applyNumberFormat="1" applyFont="1" applyBorder="1"/>
    <xf numFmtId="17" fontId="11" fillId="0" borderId="0" xfId="0" applyNumberFormat="1" applyFont="1" applyAlignment="1">
      <alignment horizontal="left"/>
    </xf>
    <xf numFmtId="0" fontId="11" fillId="0" borderId="42" xfId="0" applyFont="1" applyBorder="1" applyAlignment="1">
      <alignment horizontal="center"/>
    </xf>
    <xf numFmtId="0" fontId="11" fillId="0" borderId="40" xfId="0" applyFont="1" applyBorder="1"/>
    <xf numFmtId="17" fontId="11" fillId="0" borderId="0" xfId="0" applyNumberFormat="1" applyFont="1" applyAlignment="1">
      <alignment horizontal="center"/>
    </xf>
    <xf numFmtId="0" fontId="16" fillId="0" borderId="14" xfId="0" applyFont="1" applyBorder="1"/>
    <xf numFmtId="164" fontId="11" fillId="0" borderId="15" xfId="0" applyNumberFormat="1" applyFont="1" applyBorder="1"/>
    <xf numFmtId="165" fontId="11" fillId="0" borderId="4" xfId="1" applyNumberFormat="1" applyFont="1" applyFill="1" applyBorder="1" applyAlignment="1">
      <alignment horizontal="left"/>
    </xf>
    <xf numFmtId="166" fontId="20" fillId="0" borderId="1" xfId="2" applyNumberFormat="1" applyFont="1" applyFill="1" applyBorder="1" applyAlignment="1">
      <alignment horizontal="left"/>
    </xf>
    <xf numFmtId="167" fontId="11" fillId="0" borderId="4" xfId="2" applyNumberFormat="1" applyFont="1" applyFill="1" applyBorder="1"/>
    <xf numFmtId="0" fontId="10" fillId="0" borderId="16" xfId="0" applyFont="1" applyBorder="1" applyAlignment="1">
      <alignment horizontal="centerContinuous"/>
    </xf>
    <xf numFmtId="0" fontId="10" fillId="0" borderId="1" xfId="0" applyFont="1" applyBorder="1" applyAlignment="1">
      <alignment wrapText="1"/>
    </xf>
    <xf numFmtId="0" fontId="16" fillId="0" borderId="16" xfId="0" applyFont="1" applyBorder="1"/>
    <xf numFmtId="0" fontId="20" fillId="0" borderId="1" xfId="0" applyFont="1" applyBorder="1"/>
    <xf numFmtId="44" fontId="11" fillId="0" borderId="14" xfId="2" applyFont="1" applyBorder="1" applyAlignment="1">
      <alignment horizontal="center"/>
    </xf>
    <xf numFmtId="166" fontId="11" fillId="0" borderId="47" xfId="2" applyNumberFormat="1" applyFont="1" applyFill="1" applyBorder="1"/>
    <xf numFmtId="166" fontId="11" fillId="0" borderId="25" xfId="2" applyNumberFormat="1" applyFont="1" applyFill="1" applyBorder="1"/>
    <xf numFmtId="166" fontId="11" fillId="0" borderId="7" xfId="2" applyNumberFormat="1" applyFont="1" applyFill="1" applyBorder="1"/>
    <xf numFmtId="166" fontId="11" fillId="0" borderId="71" xfId="2" applyNumberFormat="1" applyFont="1" applyFill="1" applyBorder="1"/>
    <xf numFmtId="166" fontId="11" fillId="0" borderId="36" xfId="2" applyNumberFormat="1" applyFont="1" applyFill="1" applyBorder="1"/>
    <xf numFmtId="172" fontId="11" fillId="0" borderId="1" xfId="0" applyNumberFormat="1" applyFont="1" applyBorder="1" applyAlignment="1">
      <alignment horizontal="center"/>
    </xf>
    <xf numFmtId="37" fontId="11" fillId="0" borderId="1" xfId="0" applyNumberFormat="1" applyFont="1" applyBorder="1" applyAlignment="1">
      <alignment horizontal="right"/>
    </xf>
    <xf numFmtId="41" fontId="18" fillId="0" borderId="1" xfId="0" applyNumberFormat="1" applyFont="1" applyBorder="1" applyAlignment="1">
      <alignment horizontal="center"/>
    </xf>
    <xf numFmtId="165" fontId="9" fillId="0" borderId="0" xfId="1" applyNumberFormat="1" applyFont="1"/>
    <xf numFmtId="17" fontId="11" fillId="0" borderId="2" xfId="0" applyNumberFormat="1" applyFont="1" applyBorder="1" applyAlignment="1">
      <alignment horizontal="center"/>
    </xf>
    <xf numFmtId="17" fontId="11" fillId="0" borderId="2" xfId="0" applyNumberFormat="1" applyFont="1" applyBorder="1" applyAlignment="1">
      <alignment horizontal="right"/>
    </xf>
    <xf numFmtId="165" fontId="11" fillId="0" borderId="2" xfId="1" applyNumberFormat="1" applyFont="1" applyBorder="1"/>
    <xf numFmtId="37" fontId="11" fillId="0" borderId="4" xfId="0" applyNumberFormat="1" applyFont="1" applyBorder="1" applyAlignment="1">
      <alignment horizontal="right"/>
    </xf>
    <xf numFmtId="165" fontId="9" fillId="0" borderId="0" xfId="0" applyNumberFormat="1" applyFont="1"/>
    <xf numFmtId="37" fontId="11" fillId="0" borderId="0" xfId="0" applyNumberFormat="1" applyFont="1" applyAlignment="1">
      <alignment horizontal="right"/>
    </xf>
    <xf numFmtId="41" fontId="11" fillId="0" borderId="14" xfId="0" applyNumberFormat="1" applyFont="1" applyBorder="1"/>
    <xf numFmtId="41" fontId="11" fillId="0" borderId="76" xfId="0" applyNumberFormat="1" applyFont="1" applyBorder="1"/>
    <xf numFmtId="41" fontId="11" fillId="0" borderId="14" xfId="0" applyNumberFormat="1" applyFont="1" applyBorder="1" applyAlignment="1">
      <alignment horizontal="center"/>
    </xf>
    <xf numFmtId="37" fontId="11" fillId="0" borderId="5" xfId="0" applyNumberFormat="1" applyFont="1" applyBorder="1" applyAlignment="1">
      <alignment horizontal="right"/>
    </xf>
    <xf numFmtId="41" fontId="11" fillId="0" borderId="6" xfId="0" applyNumberFormat="1" applyFont="1" applyBorder="1"/>
    <xf numFmtId="41" fontId="11" fillId="0" borderId="15" xfId="0" applyNumberFormat="1" applyFont="1" applyBorder="1"/>
    <xf numFmtId="41" fontId="11" fillId="0" borderId="3" xfId="0" applyNumberFormat="1" applyFont="1" applyBorder="1" applyAlignment="1">
      <alignment horizontal="center"/>
    </xf>
    <xf numFmtId="37" fontId="11" fillId="0" borderId="2" xfId="0" applyNumberFormat="1" applyFont="1" applyBorder="1" applyAlignment="1">
      <alignment horizontal="right"/>
    </xf>
    <xf numFmtId="0" fontId="11" fillId="0" borderId="39" xfId="0" applyFont="1" applyBorder="1" applyAlignment="1">
      <alignment horizontal="left"/>
    </xf>
    <xf numFmtId="37" fontId="11" fillId="0" borderId="3" xfId="0" applyNumberFormat="1" applyFont="1" applyBorder="1" applyAlignment="1">
      <alignment horizontal="right"/>
    </xf>
    <xf numFmtId="179" fontId="11" fillId="0" borderId="6" xfId="0" applyNumberFormat="1" applyFont="1" applyBorder="1"/>
    <xf numFmtId="0" fontId="11" fillId="0" borderId="41" xfId="0" applyFont="1" applyBorder="1"/>
    <xf numFmtId="41" fontId="33" fillId="0" borderId="14" xfId="0" applyNumberFormat="1" applyFont="1" applyBorder="1"/>
    <xf numFmtId="0" fontId="11" fillId="0" borderId="14" xfId="0" applyFont="1" applyBorder="1" applyAlignment="1">
      <alignment horizontal="left"/>
    </xf>
    <xf numFmtId="41" fontId="11" fillId="0" borderId="60" xfId="0" applyNumberFormat="1" applyFont="1" applyBorder="1"/>
    <xf numFmtId="165" fontId="18" fillId="0" borderId="14" xfId="1" applyNumberFormat="1" applyFont="1" applyBorder="1" applyAlignment="1">
      <alignment horizontal="center"/>
    </xf>
    <xf numFmtId="180" fontId="11" fillId="0" borderId="0" xfId="0" applyNumberFormat="1" applyFont="1" applyAlignment="1">
      <alignment horizontal="left"/>
    </xf>
    <xf numFmtId="0" fontId="37" fillId="0" borderId="0" xfId="8" applyFont="1"/>
    <xf numFmtId="0" fontId="11" fillId="0" borderId="0" xfId="0" applyFont="1" applyAlignment="1">
      <alignment horizontal="center" vertical="justify"/>
    </xf>
    <xf numFmtId="0" fontId="11" fillId="0" borderId="0" xfId="0" applyFont="1" applyAlignment="1">
      <alignment vertical="justify"/>
    </xf>
    <xf numFmtId="3" fontId="11" fillId="0" borderId="0" xfId="0" applyNumberFormat="1" applyFont="1" applyAlignment="1">
      <alignment horizontal="center" vertical="justify"/>
    </xf>
    <xf numFmtId="166" fontId="11" fillId="0" borderId="3" xfId="2" applyNumberFormat="1" applyFont="1" applyFill="1" applyBorder="1" applyAlignment="1">
      <alignment horizontal="left"/>
    </xf>
    <xf numFmtId="0" fontId="32" fillId="0" borderId="0" xfId="0" quotePrefix="1" applyFont="1" applyAlignment="1">
      <alignment horizontal="right"/>
    </xf>
    <xf numFmtId="0" fontId="10" fillId="0" borderId="45" xfId="0" applyFont="1" applyBorder="1"/>
    <xf numFmtId="0" fontId="11" fillId="0" borderId="47" xfId="0" applyFont="1" applyBorder="1" applyAlignment="1">
      <alignment horizontal="left"/>
    </xf>
    <xf numFmtId="0" fontId="10" fillId="0" borderId="47" xfId="0" applyFont="1" applyBorder="1"/>
    <xf numFmtId="0" fontId="16" fillId="0" borderId="45" xfId="0" applyFont="1" applyBorder="1"/>
    <xf numFmtId="0" fontId="20" fillId="0" borderId="47" xfId="0" applyFont="1" applyBorder="1"/>
    <xf numFmtId="165" fontId="11" fillId="0" borderId="47" xfId="1" applyNumberFormat="1" applyFont="1" applyFill="1" applyBorder="1"/>
    <xf numFmtId="0" fontId="29" fillId="0" borderId="42" xfId="0" applyFont="1" applyBorder="1"/>
    <xf numFmtId="0" fontId="29" fillId="0" borderId="42" xfId="0" applyFont="1" applyBorder="1" applyAlignment="1">
      <alignment vertical="top" wrapText="1"/>
    </xf>
    <xf numFmtId="0" fontId="29" fillId="0" borderId="57" xfId="0" applyFont="1" applyBorder="1"/>
    <xf numFmtId="0" fontId="10" fillId="0" borderId="67" xfId="0" applyFont="1" applyBorder="1"/>
    <xf numFmtId="0" fontId="10" fillId="0" borderId="66" xfId="0" applyFont="1" applyBorder="1" applyAlignment="1">
      <alignment horizontal="center"/>
    </xf>
    <xf numFmtId="0" fontId="10" fillId="0" borderId="69" xfId="0" applyFont="1" applyBorder="1" applyAlignment="1">
      <alignment horizontal="center"/>
    </xf>
    <xf numFmtId="0" fontId="11" fillId="0" borderId="46" xfId="0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37" fontId="11" fillId="0" borderId="1" xfId="0" applyNumberFormat="1" applyFont="1" applyBorder="1" applyAlignment="1">
      <alignment vertical="top"/>
    </xf>
    <xf numFmtId="0" fontId="11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10" fillId="0" borderId="54" xfId="2" applyNumberFormat="1" applyFont="1" applyBorder="1"/>
    <xf numFmtId="174" fontId="11" fillId="0" borderId="0" xfId="2" applyNumberFormat="1" applyFont="1" applyBorder="1"/>
    <xf numFmtId="167" fontId="11" fillId="0" borderId="7" xfId="2" applyNumberFormat="1" applyFont="1" applyBorder="1"/>
    <xf numFmtId="164" fontId="11" fillId="0" borderId="6" xfId="0" applyNumberFormat="1" applyFont="1" applyBorder="1"/>
    <xf numFmtId="0" fontId="10" fillId="0" borderId="37" xfId="0" applyFont="1" applyBorder="1"/>
    <xf numFmtId="169" fontId="10" fillId="0" borderId="28" xfId="0" applyNumberFormat="1" applyFont="1" applyBorder="1"/>
    <xf numFmtId="166" fontId="10" fillId="0" borderId="32" xfId="2" applyNumberFormat="1" applyFont="1" applyBorder="1"/>
    <xf numFmtId="166" fontId="10" fillId="0" borderId="31" xfId="2" applyNumberFormat="1" applyFont="1" applyBorder="1"/>
    <xf numFmtId="166" fontId="10" fillId="0" borderId="72" xfId="2" applyNumberFormat="1" applyFont="1" applyBorder="1"/>
    <xf numFmtId="10" fontId="11" fillId="0" borderId="42" xfId="3" applyNumberFormat="1" applyFont="1" applyBorder="1"/>
    <xf numFmtId="10" fontId="11" fillId="0" borderId="21" xfId="0" applyNumberFormat="1" applyFont="1" applyBorder="1"/>
    <xf numFmtId="10" fontId="11" fillId="0" borderId="58" xfId="0" applyNumberFormat="1" applyFont="1" applyBorder="1"/>
    <xf numFmtId="10" fontId="11" fillId="0" borderId="82" xfId="0" applyNumberFormat="1" applyFont="1" applyBorder="1"/>
    <xf numFmtId="181" fontId="11" fillId="0" borderId="1" xfId="0" applyNumberFormat="1" applyFont="1" applyBorder="1"/>
    <xf numFmtId="181" fontId="11" fillId="0" borderId="3" xfId="3" applyNumberFormat="1" applyFont="1" applyBorder="1"/>
    <xf numFmtId="181" fontId="11" fillId="0" borderId="21" xfId="0" applyNumberFormat="1" applyFont="1" applyBorder="1"/>
    <xf numFmtId="166" fontId="10" fillId="0" borderId="30" xfId="2" applyNumberFormat="1" applyFont="1" applyBorder="1"/>
    <xf numFmtId="0" fontId="7" fillId="0" borderId="13" xfId="0" applyFont="1" applyBorder="1"/>
    <xf numFmtId="166" fontId="10" fillId="0" borderId="12" xfId="2" applyNumberFormat="1" applyFont="1" applyFill="1" applyBorder="1"/>
    <xf numFmtId="0" fontId="7" fillId="0" borderId="55" xfId="0" applyFont="1" applyBorder="1" applyAlignment="1">
      <alignment horizontal="center"/>
    </xf>
    <xf numFmtId="166" fontId="10" fillId="0" borderId="60" xfId="2" applyNumberFormat="1" applyFont="1" applyBorder="1" applyAlignment="1"/>
    <xf numFmtId="0" fontId="0" fillId="0" borderId="22" xfId="0" applyBorder="1"/>
    <xf numFmtId="0" fontId="26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6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35" fillId="0" borderId="5" xfId="0" applyFont="1" applyBorder="1" applyAlignment="1">
      <alignment horizontal="right" vertical="top"/>
    </xf>
    <xf numFmtId="0" fontId="0" fillId="0" borderId="25" xfId="0" applyBorder="1" applyAlignment="1">
      <alignment horizontal="center"/>
    </xf>
    <xf numFmtId="42" fontId="7" fillId="0" borderId="0" xfId="0" applyNumberFormat="1" applyFont="1"/>
    <xf numFmtId="41" fontId="7" fillId="0" borderId="0" xfId="0" applyNumberFormat="1" applyFont="1"/>
    <xf numFmtId="176" fontId="27" fillId="0" borderId="0" xfId="0" applyNumberFormat="1" applyFont="1"/>
    <xf numFmtId="177" fontId="7" fillId="0" borderId="0" xfId="0" applyNumberFormat="1" applyFont="1" applyAlignment="1">
      <alignment horizontal="right"/>
    </xf>
    <xf numFmtId="166" fontId="7" fillId="0" borderId="0" xfId="2" applyNumberFormat="1" applyFont="1" applyFill="1" applyBorder="1" applyAlignment="1">
      <alignment horizontal="right"/>
    </xf>
    <xf numFmtId="0" fontId="0" fillId="0" borderId="26" xfId="0" applyBorder="1" applyAlignment="1">
      <alignment horizontal="center"/>
    </xf>
    <xf numFmtId="0" fontId="34" fillId="0" borderId="0" xfId="0" applyFont="1"/>
    <xf numFmtId="0" fontId="27" fillId="0" borderId="0" xfId="0" applyFont="1"/>
    <xf numFmtId="42" fontId="27" fillId="0" borderId="28" xfId="0" applyNumberFormat="1" applyFont="1" applyBorder="1"/>
    <xf numFmtId="165" fontId="27" fillId="0" borderId="28" xfId="1" applyNumberFormat="1" applyFont="1" applyFill="1" applyBorder="1"/>
    <xf numFmtId="0" fontId="0" fillId="0" borderId="28" xfId="0" applyBorder="1"/>
    <xf numFmtId="177" fontId="27" fillId="0" borderId="28" xfId="0" applyNumberFormat="1" applyFont="1" applyBorder="1" applyAlignment="1">
      <alignment horizontal="right"/>
    </xf>
    <xf numFmtId="166" fontId="27" fillId="0" borderId="28" xfId="0" applyNumberFormat="1" applyFont="1" applyBorder="1" applyAlignment="1">
      <alignment horizontal="right"/>
    </xf>
    <xf numFmtId="0" fontId="0" fillId="0" borderId="33" xfId="0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8" fillId="0" borderId="0" xfId="0" applyFont="1" applyAlignment="1">
      <alignment horizontal="center"/>
    </xf>
    <xf numFmtId="42" fontId="0" fillId="0" borderId="0" xfId="0" applyNumberFormat="1"/>
    <xf numFmtId="183" fontId="11" fillId="0" borderId="4" xfId="0" applyNumberFormat="1" applyFont="1" applyBorder="1"/>
    <xf numFmtId="0" fontId="10" fillId="0" borderId="22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0" fontId="10" fillId="0" borderId="44" xfId="0" applyFont="1" applyBorder="1"/>
    <xf numFmtId="0" fontId="10" fillId="0" borderId="16" xfId="0" applyFont="1" applyBorder="1"/>
    <xf numFmtId="0" fontId="10" fillId="0" borderId="69" xfId="0" quotePrefix="1" applyFont="1" applyBorder="1" applyAlignment="1">
      <alignment horizontal="center"/>
    </xf>
    <xf numFmtId="0" fontId="10" fillId="0" borderId="16" xfId="0" quotePrefix="1" applyFont="1" applyBorder="1" applyAlignment="1">
      <alignment horizontal="center"/>
    </xf>
    <xf numFmtId="0" fontId="10" fillId="0" borderId="46" xfId="0" applyFont="1" applyBorder="1"/>
    <xf numFmtId="0" fontId="10" fillId="0" borderId="50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7" xfId="0" quotePrefix="1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1" fillId="0" borderId="83" xfId="0" applyFont="1" applyBorder="1"/>
    <xf numFmtId="0" fontId="11" fillId="0" borderId="84" xfId="0" applyFont="1" applyBorder="1"/>
    <xf numFmtId="0" fontId="10" fillId="0" borderId="16" xfId="0" applyFont="1" applyBorder="1" applyAlignment="1">
      <alignment horizontal="center"/>
    </xf>
    <xf numFmtId="0" fontId="10" fillId="0" borderId="85" xfId="0" applyFont="1" applyBorder="1" applyAlignment="1">
      <alignment horizontal="center"/>
    </xf>
    <xf numFmtId="0" fontId="10" fillId="0" borderId="19" xfId="0" quotePrefix="1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1" fillId="0" borderId="20" xfId="0" applyFont="1" applyBorder="1"/>
    <xf numFmtId="0" fontId="33" fillId="0" borderId="20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69" xfId="0" applyFont="1" applyBorder="1" applyAlignment="1">
      <alignment horizontal="center" vertical="justify"/>
    </xf>
    <xf numFmtId="0" fontId="10" fillId="0" borderId="45" xfId="0" applyFont="1" applyBorder="1" applyAlignment="1">
      <alignment horizontal="center" vertical="center"/>
    </xf>
    <xf numFmtId="0" fontId="10" fillId="0" borderId="17" xfId="0" applyFont="1" applyBorder="1"/>
    <xf numFmtId="0" fontId="10" fillId="0" borderId="51" xfId="0" applyFont="1" applyBorder="1" applyAlignment="1">
      <alignment horizontal="center" vertical="center"/>
    </xf>
    <xf numFmtId="0" fontId="11" fillId="0" borderId="57" xfId="0" applyFont="1" applyBorder="1"/>
    <xf numFmtId="166" fontId="11" fillId="0" borderId="86" xfId="2" applyNumberFormat="1" applyFont="1" applyBorder="1"/>
    <xf numFmtId="166" fontId="11" fillId="0" borderId="87" xfId="2" applyNumberFormat="1" applyFont="1" applyBorder="1"/>
    <xf numFmtId="0" fontId="11" fillId="0" borderId="68" xfId="0" applyFont="1" applyBorder="1"/>
    <xf numFmtId="0" fontId="10" fillId="0" borderId="20" xfId="0" applyFont="1" applyBorder="1" applyAlignment="1">
      <alignment horizontal="center"/>
    </xf>
    <xf numFmtId="166" fontId="11" fillId="0" borderId="20" xfId="2" applyNumberFormat="1" applyFont="1" applyBorder="1"/>
    <xf numFmtId="0" fontId="10" fillId="0" borderId="66" xfId="0" quotePrefix="1" applyFont="1" applyBorder="1" applyAlignment="1">
      <alignment horizontal="centerContinuous" vertical="justify"/>
    </xf>
    <xf numFmtId="0" fontId="10" fillId="0" borderId="69" xfId="0" quotePrefix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" vertical="justify"/>
    </xf>
    <xf numFmtId="0" fontId="10" fillId="0" borderId="3" xfId="0" quotePrefix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" vertical="justify"/>
    </xf>
    <xf numFmtId="17" fontId="10" fillId="0" borderId="17" xfId="0" applyNumberFormat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Continuous" vertical="justify"/>
    </xf>
    <xf numFmtId="0" fontId="11" fillId="0" borderId="52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1" fillId="0" borderId="52" xfId="0" applyFont="1" applyBorder="1"/>
    <xf numFmtId="0" fontId="11" fillId="0" borderId="70" xfId="0" applyFont="1" applyBorder="1"/>
    <xf numFmtId="0" fontId="11" fillId="0" borderId="50" xfId="0" applyFont="1" applyBorder="1"/>
    <xf numFmtId="0" fontId="10" fillId="0" borderId="1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0" fillId="0" borderId="0" xfId="0" applyFont="1"/>
    <xf numFmtId="165" fontId="11" fillId="0" borderId="35" xfId="10" applyNumberFormat="1" applyFont="1" applyFill="1" applyBorder="1" applyAlignment="1">
      <alignment horizontal="left"/>
    </xf>
    <xf numFmtId="166" fontId="18" fillId="0" borderId="0" xfId="2" applyNumberFormat="1" applyFont="1" applyBorder="1" applyAlignment="1">
      <alignment horizontal="center"/>
    </xf>
    <xf numFmtId="169" fontId="11" fillId="0" borderId="73" xfId="3" applyNumberFormat="1" applyFont="1" applyFill="1" applyBorder="1"/>
    <xf numFmtId="169" fontId="11" fillId="0" borderId="43" xfId="3" applyNumberFormat="1" applyFont="1" applyFill="1" applyBorder="1"/>
    <xf numFmtId="169" fontId="11" fillId="0" borderId="88" xfId="3" applyNumberFormat="1" applyFont="1" applyFill="1" applyBorder="1"/>
    <xf numFmtId="169" fontId="11" fillId="0" borderId="87" xfId="3" applyNumberFormat="1" applyFont="1" applyFill="1" applyBorder="1"/>
    <xf numFmtId="169" fontId="11" fillId="0" borderId="89" xfId="3" applyNumberFormat="1" applyFont="1" applyFill="1" applyBorder="1"/>
    <xf numFmtId="169" fontId="11" fillId="0" borderId="90" xfId="3" applyNumberFormat="1" applyFont="1" applyFill="1" applyBorder="1"/>
    <xf numFmtId="0" fontId="18" fillId="0" borderId="20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167" fontId="11" fillId="0" borderId="15" xfId="2" applyNumberFormat="1" applyFont="1" applyFill="1" applyBorder="1"/>
    <xf numFmtId="166" fontId="11" fillId="0" borderId="14" xfId="2" applyNumberFormat="1" applyFont="1" applyFill="1" applyBorder="1"/>
    <xf numFmtId="166" fontId="11" fillId="0" borderId="15" xfId="2" applyNumberFormat="1" applyFont="1" applyFill="1" applyBorder="1"/>
    <xf numFmtId="171" fontId="11" fillId="0" borderId="15" xfId="3" applyNumberFormat="1" applyFont="1" applyFill="1" applyBorder="1"/>
    <xf numFmtId="166" fontId="11" fillId="0" borderId="59" xfId="2" applyNumberFormat="1" applyFont="1" applyFill="1" applyBorder="1"/>
    <xf numFmtId="165" fontId="11" fillId="0" borderId="15" xfId="1" applyNumberFormat="1" applyFont="1" applyFill="1" applyBorder="1"/>
    <xf numFmtId="165" fontId="11" fillId="0" borderId="14" xfId="1" applyNumberFormat="1" applyFont="1" applyFill="1" applyBorder="1"/>
    <xf numFmtId="166" fontId="10" fillId="0" borderId="60" xfId="2" applyNumberFormat="1" applyFont="1" applyFill="1" applyBorder="1"/>
    <xf numFmtId="0" fontId="11" fillId="0" borderId="26" xfId="0" applyFont="1" applyBorder="1" applyAlignment="1">
      <alignment horizontal="center"/>
    </xf>
    <xf numFmtId="0" fontId="10" fillId="0" borderId="22" xfId="0" applyFont="1" applyBorder="1"/>
    <xf numFmtId="0" fontId="10" fillId="0" borderId="24" xfId="0" applyFont="1" applyBorder="1"/>
    <xf numFmtId="169" fontId="11" fillId="0" borderId="20" xfId="3" applyNumberFormat="1" applyFont="1" applyFill="1" applyBorder="1"/>
    <xf numFmtId="169" fontId="11" fillId="0" borderId="17" xfId="3" applyNumberFormat="1" applyFont="1" applyFill="1" applyBorder="1"/>
    <xf numFmtId="0" fontId="18" fillId="0" borderId="1" xfId="0" applyFont="1" applyBorder="1"/>
    <xf numFmtId="0" fontId="29" fillId="0" borderId="85" xfId="0" applyFont="1" applyBorder="1"/>
    <xf numFmtId="0" fontId="7" fillId="0" borderId="17" xfId="0" applyFont="1" applyBorder="1"/>
    <xf numFmtId="0" fontId="29" fillId="0" borderId="10" xfId="0" applyFont="1" applyBorder="1"/>
    <xf numFmtId="0" fontId="27" fillId="0" borderId="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 vertical="center" textRotation="90" wrapText="1"/>
    </xf>
    <xf numFmtId="0" fontId="26" fillId="0" borderId="69" xfId="0" applyFont="1" applyBorder="1" applyAlignment="1">
      <alignment vertical="top" wrapText="1"/>
    </xf>
    <xf numFmtId="0" fontId="26" fillId="0" borderId="69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wrapText="1"/>
    </xf>
    <xf numFmtId="0" fontId="29" fillId="0" borderId="23" xfId="0" applyFont="1" applyBorder="1"/>
    <xf numFmtId="0" fontId="7" fillId="0" borderId="20" xfId="0" applyFont="1" applyBorder="1"/>
    <xf numFmtId="0" fontId="10" fillId="0" borderId="26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39" fillId="0" borderId="0" xfId="11" applyFont="1"/>
    <xf numFmtId="0" fontId="10" fillId="0" borderId="0" xfId="11" applyFont="1" applyAlignment="1">
      <alignment horizontal="center"/>
    </xf>
    <xf numFmtId="0" fontId="10" fillId="0" borderId="18" xfId="11" applyFont="1" applyBorder="1" applyAlignment="1">
      <alignment horizontal="center"/>
    </xf>
    <xf numFmtId="0" fontId="11" fillId="0" borderId="0" xfId="11" applyFont="1" applyAlignment="1">
      <alignment horizontal="center"/>
    </xf>
    <xf numFmtId="0" fontId="10" fillId="0" borderId="0" xfId="11" applyFont="1" applyAlignment="1">
      <alignment horizontal="left" vertical="top" wrapText="1"/>
    </xf>
    <xf numFmtId="165" fontId="11" fillId="0" borderId="0" xfId="12" applyNumberFormat="1" applyFont="1" applyBorder="1" applyAlignment="1">
      <alignment vertical="top"/>
    </xf>
    <xf numFmtId="165" fontId="11" fillId="0" borderId="0" xfId="12" applyNumberFormat="1" applyFont="1" applyBorder="1" applyAlignment="1">
      <alignment horizontal="center" vertical="top"/>
    </xf>
    <xf numFmtId="0" fontId="40" fillId="0" borderId="0" xfId="11" applyFont="1"/>
    <xf numFmtId="165" fontId="11" fillId="0" borderId="5" xfId="12" applyNumberFormat="1" applyFont="1" applyBorder="1" applyAlignment="1">
      <alignment vertical="top"/>
    </xf>
    <xf numFmtId="0" fontId="11" fillId="0" borderId="0" xfId="11" applyFont="1"/>
    <xf numFmtId="178" fontId="11" fillId="0" borderId="5" xfId="11" applyNumberFormat="1" applyFont="1" applyBorder="1"/>
    <xf numFmtId="178" fontId="11" fillId="0" borderId="0" xfId="11" applyNumberFormat="1" applyFont="1" applyAlignment="1">
      <alignment horizontal="center"/>
    </xf>
    <xf numFmtId="178" fontId="11" fillId="0" borderId="0" xfId="11" applyNumberFormat="1" applyFont="1"/>
    <xf numFmtId="0" fontId="11" fillId="0" borderId="5" xfId="11" applyFont="1" applyBorder="1" applyAlignment="1">
      <alignment horizontal="center"/>
    </xf>
    <xf numFmtId="165" fontId="10" fillId="0" borderId="5" xfId="1" applyNumberFormat="1" applyFont="1" applyBorder="1"/>
    <xf numFmtId="0" fontId="39" fillId="0" borderId="0" xfId="11" applyFont="1" applyAlignment="1">
      <alignment horizontal="left"/>
    </xf>
    <xf numFmtId="0" fontId="11" fillId="0" borderId="0" xfId="11" applyFont="1" applyAlignment="1">
      <alignment horizontal="left"/>
    </xf>
    <xf numFmtId="0" fontId="41" fillId="0" borderId="77" xfId="8" applyFont="1" applyBorder="1" applyAlignment="1">
      <alignment horizontal="right"/>
    </xf>
    <xf numFmtId="0" fontId="41" fillId="0" borderId="78" xfId="8" applyFont="1" applyBorder="1" applyAlignment="1">
      <alignment horizontal="center"/>
    </xf>
    <xf numFmtId="0" fontId="41" fillId="0" borderId="79" xfId="8" applyFont="1" applyBorder="1" applyAlignment="1">
      <alignment horizontal="center"/>
    </xf>
    <xf numFmtId="0" fontId="41" fillId="0" borderId="80" xfId="8" applyFont="1" applyBorder="1" applyAlignment="1">
      <alignment horizontal="center"/>
    </xf>
    <xf numFmtId="165" fontId="29" fillId="0" borderId="0" xfId="0" applyNumberFormat="1" applyFont="1"/>
    <xf numFmtId="0" fontId="29" fillId="0" borderId="16" xfId="0" applyFont="1" applyBorder="1"/>
    <xf numFmtId="0" fontId="29" fillId="0" borderId="1" xfId="0" applyFont="1" applyBorder="1" applyAlignment="1">
      <alignment vertical="top" wrapText="1"/>
    </xf>
    <xf numFmtId="0" fontId="7" fillId="0" borderId="40" xfId="0" applyFont="1" applyBorder="1"/>
    <xf numFmtId="0" fontId="10" fillId="0" borderId="1" xfId="0" applyFont="1" applyBorder="1" applyAlignment="1">
      <alignment horizontal="right"/>
    </xf>
    <xf numFmtId="17" fontId="11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8" fillId="0" borderId="0" xfId="8" applyFont="1"/>
    <xf numFmtId="0" fontId="10" fillId="0" borderId="18" xfId="8" applyFont="1" applyBorder="1" applyAlignment="1">
      <alignment horizontal="center"/>
    </xf>
    <xf numFmtId="0" fontId="41" fillId="0" borderId="77" xfId="8" applyFont="1" applyBorder="1" applyAlignment="1">
      <alignment horizontal="center"/>
    </xf>
    <xf numFmtId="0" fontId="41" fillId="0" borderId="0" xfId="8" applyFont="1"/>
    <xf numFmtId="0" fontId="41" fillId="0" borderId="0" xfId="8" applyFont="1" applyAlignment="1">
      <alignment horizontal="center" vertical="top" wrapText="1"/>
    </xf>
    <xf numFmtId="165" fontId="9" fillId="0" borderId="0" xfId="9" applyNumberFormat="1" applyFont="1" applyBorder="1" applyAlignment="1">
      <alignment vertical="top"/>
    </xf>
    <xf numFmtId="165" fontId="41" fillId="0" borderId="0" xfId="9" applyNumberFormat="1" applyFont="1" applyBorder="1" applyAlignment="1">
      <alignment vertical="top"/>
    </xf>
    <xf numFmtId="178" fontId="18" fillId="0" borderId="5" xfId="8" applyNumberFormat="1" applyFont="1" applyBorder="1"/>
    <xf numFmtId="178" fontId="18" fillId="0" borderId="0" xfId="8" applyNumberFormat="1" applyFont="1"/>
    <xf numFmtId="165" fontId="41" fillId="0" borderId="31" xfId="1" applyNumberFormat="1" applyFont="1" applyFill="1" applyBorder="1"/>
    <xf numFmtId="0" fontId="41" fillId="0" borderId="0" xfId="8" applyFont="1" applyAlignment="1">
      <alignment horizontal="center"/>
    </xf>
    <xf numFmtId="165" fontId="10" fillId="0" borderId="17" xfId="1" applyNumberFormat="1" applyFont="1" applyBorder="1"/>
    <xf numFmtId="167" fontId="18" fillId="0" borderId="1" xfId="2" applyNumberFormat="1" applyFont="1" applyBorder="1" applyAlignment="1">
      <alignment horizontal="center"/>
    </xf>
    <xf numFmtId="165" fontId="18" fillId="0" borderId="1" xfId="1" applyNumberFormat="1" applyFont="1" applyFill="1" applyBorder="1" applyAlignment="1">
      <alignment horizontal="center"/>
    </xf>
    <xf numFmtId="0" fontId="10" fillId="0" borderId="23" xfId="0" applyFont="1" applyBorder="1"/>
    <xf numFmtId="0" fontId="71" fillId="0" borderId="0" xfId="0" applyFont="1"/>
    <xf numFmtId="3" fontId="10" fillId="0" borderId="25" xfId="0" applyNumberFormat="1" applyFont="1" applyBorder="1" applyAlignment="1">
      <alignment horizontal="left"/>
    </xf>
    <xf numFmtId="3" fontId="10" fillId="0" borderId="81" xfId="0" applyNumberFormat="1" applyFont="1" applyBorder="1" applyAlignment="1">
      <alignment horizontal="left"/>
    </xf>
    <xf numFmtId="0" fontId="10" fillId="0" borderId="47" xfId="0" applyFont="1" applyBorder="1" applyAlignment="1">
      <alignment horizontal="right"/>
    </xf>
    <xf numFmtId="167" fontId="18" fillId="0" borderId="14" xfId="2" applyNumberFormat="1" applyFont="1" applyBorder="1" applyAlignment="1">
      <alignment horizontal="center" wrapText="1"/>
    </xf>
    <xf numFmtId="37" fontId="11" fillId="0" borderId="48" xfId="0" applyNumberFormat="1" applyFont="1" applyBorder="1"/>
    <xf numFmtId="166" fontId="10" fillId="0" borderId="9" xfId="2" applyNumberFormat="1" applyFont="1" applyBorder="1" applyAlignment="1">
      <alignment horizontal="center"/>
    </xf>
    <xf numFmtId="10" fontId="11" fillId="0" borderId="3" xfId="3" applyNumberFormat="1" applyFont="1" applyBorder="1"/>
    <xf numFmtId="10" fontId="11" fillId="0" borderId="3" xfId="3" applyNumberFormat="1" applyFont="1" applyFill="1" applyBorder="1"/>
    <xf numFmtId="10" fontId="11" fillId="0" borderId="15" xfId="3" applyNumberFormat="1" applyFont="1" applyBorder="1"/>
    <xf numFmtId="10" fontId="11" fillId="0" borderId="39" xfId="3" applyNumberFormat="1" applyFont="1" applyBorder="1"/>
    <xf numFmtId="0" fontId="7" fillId="0" borderId="14" xfId="0" applyFont="1" applyBorder="1"/>
    <xf numFmtId="0" fontId="7" fillId="0" borderId="1" xfId="0" applyFont="1" applyBorder="1"/>
    <xf numFmtId="0" fontId="10" fillId="0" borderId="14" xfId="0" applyFont="1" applyBorder="1" applyAlignment="1">
      <alignment horizontal="left"/>
    </xf>
    <xf numFmtId="38" fontId="11" fillId="0" borderId="1" xfId="0" applyNumberFormat="1" applyFont="1" applyBorder="1" applyAlignment="1">
      <alignment vertical="top"/>
    </xf>
    <xf numFmtId="166" fontId="18" fillId="0" borderId="14" xfId="2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167" fontId="18" fillId="0" borderId="14" xfId="2" applyNumberFormat="1" applyFont="1" applyBorder="1" applyAlignment="1">
      <alignment horizontal="center"/>
    </xf>
    <xf numFmtId="166" fontId="7" fillId="0" borderId="0" xfId="0" applyNumberFormat="1" applyFont="1"/>
    <xf numFmtId="166" fontId="10" fillId="0" borderId="1" xfId="2" applyNumberFormat="1" applyFont="1" applyBorder="1" applyAlignment="1">
      <alignment horizontal="center"/>
    </xf>
    <xf numFmtId="164" fontId="7" fillId="0" borderId="0" xfId="0" applyNumberFormat="1" applyFont="1"/>
    <xf numFmtId="0" fontId="10" fillId="0" borderId="33" xfId="0" applyFont="1" applyBorder="1"/>
    <xf numFmtId="0" fontId="131" fillId="0" borderId="0" xfId="0" applyFont="1" applyAlignment="1">
      <alignment horizontal="left" wrapText="1"/>
    </xf>
    <xf numFmtId="0" fontId="131" fillId="0" borderId="0" xfId="0" applyFont="1"/>
    <xf numFmtId="3" fontId="10" fillId="0" borderId="18" xfId="0" applyNumberFormat="1" applyFont="1" applyBorder="1" applyAlignment="1">
      <alignment horizontal="center"/>
    </xf>
    <xf numFmtId="166" fontId="11" fillId="0" borderId="4" xfId="2" applyNumberFormat="1" applyFont="1" applyFill="1" applyBorder="1"/>
    <xf numFmtId="165" fontId="11" fillId="0" borderId="5" xfId="1" applyNumberFormat="1" applyFont="1" applyBorder="1" applyAlignment="1">
      <alignment horizontal="center"/>
    </xf>
    <xf numFmtId="165" fontId="9" fillId="0" borderId="50" xfId="9" applyNumberFormat="1" applyFont="1" applyBorder="1" applyAlignment="1">
      <alignment vertical="center"/>
    </xf>
    <xf numFmtId="165" fontId="41" fillId="0" borderId="10" xfId="9" applyNumberFormat="1" applyFont="1" applyBorder="1" applyAlignment="1">
      <alignment vertical="center"/>
    </xf>
    <xf numFmtId="0" fontId="41" fillId="0" borderId="77" xfId="8" applyFont="1" applyBorder="1" applyAlignment="1">
      <alignment horizontal="center" vertical="center" wrapText="1"/>
    </xf>
    <xf numFmtId="165" fontId="11" fillId="0" borderId="0" xfId="1" applyNumberFormat="1" applyFont="1" applyFill="1" applyBorder="1"/>
    <xf numFmtId="165" fontId="11" fillId="0" borderId="26" xfId="1" applyNumberFormat="1" applyFont="1" applyFill="1" applyBorder="1" applyAlignment="1">
      <alignment horizontal="right"/>
    </xf>
    <xf numFmtId="43" fontId="11" fillId="0" borderId="0" xfId="1" applyFont="1" applyFill="1" applyBorder="1"/>
    <xf numFmtId="165" fontId="11" fillId="0" borderId="0" xfId="1" applyNumberFormat="1" applyFont="1" applyFill="1"/>
    <xf numFmtId="0" fontId="11" fillId="0" borderId="5" xfId="11" applyFont="1" applyBorder="1"/>
    <xf numFmtId="38" fontId="10" fillId="0" borderId="14" xfId="0" applyNumberFormat="1" applyFont="1" applyBorder="1"/>
    <xf numFmtId="0" fontId="35" fillId="0" borderId="0" xfId="0" applyFont="1"/>
    <xf numFmtId="0" fontId="0" fillId="110" borderId="0" xfId="0" applyFill="1"/>
    <xf numFmtId="42" fontId="7" fillId="110" borderId="0" xfId="0" applyNumberFormat="1" applyFont="1" applyFill="1"/>
    <xf numFmtId="41" fontId="7" fillId="110" borderId="0" xfId="0" applyNumberFormat="1" applyFont="1" applyFill="1"/>
    <xf numFmtId="176" fontId="27" fillId="110" borderId="0" xfId="0" applyNumberFormat="1" applyFont="1" applyFill="1"/>
    <xf numFmtId="177" fontId="7" fillId="110" borderId="0" xfId="0" applyNumberFormat="1" applyFont="1" applyFill="1" applyAlignment="1">
      <alignment horizontal="right"/>
    </xf>
    <xf numFmtId="166" fontId="7" fillId="110" borderId="0" xfId="2" applyNumberFormat="1" applyFont="1" applyFill="1" applyBorder="1" applyAlignment="1">
      <alignment horizontal="right"/>
    </xf>
    <xf numFmtId="169" fontId="11" fillId="0" borderId="0" xfId="3" applyNumberFormat="1" applyFont="1" applyFill="1" applyBorder="1"/>
    <xf numFmtId="0" fontId="32" fillId="0" borderId="0" xfId="0" applyFont="1" applyAlignment="1">
      <alignment horizontal="center" vertical="top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center" vertical="center"/>
    </xf>
    <xf numFmtId="166" fontId="10" fillId="0" borderId="4" xfId="2" applyNumberFormat="1" applyFont="1" applyFill="1" applyBorder="1" applyAlignment="1"/>
    <xf numFmtId="0" fontId="19" fillId="0" borderId="130" xfId="0" applyFont="1" applyBorder="1"/>
    <xf numFmtId="167" fontId="10" fillId="0" borderId="21" xfId="2" applyNumberFormat="1" applyFont="1" applyBorder="1"/>
    <xf numFmtId="166" fontId="11" fillId="0" borderId="4" xfId="2" applyNumberFormat="1" applyFont="1" applyFill="1" applyBorder="1" applyAlignment="1">
      <alignment horizontal="center"/>
    </xf>
    <xf numFmtId="166" fontId="11" fillId="0" borderId="3" xfId="2" applyNumberFormat="1" applyFont="1" applyFill="1" applyBorder="1" applyAlignment="1">
      <alignment horizontal="center"/>
    </xf>
    <xf numFmtId="166" fontId="144" fillId="0" borderId="46" xfId="2" applyNumberFormat="1" applyFont="1" applyBorder="1"/>
    <xf numFmtId="166" fontId="144" fillId="0" borderId="1" xfId="2" applyNumberFormat="1" applyFont="1" applyBorder="1"/>
    <xf numFmtId="166" fontId="144" fillId="0" borderId="26" xfId="2" applyNumberFormat="1" applyFont="1" applyBorder="1"/>
    <xf numFmtId="166" fontId="144" fillId="0" borderId="14" xfId="2" applyNumberFormat="1" applyFont="1" applyBorder="1"/>
    <xf numFmtId="166" fontId="144" fillId="0" borderId="0" xfId="2" applyNumberFormat="1" applyFont="1" applyBorder="1"/>
    <xf numFmtId="166" fontId="144" fillId="0" borderId="47" xfId="2" applyNumberFormat="1" applyFont="1" applyBorder="1"/>
    <xf numFmtId="166" fontId="144" fillId="0" borderId="25" xfId="2" applyNumberFormat="1" applyFont="1" applyBorder="1"/>
    <xf numFmtId="165" fontId="29" fillId="0" borderId="2" xfId="0" applyNumberFormat="1" applyFont="1" applyBorder="1"/>
    <xf numFmtId="165" fontId="29" fillId="0" borderId="41" xfId="0" applyNumberFormat="1" applyFont="1" applyBorder="1"/>
    <xf numFmtId="165" fontId="29" fillId="0" borderId="9" xfId="0" applyNumberFormat="1" applyFont="1" applyBorder="1" applyAlignment="1">
      <alignment wrapText="1"/>
    </xf>
    <xf numFmtId="165" fontId="29" fillId="0" borderId="1" xfId="0" applyNumberFormat="1" applyFont="1" applyBorder="1"/>
    <xf numFmtId="165" fontId="29" fillId="0" borderId="9" xfId="0" applyNumberFormat="1" applyFont="1" applyBorder="1" applyAlignment="1">
      <alignment vertical="top" wrapText="1"/>
    </xf>
    <xf numFmtId="0" fontId="29" fillId="0" borderId="9" xfId="0" applyFont="1" applyBorder="1"/>
    <xf numFmtId="178" fontId="29" fillId="0" borderId="3" xfId="0" applyNumberFormat="1" applyFont="1" applyBorder="1"/>
    <xf numFmtId="178" fontId="29" fillId="0" borderId="0" xfId="0" applyNumberFormat="1" applyFont="1"/>
    <xf numFmtId="178" fontId="29" fillId="0" borderId="9" xfId="0" applyNumberFormat="1" applyFont="1" applyBorder="1"/>
    <xf numFmtId="165" fontId="29" fillId="0" borderId="16" xfId="0" applyNumberFormat="1" applyFont="1" applyBorder="1"/>
    <xf numFmtId="165" fontId="29" fillId="0" borderId="23" xfId="0" applyNumberFormat="1" applyFont="1" applyBorder="1"/>
    <xf numFmtId="165" fontId="29" fillId="0" borderId="8" xfId="0" applyNumberFormat="1" applyFont="1" applyBorder="1" applyAlignment="1">
      <alignment vertical="top" wrapText="1"/>
    </xf>
    <xf numFmtId="165" fontId="29" fillId="0" borderId="9" xfId="0" applyNumberFormat="1" applyFont="1" applyBorder="1" applyAlignment="1">
      <alignment horizontal="right" wrapText="1"/>
    </xf>
    <xf numFmtId="165" fontId="29" fillId="0" borderId="24" xfId="0" applyNumberFormat="1" applyFont="1" applyBorder="1"/>
    <xf numFmtId="165" fontId="29" fillId="0" borderId="8" xfId="0" applyNumberFormat="1" applyFont="1" applyBorder="1" applyAlignment="1">
      <alignment wrapText="1"/>
    </xf>
    <xf numFmtId="165" fontId="29" fillId="0" borderId="26" xfId="0" applyNumberFormat="1" applyFont="1" applyBorder="1"/>
    <xf numFmtId="165" fontId="29" fillId="0" borderId="16" xfId="1" applyNumberFormat="1" applyFont="1" applyFill="1" applyBorder="1"/>
    <xf numFmtId="165" fontId="29" fillId="0" borderId="23" xfId="1" applyNumberFormat="1" applyFont="1" applyFill="1" applyBorder="1"/>
    <xf numFmtId="165" fontId="29" fillId="0" borderId="1" xfId="1" applyNumberFormat="1" applyFont="1" applyFill="1" applyBorder="1"/>
    <xf numFmtId="165" fontId="29" fillId="0" borderId="0" xfId="1" applyNumberFormat="1" applyFont="1" applyFill="1"/>
    <xf numFmtId="165" fontId="29" fillId="0" borderId="1" xfId="6" applyNumberFormat="1" applyFont="1" applyBorder="1"/>
    <xf numFmtId="0" fontId="29" fillId="0" borderId="26" xfId="0" applyFont="1" applyBorder="1"/>
    <xf numFmtId="182" fontId="29" fillId="0" borderId="26" xfId="0" applyNumberFormat="1" applyFont="1" applyBorder="1" applyProtection="1">
      <protection locked="0" hidden="1"/>
    </xf>
    <xf numFmtId="165" fontId="29" fillId="0" borderId="1" xfId="4" applyNumberFormat="1" applyFont="1" applyFill="1" applyBorder="1"/>
    <xf numFmtId="165" fontId="29" fillId="0" borderId="13" xfId="0" applyNumberFormat="1" applyFont="1" applyBorder="1"/>
    <xf numFmtId="165" fontId="29" fillId="0" borderId="56" xfId="0" applyNumberFormat="1" applyFont="1" applyBorder="1" applyAlignment="1">
      <alignment vertical="top" wrapText="1"/>
    </xf>
    <xf numFmtId="165" fontId="29" fillId="0" borderId="14" xfId="0" applyNumberFormat="1" applyFont="1" applyBorder="1"/>
    <xf numFmtId="165" fontId="29" fillId="0" borderId="26" xfId="0" applyNumberFormat="1" applyFont="1" applyBorder="1" applyAlignment="1">
      <alignment vertical="top" wrapText="1"/>
    </xf>
    <xf numFmtId="165" fontId="29" fillId="0" borderId="14" xfId="1" applyNumberFormat="1" applyFont="1" applyFill="1" applyBorder="1"/>
    <xf numFmtId="206" fontId="29" fillId="0" borderId="3" xfId="0" applyNumberFormat="1" applyFont="1" applyBorder="1"/>
    <xf numFmtId="165" fontId="29" fillId="0" borderId="15" xfId="0" applyNumberFormat="1" applyFont="1" applyBorder="1"/>
    <xf numFmtId="165" fontId="29" fillId="0" borderId="55" xfId="0" applyNumberFormat="1" applyFont="1" applyBorder="1"/>
    <xf numFmtId="175" fontId="145" fillId="0" borderId="0" xfId="0" applyNumberFormat="1" applyFont="1" applyAlignment="1">
      <alignment horizontal="center"/>
    </xf>
    <xf numFmtId="0" fontId="27" fillId="0" borderId="5" xfId="0" applyFont="1" applyBorder="1" applyAlignment="1">
      <alignment horizontal="center" vertical="top"/>
    </xf>
    <xf numFmtId="49" fontId="145" fillId="0" borderId="5" xfId="0" applyNumberFormat="1" applyFont="1" applyBorder="1" applyAlignment="1">
      <alignment horizontal="center" vertical="top"/>
    </xf>
    <xf numFmtId="0" fontId="145" fillId="0" borderId="5" xfId="0" applyFont="1" applyBorder="1" applyAlignment="1">
      <alignment horizontal="center" vertical="top"/>
    </xf>
    <xf numFmtId="38" fontId="11" fillId="0" borderId="14" xfId="0" applyNumberFormat="1" applyFont="1" applyBorder="1" applyAlignment="1">
      <alignment vertical="top"/>
    </xf>
    <xf numFmtId="43" fontId="11" fillId="0" borderId="5" xfId="1" applyFont="1" applyFill="1" applyBorder="1"/>
    <xf numFmtId="43" fontId="11" fillId="0" borderId="26" xfId="1" applyFont="1" applyFill="1" applyBorder="1" applyAlignment="1">
      <alignment horizontal="right"/>
    </xf>
    <xf numFmtId="43" fontId="11" fillId="0" borderId="0" xfId="1" applyFont="1" applyFill="1"/>
    <xf numFmtId="43" fontId="11" fillId="0" borderId="25" xfId="1" applyFont="1" applyFill="1" applyBorder="1"/>
    <xf numFmtId="0" fontId="10" fillId="0" borderId="0" xfId="0" quotePrefix="1" applyFont="1"/>
    <xf numFmtId="0" fontId="10" fillId="0" borderId="0" xfId="0" quotePrefix="1" applyFont="1" applyAlignment="1">
      <alignment horizontal="right"/>
    </xf>
    <xf numFmtId="165" fontId="11" fillId="0" borderId="0" xfId="1" applyNumberFormat="1" applyFont="1" applyFill="1" applyBorder="1" applyAlignment="1">
      <alignment horizontal="right"/>
    </xf>
    <xf numFmtId="165" fontId="29" fillId="0" borderId="16" xfId="6" applyNumberFormat="1" applyFont="1" applyBorder="1"/>
    <xf numFmtId="43" fontId="11" fillId="0" borderId="26" xfId="1" applyFont="1" applyBorder="1" applyAlignment="1">
      <alignment horizontal="right"/>
    </xf>
    <xf numFmtId="43" fontId="11" fillId="0" borderId="0" xfId="1" applyFont="1" applyAlignment="1">
      <alignment horizontal="right"/>
    </xf>
    <xf numFmtId="43" fontId="7" fillId="0" borderId="0" xfId="1" applyFont="1" applyAlignment="1">
      <alignment horizontal="right"/>
    </xf>
    <xf numFmtId="207" fontId="11" fillId="0" borderId="0" xfId="1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0" fontId="7" fillId="0" borderId="62" xfId="0" quotePrefix="1" applyFont="1" applyBorder="1"/>
    <xf numFmtId="0" fontId="11" fillId="0" borderId="17" xfId="0" applyFont="1" applyBorder="1" applyAlignment="1">
      <alignment horizontal="centerContinuous" vertical="center" wrapText="1"/>
    </xf>
    <xf numFmtId="43" fontId="11" fillId="0" borderId="25" xfId="1" applyFont="1" applyBorder="1"/>
    <xf numFmtId="43" fontId="11" fillId="0" borderId="0" xfId="1" applyFont="1"/>
    <xf numFmtId="165" fontId="29" fillId="0" borderId="85" xfId="1" applyNumberFormat="1" applyFont="1" applyFill="1" applyBorder="1"/>
    <xf numFmtId="165" fontId="29" fillId="0" borderId="42" xfId="1" applyNumberFormat="1" applyFont="1" applyFill="1" applyBorder="1"/>
    <xf numFmtId="165" fontId="29" fillId="0" borderId="0" xfId="1" applyNumberFormat="1" applyFont="1" applyFill="1" applyBorder="1"/>
    <xf numFmtId="165" fontId="29" fillId="0" borderId="42" xfId="0" applyNumberFormat="1" applyFont="1" applyBorder="1"/>
    <xf numFmtId="178" fontId="29" fillId="0" borderId="42" xfId="0" applyNumberFormat="1" applyFont="1" applyBorder="1"/>
    <xf numFmtId="15" fontId="7" fillId="0" borderId="0" xfId="0" applyNumberFormat="1" applyFont="1" applyAlignment="1">
      <alignment horizontal="center"/>
    </xf>
    <xf numFmtId="0" fontId="29" fillId="0" borderId="19" xfId="0" applyFont="1" applyBorder="1"/>
    <xf numFmtId="0" fontId="29" fillId="0" borderId="14" xfId="0" applyFont="1" applyBorder="1"/>
    <xf numFmtId="0" fontId="29" fillId="0" borderId="14" xfId="0" applyFont="1" applyBorder="1" applyAlignment="1">
      <alignment vertical="top" wrapText="1"/>
    </xf>
    <xf numFmtId="178" fontId="29" fillId="0" borderId="39" xfId="0" applyNumberFormat="1" applyFont="1" applyBorder="1"/>
    <xf numFmtId="178" fontId="29" fillId="0" borderId="5" xfId="0" applyNumberFormat="1" applyFont="1" applyBorder="1"/>
    <xf numFmtId="178" fontId="29" fillId="0" borderId="11" xfId="0" applyNumberFormat="1" applyFont="1" applyBorder="1"/>
    <xf numFmtId="0" fontId="36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10" fillId="0" borderId="0" xfId="11" applyFont="1" applyAlignment="1">
      <alignment horizontal="center"/>
    </xf>
    <xf numFmtId="0" fontId="10" fillId="0" borderId="0" xfId="0" applyFont="1" applyAlignment="1">
      <alignment horizontal="center" vertical="justify"/>
    </xf>
    <xf numFmtId="3" fontId="10" fillId="0" borderId="0" xfId="0" applyNumberFormat="1" applyFont="1" applyAlignment="1">
      <alignment horizontal="center" vertical="justify"/>
    </xf>
    <xf numFmtId="0" fontId="38" fillId="3" borderId="22" xfId="0" applyFont="1" applyFill="1" applyBorder="1" applyAlignment="1">
      <alignment horizontal="center"/>
    </xf>
    <xf numFmtId="0" fontId="38" fillId="3" borderId="23" xfId="0" applyFont="1" applyFill="1" applyBorder="1" applyAlignment="1">
      <alignment horizontal="center"/>
    </xf>
    <xf numFmtId="0" fontId="38" fillId="3" borderId="24" xfId="0" applyFont="1" applyFill="1" applyBorder="1" applyAlignment="1">
      <alignment horizontal="center"/>
    </xf>
    <xf numFmtId="0" fontId="38" fillId="3" borderId="33" xfId="0" applyFont="1" applyFill="1" applyBorder="1" applyAlignment="1">
      <alignment horizontal="center"/>
    </xf>
    <xf numFmtId="0" fontId="38" fillId="3" borderId="0" xfId="0" applyFont="1" applyFill="1" applyAlignment="1">
      <alignment horizontal="center"/>
    </xf>
    <xf numFmtId="0" fontId="38" fillId="3" borderId="26" xfId="0" applyFont="1" applyFill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5" fontId="7" fillId="0" borderId="23" xfId="0" applyNumberFormat="1" applyFont="1" applyBorder="1" applyAlignment="1">
      <alignment horizontal="center" wrapText="1"/>
    </xf>
    <xf numFmtId="5" fontId="0" fillId="0" borderId="0" xfId="0" applyNumberFormat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26" fillId="0" borderId="44" xfId="0" applyFont="1" applyBorder="1" applyAlignment="1">
      <alignment horizontal="center" vertical="center" textRotation="90"/>
    </xf>
    <xf numFmtId="0" fontId="26" fillId="0" borderId="46" xfId="0" applyFont="1" applyBorder="1" applyAlignment="1">
      <alignment horizontal="center" vertical="center" textRotation="90"/>
    </xf>
    <xf numFmtId="0" fontId="26" fillId="0" borderId="50" xfId="0" applyFont="1" applyBorder="1" applyAlignment="1">
      <alignment horizontal="center" vertical="center" textRotation="90"/>
    </xf>
    <xf numFmtId="14" fontId="7" fillId="0" borderId="40" xfId="0" applyNumberFormat="1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15" fontId="7" fillId="0" borderId="57" xfId="0" applyNumberFormat="1" applyFont="1" applyBorder="1" applyAlignment="1">
      <alignment horizontal="center"/>
    </xf>
    <xf numFmtId="15" fontId="7" fillId="0" borderId="34" xfId="0" applyNumberFormat="1" applyFont="1" applyBorder="1" applyAlignment="1">
      <alignment horizontal="center"/>
    </xf>
    <xf numFmtId="0" fontId="26" fillId="0" borderId="22" xfId="0" applyFont="1" applyBorder="1" applyAlignment="1">
      <alignment horizontal="center" vertical="center" textRotation="90"/>
    </xf>
    <xf numFmtId="0" fontId="7" fillId="0" borderId="25" xfId="0" applyFont="1" applyBorder="1"/>
    <xf numFmtId="0" fontId="7" fillId="0" borderId="33" xfId="0" applyFont="1" applyBorder="1"/>
    <xf numFmtId="0" fontId="29" fillId="0" borderId="66" xfId="0" applyFont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  <xf numFmtId="14" fontId="7" fillId="0" borderId="56" xfId="0" applyNumberFormat="1" applyFont="1" applyBorder="1" applyAlignment="1">
      <alignment horizontal="center"/>
    </xf>
    <xf numFmtId="0" fontId="26" fillId="0" borderId="44" xfId="0" applyFont="1" applyBorder="1" applyAlignment="1">
      <alignment horizontal="center" vertical="center" textRotation="90" wrapText="1"/>
    </xf>
    <xf numFmtId="0" fontId="26" fillId="0" borderId="46" xfId="0" applyFont="1" applyBorder="1" applyAlignment="1">
      <alignment horizontal="center" vertical="center" textRotation="90" wrapText="1"/>
    </xf>
    <xf numFmtId="0" fontId="26" fillId="0" borderId="50" xfId="0" applyFont="1" applyBorder="1" applyAlignment="1">
      <alignment horizontal="center" vertical="center" textRotation="90" wrapText="1"/>
    </xf>
    <xf numFmtId="15" fontId="7" fillId="0" borderId="42" xfId="0" applyNumberFormat="1" applyFont="1" applyBorder="1" applyAlignment="1">
      <alignment horizontal="center"/>
    </xf>
    <xf numFmtId="15" fontId="7" fillId="0" borderId="0" xfId="0" applyNumberFormat="1" applyFont="1" applyAlignment="1">
      <alignment horizontal="center"/>
    </xf>
    <xf numFmtId="15" fontId="7" fillId="0" borderId="40" xfId="0" applyNumberFormat="1" applyFont="1" applyBorder="1" applyAlignment="1">
      <alignment horizontal="center"/>
    </xf>
    <xf numFmtId="15" fontId="7" fillId="0" borderId="56" xfId="0" applyNumberFormat="1" applyFont="1" applyBorder="1" applyAlignment="1">
      <alignment horizontal="center"/>
    </xf>
    <xf numFmtId="0" fontId="26" fillId="0" borderId="25" xfId="0" applyFont="1" applyBorder="1" applyAlignment="1">
      <alignment horizontal="center" vertical="center" textRotation="90"/>
    </xf>
    <xf numFmtId="0" fontId="26" fillId="0" borderId="33" xfId="0" applyFont="1" applyBorder="1" applyAlignment="1">
      <alignment horizontal="center" vertical="center" textRotation="90"/>
    </xf>
    <xf numFmtId="15" fontId="7" fillId="0" borderId="13" xfId="0" applyNumberFormat="1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5" fontId="7" fillId="0" borderId="40" xfId="53935" applyNumberFormat="1" applyBorder="1" applyAlignment="1">
      <alignment horizontal="center"/>
    </xf>
    <xf numFmtId="15" fontId="7" fillId="0" borderId="13" xfId="53935" applyNumberFormat="1" applyBorder="1" applyAlignment="1">
      <alignment horizontal="center"/>
    </xf>
    <xf numFmtId="15" fontId="7" fillId="0" borderId="57" xfId="53935" applyNumberFormat="1" applyBorder="1" applyAlignment="1">
      <alignment horizontal="center"/>
    </xf>
    <xf numFmtId="15" fontId="7" fillId="0" borderId="20" xfId="53935" applyNumberForma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74" xfId="0" applyFont="1" applyBorder="1" applyAlignment="1">
      <alignment horizontal="center" vertical="center" textRotation="90"/>
    </xf>
    <xf numFmtId="0" fontId="7" fillId="0" borderId="18" xfId="0" applyFont="1" applyBorder="1" applyAlignment="1">
      <alignment horizontal="center"/>
    </xf>
    <xf numFmtId="0" fontId="7" fillId="0" borderId="40" xfId="0" quotePrefix="1" applyFont="1" applyBorder="1" applyAlignment="1">
      <alignment horizontal="center"/>
    </xf>
    <xf numFmtId="0" fontId="7" fillId="0" borderId="41" xfId="0" quotePrefix="1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13" xfId="0" applyFont="1" applyBorder="1" applyAlignment="1">
      <alignment horizontal="center"/>
    </xf>
  </cellXfs>
  <cellStyles count="53937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0 2" xfId="53911" xr:uid="{19F6AB81-090A-4D8E-A687-E62C8B4C9C8D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2 2" xfId="53932" xr:uid="{D75A6999-1F8B-44E2-A55E-EC64111694CB}"/>
    <cellStyle name="Comma 14 2 3" xfId="53916" xr:uid="{3B0DC6C5-0F5A-4E41-8D4C-4C62B61CA00C}"/>
    <cellStyle name="Comma 14 3" xfId="8728" xr:uid="{00000000-0005-0000-0000-0000881F0000}"/>
    <cellStyle name="Comma 14 3 2" xfId="53926" xr:uid="{1CDB7634-D3AF-4FE3-9CE4-FE450A81E30A}"/>
    <cellStyle name="Comma 14 4" xfId="53901" xr:uid="{4836AE32-59BD-451F-A55C-A6E27E16B957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10" xfId="53906" xr:uid="{3C28EFA9-920B-4EF6-9AED-22696A106C86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2 6" xfId="53913" xr:uid="{8290D9A1-91E8-43F7-9A39-78E4BC828598}"/>
    <cellStyle name="Comma 3 2 7" xfId="53919" xr:uid="{74DB5039-4648-41EC-A5DE-0824F786CA33}"/>
    <cellStyle name="Comma 3 3" xfId="8757" xr:uid="{00000000-0005-0000-0000-0000B31F0000}"/>
    <cellStyle name="Comma 3 3 2" xfId="8758" xr:uid="{00000000-0005-0000-0000-0000B41F0000}"/>
    <cellStyle name="Comma 3 3 3" xfId="53914" xr:uid="{5A288E4B-EFF2-4A8E-807B-EB86F9940AAC}"/>
    <cellStyle name="Comma 3 4" xfId="8759" xr:uid="{00000000-0005-0000-0000-0000B51F0000}"/>
    <cellStyle name="Comma 3 4 2" xfId="8760" xr:uid="{00000000-0005-0000-0000-0000B61F0000}"/>
    <cellStyle name="Comma 3 4 3" xfId="53930" xr:uid="{6FB13C5B-9E62-4558-9AEB-1627F1E9A7C6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3 6" xfId="53905" xr:uid="{F8A73726-63DC-4AAB-8F36-6A386EB3B6DC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7 3" xfId="53902" xr:uid="{3C361100-4940-447E-9D4B-711281BCD57E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11" xfId="53897" xr:uid="{5673A4CC-9AA2-4643-B7E2-990A7CF0170F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2 2 2" xfId="53929" xr:uid="{B558A78D-C587-4736-B310-001A4F4140AE}"/>
    <cellStyle name="Normal 10 2 2 2 3" xfId="53899" xr:uid="{272610CA-255F-4806-8BC6-B58A6D94B1EB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2 5" xfId="53924" xr:uid="{197428BA-E4DC-4596-8DD2-D9B9FBE35864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 6" xfId="53923" xr:uid="{645400E7-7387-46FF-8743-6A6AF26C5B8E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16" xfId="53909" xr:uid="{A7C3A214-86DC-471B-B945-3D61648B81DF}"/>
    <cellStyle name="Normal 2 2" xfId="37" xr:uid="{00000000-0005-0000-0000-0000593F0000}"/>
    <cellStyle name="Normal 2 2 13" xfId="53920" xr:uid="{D01AD5AF-063E-48EC-830A-A85E444CFA77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12" xfId="53910" xr:uid="{04FF513B-3858-4EA4-A86C-1A381B380413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45" xfId="53918" xr:uid="{10F1388E-3477-4045-ADDD-A513F7755AF2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2 6" xfId="53931" xr:uid="{942E964C-2677-4ECE-BA43-52146D607C43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2 8" xfId="53915" xr:uid="{89DE4171-711F-43DF-9C43-7EF5624418BD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3 6" xfId="53925" xr:uid="{D3EE8E71-0478-49D0-8837-2A8C805E6101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 7" xfId="53900" xr:uid="{C1D62260-F916-4D75-A781-1E97D2F1C8C2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2 7" xfId="53927" xr:uid="{6780CC93-D64C-43F4-994E-159FA6EAD2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 6" xfId="53898" xr:uid="{D01A9186-ACF8-4D59-8F37-392A7F7EEB2F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2 7" xfId="53928" xr:uid="{BFB526A5-F1F6-4883-9B65-BD6FD46DC298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 6" xfId="53903" xr:uid="{3D05615D-2B83-4B24-91F6-BAECA2BB50E1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 6" xfId="53917" xr:uid="{6D5AAC87-9FAE-4AC8-B0B3-6FCB95295D9F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10" xfId="53934" xr:uid="{3F37406D-ACE0-45D5-AAAA-0259CB0ED83D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84" xfId="53912" xr:uid="{C5B5AF74-697B-4997-90F9-5FA5FB3B5CF4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13" xfId="53908" xr:uid="{D578BB25-D661-4978-95BE-EA421E5FEFED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35" xfId="53922" xr:uid="{B3E3038C-67F8-423F-843C-0A87DE6EF843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4 2" xfId="53933" xr:uid="{3720EB82-9A5E-485D-9E14-A19A74CAB615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47" xfId="53896" xr:uid="{2AF8206E-A20B-4B69-91D0-96F105B81269}"/>
    <cellStyle name="Normal 748" xfId="53904" xr:uid="{7954B865-FA30-461D-9CE4-AA5356FEC602}"/>
    <cellStyle name="Normal 749" xfId="53936" xr:uid="{ABF58630-E1BD-4A2C-92CB-CB4621A20E9F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50" xfId="53935" xr:uid="{FB00A19F-C67F-45E8-B57E-59D2A38AF65D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2 6" xfId="53921" xr:uid="{2A56CD67-199D-4E24-95EF-813743164631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 7" xfId="53907" xr:uid="{DAB2A6DF-E37E-4978-B28A-5B35E014B25A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1" defaultTableStyle="TableStyleMedium9" defaultPivotStyle="PivotStyleLight16">
    <tableStyle name="Invisible" pivot="0" table="0" count="0" xr9:uid="{13E7B4A7-6A4C-4DAD-9067-7FD9DD510342}"/>
  </tableStyles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tabSelected="1" zoomScaleNormal="100" workbookViewId="0">
      <selection activeCell="C12" sqref="C12"/>
    </sheetView>
  </sheetViews>
  <sheetFormatPr defaultColWidth="8.5703125" defaultRowHeight="12.75"/>
  <cols>
    <col min="1" max="1" width="5.5703125" style="1" customWidth="1"/>
    <col min="2" max="4" width="20.5703125" style="1" customWidth="1"/>
    <col min="5" max="5" width="22.28515625" style="1" bestFit="1" customWidth="1"/>
    <col min="6" max="6" width="40.5703125" style="1" customWidth="1"/>
    <col min="7" max="7" width="5.5703125" style="1" customWidth="1"/>
    <col min="8" max="8" width="8.5703125" style="1" customWidth="1"/>
    <col min="9" max="9" width="12.5703125" style="1" customWidth="1"/>
    <col min="10" max="10" width="8.42578125" style="1" customWidth="1"/>
    <col min="11" max="16384" width="8.570312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400</v>
      </c>
      <c r="B4" s="5"/>
      <c r="C4" s="5"/>
      <c r="D4" s="5"/>
      <c r="E4" s="5"/>
      <c r="F4" s="5"/>
      <c r="G4" s="25"/>
      <c r="H4" s="1"/>
      <c r="I4" s="1"/>
      <c r="J4" s="1"/>
    </row>
    <row r="5" spans="1:10" ht="15.75">
      <c r="A5" s="5" t="s">
        <v>2</v>
      </c>
      <c r="B5" s="5"/>
      <c r="C5" s="5"/>
      <c r="D5" s="25"/>
      <c r="E5" s="25"/>
      <c r="F5" s="25"/>
      <c r="G5" s="25"/>
    </row>
    <row r="6" spans="1:10" ht="16.5" thickBot="1">
      <c r="A6" s="5"/>
      <c r="B6" s="5"/>
      <c r="C6" s="5"/>
      <c r="D6" s="25"/>
      <c r="E6" s="25"/>
      <c r="F6" s="25"/>
      <c r="G6" s="25"/>
    </row>
    <row r="7" spans="1:10" ht="15.7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.7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.7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9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15</v>
      </c>
      <c r="F10" s="473" t="s">
        <v>16</v>
      </c>
      <c r="G10" s="475" t="s">
        <v>11</v>
      </c>
    </row>
    <row r="11" spans="1:10" ht="15.75">
      <c r="A11" s="153"/>
      <c r="B11" s="580"/>
      <c r="C11" s="120"/>
      <c r="D11" s="10"/>
      <c r="E11" s="120"/>
      <c r="F11" s="10"/>
      <c r="G11" s="154"/>
    </row>
    <row r="12" spans="1:10" ht="15.75">
      <c r="A12" s="153">
        <v>1</v>
      </c>
      <c r="B12" s="581">
        <v>45597</v>
      </c>
      <c r="C12" s="119">
        <f>'WP 1.1 Recorded Sales - KWH'!C39</f>
        <v>1222771732</v>
      </c>
      <c r="D12" s="119">
        <f>'WP 1.1 Recorded Sales - KWH'!C38</f>
        <v>8668</v>
      </c>
      <c r="E12" s="27">
        <f>C12-D12</f>
        <v>1222763064</v>
      </c>
      <c r="F12" s="28" t="s">
        <v>17</v>
      </c>
      <c r="G12" s="154">
        <v>1</v>
      </c>
    </row>
    <row r="13" spans="1:10" ht="15.75">
      <c r="A13" s="153">
        <f t="shared" ref="A13:A26" si="0">A12+1</f>
        <v>2</v>
      </c>
      <c r="B13" s="581">
        <v>45627</v>
      </c>
      <c r="C13" s="119">
        <f>'WP 1.1 Recorded Sales - KWH'!D39</f>
        <v>1408565360</v>
      </c>
      <c r="D13" s="119">
        <f>'WP 1.1 Recorded Sales - KWH'!D38</f>
        <v>6689</v>
      </c>
      <c r="E13" s="27">
        <f t="shared" ref="E13:E23" si="1">C13-D13</f>
        <v>1408558671</v>
      </c>
      <c r="F13" s="28" t="str">
        <f>F12</f>
        <v>Workpaper No. 1; Page 1.1; Lines 30; 29</v>
      </c>
      <c r="G13" s="154">
        <f t="shared" ref="G13:G26" si="2">G12+1</f>
        <v>2</v>
      </c>
    </row>
    <row r="14" spans="1:10" ht="15.75">
      <c r="A14" s="153">
        <f t="shared" si="0"/>
        <v>3</v>
      </c>
      <c r="B14" s="581">
        <v>45658</v>
      </c>
      <c r="C14" s="119">
        <f>'WP 1.1 Recorded Sales - KWH'!E39</f>
        <v>1604744675</v>
      </c>
      <c r="D14" s="119">
        <f>'WP 1.1 Recorded Sales - KWH'!E38</f>
        <v>7399</v>
      </c>
      <c r="E14" s="27">
        <f t="shared" si="1"/>
        <v>1604737276</v>
      </c>
      <c r="F14" s="28" t="str">
        <f>F12</f>
        <v>Workpaper No. 1; Page 1.1; Lines 30; 29</v>
      </c>
      <c r="G14" s="154">
        <f t="shared" si="2"/>
        <v>3</v>
      </c>
    </row>
    <row r="15" spans="1:10" ht="15.75">
      <c r="A15" s="153">
        <f t="shared" si="0"/>
        <v>4</v>
      </c>
      <c r="B15" s="581">
        <v>45689</v>
      </c>
      <c r="C15" s="119">
        <f>'WP 1.1 Recorded Sales - KWH'!F39</f>
        <v>1227781043</v>
      </c>
      <c r="D15" s="119">
        <f>'WP 1.1 Recorded Sales - KWH'!F38</f>
        <v>7298</v>
      </c>
      <c r="E15" s="27">
        <f t="shared" si="1"/>
        <v>1227773745</v>
      </c>
      <c r="F15" s="28" t="str">
        <f>F12</f>
        <v>Workpaper No. 1; Page 1.1; Lines 30; 29</v>
      </c>
      <c r="G15" s="154">
        <f t="shared" si="2"/>
        <v>4</v>
      </c>
      <c r="J15" s="4"/>
    </row>
    <row r="16" spans="1:10" ht="15.75">
      <c r="A16" s="153">
        <f t="shared" si="0"/>
        <v>5</v>
      </c>
      <c r="B16" s="581">
        <v>45717</v>
      </c>
      <c r="C16" s="119">
        <f>'WP 1.1 Recorded Sales - KWH'!G39</f>
        <v>1314777137</v>
      </c>
      <c r="D16" s="119">
        <f>'WP 1.1 Recorded Sales - KWH'!G38</f>
        <v>6475</v>
      </c>
      <c r="E16" s="27">
        <f t="shared" si="1"/>
        <v>1314770662</v>
      </c>
      <c r="F16" s="28" t="str">
        <f>F12</f>
        <v>Workpaper No. 1; Page 1.1; Lines 30; 29</v>
      </c>
      <c r="G16" s="154">
        <f t="shared" si="2"/>
        <v>5</v>
      </c>
      <c r="J16" s="4"/>
    </row>
    <row r="17" spans="1:10" ht="15.75">
      <c r="A17" s="153">
        <f t="shared" si="0"/>
        <v>6</v>
      </c>
      <c r="B17" s="581">
        <v>45748</v>
      </c>
      <c r="C17" s="119">
        <f>'WP 1.1 Recorded Sales - KWH'!H39</f>
        <v>1204328612</v>
      </c>
      <c r="D17" s="119">
        <f>'WP 1.1 Recorded Sales - KWH'!H38</f>
        <v>7887</v>
      </c>
      <c r="E17" s="27">
        <f t="shared" si="1"/>
        <v>1204320725</v>
      </c>
      <c r="F17" s="28" t="str">
        <f>F12</f>
        <v>Workpaper No. 1; Page 1.1; Lines 30; 29</v>
      </c>
      <c r="G17" s="154">
        <f t="shared" si="2"/>
        <v>6</v>
      </c>
      <c r="J17" s="4"/>
    </row>
    <row r="18" spans="1:10" ht="15.75">
      <c r="A18" s="153">
        <f t="shared" si="0"/>
        <v>7</v>
      </c>
      <c r="B18" s="581">
        <v>45778</v>
      </c>
      <c r="C18" s="119">
        <f>'WP 1.1 Recorded Sales - KWH'!I39</f>
        <v>1198109914</v>
      </c>
      <c r="D18" s="119">
        <f>'WP 1.1 Recorded Sales - KWH'!I38</f>
        <v>7483</v>
      </c>
      <c r="E18" s="27">
        <f t="shared" si="1"/>
        <v>1198102431</v>
      </c>
      <c r="F18" s="28" t="str">
        <f>F12</f>
        <v>Workpaper No. 1; Page 1.1; Lines 30; 29</v>
      </c>
      <c r="G18" s="154">
        <f t="shared" si="2"/>
        <v>7</v>
      </c>
      <c r="J18" s="4"/>
    </row>
    <row r="19" spans="1:10" ht="15.75">
      <c r="A19" s="153">
        <f t="shared" si="0"/>
        <v>8</v>
      </c>
      <c r="B19" s="581">
        <v>45809</v>
      </c>
      <c r="C19" s="119">
        <f>'WP 1.1 Recorded Sales - KWH'!J39</f>
        <v>1310907855</v>
      </c>
      <c r="D19" s="119">
        <f>'WP 1.1 Recorded Sales - KWH'!J38</f>
        <v>7945</v>
      </c>
      <c r="E19" s="27">
        <f t="shared" si="1"/>
        <v>1310899910</v>
      </c>
      <c r="F19" s="28" t="str">
        <f>F12</f>
        <v>Workpaper No. 1; Page 1.1; Lines 30; 29</v>
      </c>
      <c r="G19" s="154">
        <f t="shared" si="2"/>
        <v>8</v>
      </c>
      <c r="J19" s="4"/>
    </row>
    <row r="20" spans="1:10" ht="15.75">
      <c r="A20" s="153">
        <f t="shared" si="0"/>
        <v>9</v>
      </c>
      <c r="B20" s="581">
        <v>45839</v>
      </c>
      <c r="C20" s="119">
        <f>'WP 1.1 Recorded Sales - KWH'!K39</f>
        <v>1454671999</v>
      </c>
      <c r="D20" s="119">
        <f>'WP 1.1 Recorded Sales - KWH'!K38</f>
        <v>7560</v>
      </c>
      <c r="E20" s="27">
        <f t="shared" si="1"/>
        <v>1454664439</v>
      </c>
      <c r="F20" s="28" t="str">
        <f>F12</f>
        <v>Workpaper No. 1; Page 1.1; Lines 30; 29</v>
      </c>
      <c r="G20" s="154">
        <f t="shared" si="2"/>
        <v>9</v>
      </c>
      <c r="J20" s="4"/>
    </row>
    <row r="21" spans="1:10" ht="15.75">
      <c r="A21" s="153">
        <f t="shared" si="0"/>
        <v>10</v>
      </c>
      <c r="B21" s="581">
        <v>45870</v>
      </c>
      <c r="C21" s="119">
        <f>'WP 1.1 Recorded Sales - KWH'!L39</f>
        <v>1469860763</v>
      </c>
      <c r="D21" s="119">
        <f>'WP 1.1 Recorded Sales - KWH'!L38</f>
        <v>7779</v>
      </c>
      <c r="E21" s="27">
        <f t="shared" si="1"/>
        <v>1469852984</v>
      </c>
      <c r="F21" s="28" t="str">
        <f>F12</f>
        <v>Workpaper No. 1; Page 1.1; Lines 30; 29</v>
      </c>
      <c r="G21" s="154">
        <f t="shared" si="2"/>
        <v>10</v>
      </c>
      <c r="J21" s="4"/>
    </row>
    <row r="22" spans="1:10" ht="15.75">
      <c r="A22" s="153">
        <f t="shared" si="0"/>
        <v>11</v>
      </c>
      <c r="B22" s="581">
        <v>45901</v>
      </c>
      <c r="C22" s="119">
        <f>'WP 1.1 Recorded Sales - KWH'!M39</f>
        <v>1647514504</v>
      </c>
      <c r="D22" s="119">
        <f>'WP 1.1 Recorded Sales - KWH'!M38</f>
        <v>0</v>
      </c>
      <c r="E22" s="27">
        <f t="shared" si="1"/>
        <v>1647514504</v>
      </c>
      <c r="F22" s="28" t="str">
        <f>F12</f>
        <v>Workpaper No. 1; Page 1.1; Lines 30; 29</v>
      </c>
      <c r="G22" s="154">
        <f t="shared" si="2"/>
        <v>11</v>
      </c>
      <c r="J22" s="4"/>
    </row>
    <row r="23" spans="1:10" ht="15.75">
      <c r="A23" s="153">
        <f t="shared" si="0"/>
        <v>12</v>
      </c>
      <c r="B23" s="581">
        <v>45931</v>
      </c>
      <c r="C23" s="119">
        <f>'WP 1.1 Recorded Sales - KWH'!N39</f>
        <v>1638300694</v>
      </c>
      <c r="D23" s="119">
        <f>'WP 1.1 Recorded Sales - KWH'!N38</f>
        <v>0</v>
      </c>
      <c r="E23" s="27">
        <f t="shared" si="1"/>
        <v>1638300694</v>
      </c>
      <c r="F23" s="28" t="str">
        <f>F12</f>
        <v>Workpaper No. 1; Page 1.1; Lines 30; 29</v>
      </c>
      <c r="G23" s="154">
        <f t="shared" si="2"/>
        <v>12</v>
      </c>
      <c r="J23" s="4"/>
    </row>
    <row r="24" spans="1:10" ht="15.75">
      <c r="A24" s="153">
        <f t="shared" si="0"/>
        <v>13</v>
      </c>
      <c r="B24" s="12"/>
      <c r="C24" s="22"/>
      <c r="D24" s="22"/>
      <c r="E24" s="29"/>
      <c r="F24" s="28"/>
      <c r="G24" s="154">
        <f t="shared" si="2"/>
        <v>13</v>
      </c>
    </row>
    <row r="25" spans="1:10" ht="15.75">
      <c r="A25" s="153">
        <f t="shared" si="0"/>
        <v>14</v>
      </c>
      <c r="B25" s="20"/>
      <c r="C25" s="30"/>
      <c r="D25" s="30"/>
      <c r="E25" s="30"/>
      <c r="F25" s="28"/>
      <c r="G25" s="154">
        <f t="shared" si="2"/>
        <v>14</v>
      </c>
    </row>
    <row r="26" spans="1:10" ht="16.5" thickBot="1">
      <c r="A26" s="153">
        <f t="shared" si="0"/>
        <v>15</v>
      </c>
      <c r="B26" s="31" t="s">
        <v>18</v>
      </c>
      <c r="C26" s="32">
        <f>SUM(C12:C23)</f>
        <v>16702334288</v>
      </c>
      <c r="D26" s="32">
        <f>SUM(D12:D23)</f>
        <v>75183</v>
      </c>
      <c r="E26" s="32">
        <f>SUM(E12:E23)</f>
        <v>16702259105</v>
      </c>
      <c r="F26" s="28" t="s">
        <v>19</v>
      </c>
      <c r="G26" s="154">
        <f t="shared" si="2"/>
        <v>15</v>
      </c>
      <c r="I26" s="4"/>
    </row>
    <row r="27" spans="1:10" ht="17.25" thickTop="1" thickBot="1">
      <c r="A27" s="159"/>
      <c r="B27" s="110"/>
      <c r="C27" s="476"/>
      <c r="D27" s="477"/>
      <c r="E27" s="473"/>
      <c r="F27" s="258"/>
      <c r="G27" s="160"/>
    </row>
    <row r="28" spans="1:10" ht="15.75">
      <c r="A28" s="20"/>
      <c r="B28" s="20"/>
      <c r="C28" s="20"/>
      <c r="D28" s="20"/>
      <c r="E28" s="20"/>
      <c r="F28" s="20"/>
      <c r="G28" s="20"/>
    </row>
    <row r="29" spans="1:10" ht="18.75">
      <c r="A29" s="271">
        <v>1</v>
      </c>
      <c r="B29" s="20" t="s">
        <v>20</v>
      </c>
      <c r="C29" s="20"/>
      <c r="D29" s="20"/>
      <c r="E29" s="34"/>
      <c r="F29" s="34"/>
      <c r="G29" s="20"/>
    </row>
    <row r="30" spans="1:10" ht="15.75">
      <c r="A30" s="20"/>
      <c r="B30" s="20"/>
      <c r="C30" s="20"/>
      <c r="D30" s="20"/>
      <c r="E30" s="34"/>
      <c r="F30" s="34"/>
      <c r="G30" s="20"/>
    </row>
    <row r="31" spans="1:10" ht="15.75">
      <c r="A31" s="20"/>
      <c r="B31" s="20"/>
      <c r="C31" s="20"/>
      <c r="D31" s="20"/>
      <c r="E31" s="34"/>
      <c r="F31" s="34"/>
      <c r="G31" s="20"/>
    </row>
    <row r="32" spans="1:10" ht="15.75">
      <c r="A32" s="20"/>
      <c r="B32" s="20"/>
      <c r="C32" s="20"/>
      <c r="D32" s="20"/>
      <c r="E32" s="34"/>
      <c r="F32" s="34"/>
      <c r="G32" s="20"/>
    </row>
    <row r="33" spans="1:7" ht="15.75">
      <c r="A33" s="20"/>
      <c r="B33" s="20"/>
      <c r="C33" s="20"/>
      <c r="D33" s="20"/>
      <c r="E33" s="20"/>
      <c r="F33" s="20"/>
      <c r="G33" s="20"/>
    </row>
    <row r="34" spans="1:7" ht="15.75">
      <c r="A34" s="20"/>
      <c r="B34" s="20"/>
      <c r="C34" s="26"/>
      <c r="D34" s="26"/>
      <c r="E34" s="26"/>
      <c r="F34" s="20"/>
      <c r="G34" s="20"/>
    </row>
    <row r="35" spans="1:7" ht="15.75">
      <c r="A35" s="20"/>
      <c r="B35" s="20"/>
      <c r="C35" s="20"/>
      <c r="D35" s="20"/>
      <c r="E35" s="20"/>
      <c r="F35" s="20"/>
      <c r="G35" s="20"/>
    </row>
    <row r="36" spans="1:7" ht="15.75">
      <c r="A36" s="20"/>
      <c r="B36" s="20"/>
      <c r="C36" s="20"/>
      <c r="D36" s="20"/>
      <c r="E36" s="20"/>
      <c r="F36" s="20"/>
      <c r="G36" s="20"/>
    </row>
    <row r="37" spans="1:7" ht="15.75">
      <c r="A37" s="20"/>
      <c r="B37" s="20"/>
      <c r="C37" s="20"/>
      <c r="D37" s="20"/>
      <c r="E37" s="20"/>
      <c r="F37" s="20"/>
      <c r="G37" s="20"/>
    </row>
    <row r="38" spans="1:7" ht="15.75">
      <c r="A38" s="20"/>
      <c r="B38" s="20"/>
      <c r="C38" s="20"/>
      <c r="D38" s="20"/>
      <c r="E38" s="20"/>
      <c r="F38" s="20"/>
      <c r="G38" s="20"/>
    </row>
    <row r="39" spans="1:7" ht="15.75">
      <c r="A39" s="20"/>
      <c r="B39" s="20"/>
      <c r="C39" s="20"/>
      <c r="D39" s="20"/>
      <c r="E39" s="20"/>
      <c r="F39" s="20"/>
      <c r="G39" s="20"/>
    </row>
    <row r="40" spans="1:7" ht="15.75">
      <c r="A40" s="20"/>
      <c r="B40" s="20"/>
      <c r="C40" s="20"/>
      <c r="D40" s="20"/>
      <c r="E40" s="20"/>
      <c r="F40" s="20"/>
      <c r="G40" s="20"/>
    </row>
    <row r="41" spans="1:7" ht="15.75">
      <c r="A41" s="20"/>
      <c r="B41" s="20"/>
      <c r="C41" s="20"/>
      <c r="D41" s="20"/>
      <c r="E41" s="20"/>
      <c r="F41" s="20"/>
      <c r="G41" s="20"/>
    </row>
    <row r="42" spans="1:7" ht="15.75">
      <c r="A42" s="20"/>
      <c r="B42" s="20"/>
      <c r="C42" s="20"/>
      <c r="D42" s="20"/>
      <c r="E42" s="20"/>
      <c r="F42" s="20"/>
      <c r="G42" s="20"/>
    </row>
    <row r="43" spans="1:7" ht="15.75">
      <c r="A43" s="20"/>
      <c r="B43" s="20"/>
      <c r="C43" s="20"/>
      <c r="D43" s="20"/>
      <c r="E43" s="20"/>
      <c r="F43" s="20"/>
      <c r="G43" s="20"/>
    </row>
    <row r="44" spans="1:7" ht="15.75">
      <c r="A44" s="20"/>
      <c r="B44" s="20"/>
      <c r="C44" s="20"/>
      <c r="D44" s="20"/>
      <c r="E44" s="20"/>
      <c r="F44" s="20"/>
      <c r="G44" s="20"/>
    </row>
    <row r="45" spans="1:7" ht="15.75">
      <c r="A45" s="20"/>
      <c r="B45" s="20"/>
      <c r="C45" s="20"/>
      <c r="D45" s="20"/>
      <c r="E45" s="20"/>
      <c r="F45" s="20"/>
      <c r="G45" s="20"/>
    </row>
    <row r="46" spans="1:7" ht="15.75">
      <c r="A46" s="20"/>
      <c r="B46" s="20"/>
      <c r="C46" s="20"/>
      <c r="D46" s="20"/>
      <c r="E46" s="20"/>
      <c r="F46" s="20"/>
      <c r="G46" s="20"/>
    </row>
    <row r="47" spans="1:7" ht="15.75">
      <c r="A47" s="20"/>
      <c r="B47" s="20"/>
      <c r="C47" s="20"/>
      <c r="D47" s="20"/>
      <c r="E47" s="20"/>
      <c r="F47" s="20"/>
      <c r="G47" s="20"/>
    </row>
    <row r="48" spans="1:7" ht="15.75">
      <c r="A48" s="20"/>
      <c r="B48" s="20"/>
      <c r="C48" s="20"/>
      <c r="D48" s="20"/>
      <c r="E48" s="20"/>
      <c r="F48" s="20"/>
      <c r="G48" s="20"/>
    </row>
    <row r="49" spans="1:7" ht="15.75">
      <c r="A49" s="20"/>
      <c r="B49" s="20"/>
      <c r="C49" s="20"/>
      <c r="D49" s="20"/>
      <c r="E49" s="20"/>
      <c r="F49" s="20"/>
      <c r="G49" s="20"/>
    </row>
    <row r="50" spans="1:7" ht="15.75">
      <c r="A50" s="20"/>
      <c r="B50" s="20"/>
      <c r="C50" s="20"/>
      <c r="D50" s="20"/>
      <c r="E50" s="20"/>
      <c r="F50" s="20"/>
      <c r="G50" s="20"/>
    </row>
    <row r="51" spans="1:7" ht="15.75">
      <c r="A51" s="20"/>
      <c r="B51" s="20"/>
      <c r="C51" s="20"/>
      <c r="D51" s="20"/>
      <c r="E51" s="20"/>
      <c r="F51" s="20"/>
      <c r="G51" s="20"/>
    </row>
    <row r="52" spans="1:7" ht="15.75">
      <c r="A52" s="20"/>
      <c r="B52" s="20"/>
      <c r="C52" s="20"/>
      <c r="D52" s="20"/>
      <c r="E52" s="20"/>
      <c r="F52" s="20"/>
      <c r="G52" s="20"/>
    </row>
    <row r="53" spans="1:7" ht="15.75">
      <c r="A53" s="20"/>
      <c r="B53" s="20"/>
      <c r="C53" s="20"/>
      <c r="D53" s="20"/>
      <c r="E53" s="20"/>
      <c r="F53" s="20"/>
      <c r="G53" s="20"/>
    </row>
    <row r="54" spans="1:7" ht="15.75">
      <c r="A54" s="20"/>
      <c r="B54" s="20"/>
      <c r="C54" s="20"/>
      <c r="D54" s="20"/>
      <c r="E54" s="20"/>
      <c r="F54" s="20"/>
      <c r="G54" s="20"/>
    </row>
    <row r="55" spans="1:7" ht="15.75">
      <c r="A55" s="20"/>
      <c r="B55" s="20"/>
      <c r="C55" s="20"/>
      <c r="D55" s="20"/>
      <c r="E55" s="20"/>
      <c r="F55" s="20"/>
      <c r="G55" s="20"/>
    </row>
    <row r="56" spans="1:7" ht="15.75">
      <c r="A56" s="20"/>
      <c r="B56" s="20"/>
      <c r="C56" s="20"/>
      <c r="D56" s="20"/>
      <c r="E56" s="20"/>
      <c r="F56" s="20"/>
      <c r="G56" s="20"/>
    </row>
    <row r="57" spans="1:7" ht="15.75">
      <c r="A57" s="20"/>
      <c r="B57" s="20"/>
      <c r="C57" s="20"/>
      <c r="D57" s="20"/>
      <c r="E57" s="20"/>
      <c r="F57" s="20"/>
      <c r="G57" s="20"/>
    </row>
    <row r="58" spans="1:7" ht="15.75">
      <c r="A58" s="20"/>
      <c r="B58" s="20"/>
      <c r="C58" s="20"/>
      <c r="D58" s="20"/>
      <c r="E58" s="20"/>
      <c r="F58" s="20"/>
      <c r="G58" s="20"/>
    </row>
    <row r="59" spans="1:7" ht="15.75">
      <c r="A59" s="20"/>
      <c r="B59" s="20"/>
      <c r="C59" s="20"/>
      <c r="D59" s="20"/>
      <c r="E59" s="20"/>
      <c r="F59" s="20"/>
      <c r="G59" s="20"/>
    </row>
    <row r="60" spans="1:7" ht="15.75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7"/>
  <sheetViews>
    <sheetView zoomScaleNormal="100" workbookViewId="0">
      <selection activeCell="K37" sqref="K37"/>
    </sheetView>
  </sheetViews>
  <sheetFormatPr defaultColWidth="9.28515625" defaultRowHeight="15.7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2578125" style="20" bestFit="1" customWidth="1"/>
    <col min="10" max="10" width="6" style="20" bestFit="1" customWidth="1"/>
    <col min="11" max="14" width="17.28515625" style="20" bestFit="1" customWidth="1"/>
    <col min="15" max="15" width="18.42578125" style="20" bestFit="1" customWidth="1"/>
    <col min="16" max="16" width="8.5703125" style="20" bestFit="1" customWidth="1"/>
    <col min="17" max="16384" width="9.28515625" style="20"/>
  </cols>
  <sheetData>
    <row r="2" spans="1:16" ht="18" customHeight="1">
      <c r="A2" s="726" t="s">
        <v>168</v>
      </c>
      <c r="B2" s="726"/>
      <c r="C2" s="726"/>
      <c r="D2" s="726"/>
      <c r="E2" s="726"/>
      <c r="F2" s="726"/>
      <c r="G2" s="726"/>
      <c r="H2" s="726"/>
      <c r="I2" s="726"/>
      <c r="J2" s="726"/>
      <c r="K2" s="387"/>
      <c r="L2" s="387"/>
      <c r="M2" s="387"/>
      <c r="N2" s="387"/>
      <c r="O2" s="387"/>
      <c r="P2" s="387"/>
    </row>
    <row r="3" spans="1:16" ht="18" customHeight="1">
      <c r="A3" s="726" t="s">
        <v>1</v>
      </c>
      <c r="B3" s="726"/>
      <c r="C3" s="726"/>
      <c r="D3" s="726"/>
      <c r="E3" s="726"/>
      <c r="F3" s="726"/>
      <c r="G3" s="726"/>
      <c r="H3" s="726"/>
      <c r="I3" s="726"/>
      <c r="J3" s="726"/>
      <c r="K3" s="386"/>
      <c r="L3" s="386"/>
      <c r="M3" s="386"/>
      <c r="N3" s="386"/>
      <c r="O3" s="386"/>
      <c r="P3" s="386"/>
    </row>
    <row r="4" spans="1:16" ht="18" customHeight="1">
      <c r="A4" s="726" t="s">
        <v>409</v>
      </c>
      <c r="B4" s="726"/>
      <c r="C4" s="726"/>
      <c r="D4" s="726"/>
      <c r="E4" s="726"/>
      <c r="F4" s="726"/>
      <c r="G4" s="726"/>
      <c r="H4" s="726"/>
      <c r="I4" s="726"/>
      <c r="J4" s="726"/>
      <c r="K4" s="386"/>
      <c r="L4" s="386"/>
      <c r="M4" s="386"/>
      <c r="N4" s="386"/>
      <c r="O4" s="386"/>
      <c r="P4" s="386"/>
    </row>
    <row r="5" spans="1:16" ht="18" customHeight="1">
      <c r="A5" s="727" t="str">
        <f>'Stmt BG - Page 2'!A5:J5</f>
        <v>Rate Effective Period - Twelve Months Ending December 31, 2026</v>
      </c>
      <c r="B5" s="727"/>
      <c r="C5" s="727"/>
      <c r="D5" s="727"/>
      <c r="E5" s="727"/>
      <c r="F5" s="727"/>
      <c r="G5" s="727"/>
      <c r="H5" s="727"/>
      <c r="I5" s="727"/>
      <c r="J5" s="727"/>
      <c r="K5" s="386"/>
      <c r="L5" s="386"/>
      <c r="M5" s="386"/>
      <c r="N5" s="386"/>
      <c r="O5" s="386"/>
      <c r="P5" s="386"/>
    </row>
    <row r="6" spans="1:16" ht="16.5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391" t="s">
        <v>8</v>
      </c>
    </row>
    <row r="8" spans="1:16" ht="16.5" thickBot="1">
      <c r="A8" s="472" t="s">
        <v>11</v>
      </c>
      <c r="B8" s="473" t="s">
        <v>87</v>
      </c>
      <c r="C8" s="503">
        <f>'Stmt BG - Page 2'!C8</f>
        <v>46023</v>
      </c>
      <c r="D8" s="503">
        <f>'Stmt BG - Page 2'!D8</f>
        <v>46054</v>
      </c>
      <c r="E8" s="503">
        <f>'Stmt BG - Page 2'!E8</f>
        <v>46082</v>
      </c>
      <c r="F8" s="503">
        <f>'Stmt BG - Page 2'!F8</f>
        <v>46113</v>
      </c>
      <c r="G8" s="503">
        <f>'Stmt BG - Page 2'!G8</f>
        <v>46143</v>
      </c>
      <c r="H8" s="503">
        <f>'Stmt BG - Page 2'!H8</f>
        <v>46174</v>
      </c>
      <c r="I8" s="489"/>
      <c r="J8" s="475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75">
      <c r="A10" s="153">
        <v>1</v>
      </c>
      <c r="B10" s="16" t="s">
        <v>120</v>
      </c>
      <c r="C10" s="17">
        <f>'Stmt BH - Page 2'!C35</f>
        <v>-11447484.443873638</v>
      </c>
      <c r="D10" s="17">
        <f>'Stmt BH - Page 2'!D35</f>
        <v>-9608150.5564342886</v>
      </c>
      <c r="E10" s="17">
        <f>'Stmt BH - Page 2'!E35</f>
        <v>-8409874.8443445079</v>
      </c>
      <c r="F10" s="17">
        <f>'Stmt BH - Page 2'!F35</f>
        <v>-6872077.4024814265</v>
      </c>
      <c r="G10" s="17">
        <f>'Stmt BH - Page 2'!G35</f>
        <v>-6314174.6944729565</v>
      </c>
      <c r="H10" s="17">
        <f>'Stmt BH - Page 2'!H35</f>
        <v>-6795651.0949988561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75">
      <c r="A12" s="153">
        <f t="shared" ref="A12:A24" si="0">A11+1</f>
        <v>3</v>
      </c>
      <c r="B12" s="16" t="s">
        <v>121</v>
      </c>
      <c r="C12" s="21">
        <f>'Stmt BH - Page 2'!C37</f>
        <v>-4074542.1967694261</v>
      </c>
      <c r="D12" s="21">
        <f>'Stmt BH - Page 2'!D37</f>
        <v>-3922152.6341183521</v>
      </c>
      <c r="E12" s="21">
        <f>'Stmt BH - Page 2'!E37</f>
        <v>-3841743.7314676619</v>
      </c>
      <c r="F12" s="21">
        <f>'Stmt BH - Page 2'!F37</f>
        <v>-3805430.1174509213</v>
      </c>
      <c r="G12" s="21">
        <f>'Stmt BH - Page 2'!G37</f>
        <v>-3800531.7159210709</v>
      </c>
      <c r="H12" s="21">
        <f>'Stmt BH - Page 2'!H37</f>
        <v>-3927458.3300261539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75">
      <c r="A14" s="153">
        <f t="shared" si="0"/>
        <v>5</v>
      </c>
      <c r="B14" s="16" t="s">
        <v>122</v>
      </c>
      <c r="C14" s="21">
        <f>'Stmt BH - Page 2'!C39</f>
        <v>-14541278.107273001</v>
      </c>
      <c r="D14" s="21">
        <f>'Stmt BH - Page 2'!D39</f>
        <v>-13776413.736165447</v>
      </c>
      <c r="E14" s="21">
        <f>'Stmt BH - Page 2'!E39</f>
        <v>-13813928.523020562</v>
      </c>
      <c r="F14" s="21">
        <f>'Stmt BH - Page 2'!F39</f>
        <v>-13894644.423007611</v>
      </c>
      <c r="G14" s="21">
        <f>'Stmt BH - Page 2'!G39</f>
        <v>-14028303.589114234</v>
      </c>
      <c r="H14" s="21">
        <f>'Stmt BH - Page 2'!H39</f>
        <v>-14638782.966942511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75">
      <c r="A16" s="153">
        <f t="shared" si="0"/>
        <v>7</v>
      </c>
      <c r="B16" s="16" t="s">
        <v>123</v>
      </c>
      <c r="C16" s="21">
        <f>'Stmt BH - Page 2'!C41</f>
        <v>-4384.2456000000002</v>
      </c>
      <c r="D16" s="21">
        <f>'Stmt BH - Page 2'!D41</f>
        <v>-9176.1257000000005</v>
      </c>
      <c r="E16" s="21">
        <f>'Stmt BH - Page 2'!E41</f>
        <v>-7128.8497000000007</v>
      </c>
      <c r="F16" s="21">
        <f>'Stmt BH - Page 2'!F41</f>
        <v>-22212.742300000002</v>
      </c>
      <c r="G16" s="21">
        <f>'Stmt BH - Page 2'!G41</f>
        <v>-3956.1788000000001</v>
      </c>
      <c r="H16" s="21">
        <f>'Stmt BH - Page 2'!H41</f>
        <v>0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75">
      <c r="A18" s="153">
        <f t="shared" si="0"/>
        <v>9</v>
      </c>
      <c r="B18" s="193" t="s">
        <v>124</v>
      </c>
      <c r="C18" s="21">
        <f>'Stmt BH - Page 2'!C43</f>
        <v>-177435.26914934936</v>
      </c>
      <c r="D18" s="21">
        <f>'Stmt BH - Page 2'!D43</f>
        <v>-173941.54140007193</v>
      </c>
      <c r="E18" s="21">
        <f>'Stmt BH - Page 2'!E43</f>
        <v>-164297.13786729332</v>
      </c>
      <c r="F18" s="21">
        <f>'Stmt BH - Page 2'!F43</f>
        <v>-181516.62451836863</v>
      </c>
      <c r="G18" s="21">
        <f>'Stmt BH - Page 2'!G43</f>
        <v>-272991.59485581814</v>
      </c>
      <c r="H18" s="21">
        <f>'Stmt BH - Page 2'!H43</f>
        <v>-309055.7751900375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75">
      <c r="A20" s="153">
        <f t="shared" si="0"/>
        <v>11</v>
      </c>
      <c r="B20" s="193" t="s">
        <v>125</v>
      </c>
      <c r="C20" s="21">
        <f>'Stmt BH - Page 2'!C45</f>
        <v>-325626.01449425059</v>
      </c>
      <c r="D20" s="21">
        <f>'Stmt BH - Page 2'!D45</f>
        <v>-330250.49513048946</v>
      </c>
      <c r="E20" s="21">
        <f>'Stmt BH - Page 2'!E45</f>
        <v>-307699.48193781631</v>
      </c>
      <c r="F20" s="21">
        <f>'Stmt BH - Page 2'!F45</f>
        <v>-319447.64654401824</v>
      </c>
      <c r="G20" s="21">
        <f>'Stmt BH - Page 2'!G45</f>
        <v>-383966.95072242076</v>
      </c>
      <c r="H20" s="21">
        <f>'Stmt BH - Page 2'!H45</f>
        <v>-400372.85120865505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75">
      <c r="A22" s="153">
        <f t="shared" si="0"/>
        <v>13</v>
      </c>
      <c r="B22" s="16" t="s">
        <v>126</v>
      </c>
      <c r="C22" s="22">
        <f>'Stmt BH - Page 2'!C47</f>
        <v>-142622.33696908996</v>
      </c>
      <c r="D22" s="22">
        <f>'Stmt BH - Page 2'!D47</f>
        <v>-140874.4235072982</v>
      </c>
      <c r="E22" s="22">
        <f>'Stmt BH - Page 2'!E47</f>
        <v>-137996.6059647098</v>
      </c>
      <c r="F22" s="22">
        <f>'Stmt BH - Page 2'!F47</f>
        <v>-135468.85963345904</v>
      </c>
      <c r="G22" s="22">
        <f>'Stmt BH - Page 2'!G47</f>
        <v>-135286.80864923995</v>
      </c>
      <c r="H22" s="22">
        <f>'Stmt BH - Page 2'!H47</f>
        <v>-135970.63362552287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389">
        <f t="shared" ref="C24:H24" si="2">SUM(C10:C22)</f>
        <v>-30713372.614128754</v>
      </c>
      <c r="D24" s="389">
        <f t="shared" si="2"/>
        <v>-27960959.512455948</v>
      </c>
      <c r="E24" s="389">
        <f t="shared" si="2"/>
        <v>-26682669.174302552</v>
      </c>
      <c r="F24" s="389">
        <f t="shared" si="2"/>
        <v>-25230797.815935805</v>
      </c>
      <c r="G24" s="389">
        <f t="shared" si="2"/>
        <v>-24939211.532535743</v>
      </c>
      <c r="H24" s="389">
        <f t="shared" si="2"/>
        <v>-26207291.651991732</v>
      </c>
      <c r="I24" s="12"/>
      <c r="J24" s="154">
        <f t="shared" si="1"/>
        <v>15</v>
      </c>
    </row>
    <row r="25" spans="1:18" ht="16.5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.5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.5" thickBot="1">
      <c r="A28" s="464" t="s">
        <v>11</v>
      </c>
      <c r="B28" s="473" t="s">
        <v>87</v>
      </c>
      <c r="C28" s="503">
        <f>'Stmt BG - Page 2'!C28</f>
        <v>46204</v>
      </c>
      <c r="D28" s="503">
        <f>'Stmt BG - Page 2'!D28</f>
        <v>46235</v>
      </c>
      <c r="E28" s="503">
        <f>'Stmt BG - Page 2'!E28</f>
        <v>46266</v>
      </c>
      <c r="F28" s="503">
        <f>'Stmt BG - Page 2'!F28</f>
        <v>46296</v>
      </c>
      <c r="G28" s="503">
        <f>'Stmt BG - Page 2'!G28</f>
        <v>46327</v>
      </c>
      <c r="H28" s="503">
        <f>'Stmt BG - Page 2'!H28</f>
        <v>46357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3"/>
      <c r="B29" s="10"/>
      <c r="C29" s="10"/>
      <c r="D29" s="10"/>
      <c r="E29" s="10"/>
      <c r="F29" s="10"/>
      <c r="G29" s="10"/>
      <c r="H29" s="10"/>
      <c r="I29" s="10"/>
      <c r="J29" s="154"/>
      <c r="K29" s="255"/>
      <c r="L29" s="255"/>
      <c r="M29" s="255"/>
      <c r="N29" s="255"/>
      <c r="O29" s="255"/>
    </row>
    <row r="30" spans="1:18" ht="18.75">
      <c r="A30" s="153">
        <f>A24+1</f>
        <v>16</v>
      </c>
      <c r="B30" s="16" t="s">
        <v>120</v>
      </c>
      <c r="C30" s="17">
        <f>'Stmt BH - Page 3'!C35</f>
        <v>-8886162.4902198948</v>
      </c>
      <c r="D30" s="17">
        <f>'Stmt BH - Page 3'!D35</f>
        <v>-11882869.153585212</v>
      </c>
      <c r="E30" s="17">
        <f>'Stmt BH - Page 3'!E35</f>
        <v>-13416134.652908003</v>
      </c>
      <c r="F30" s="17">
        <f>'Stmt BH - Page 3'!F35</f>
        <v>-9839175.3509246074</v>
      </c>
      <c r="G30" s="17">
        <f>'Stmt BH - Page 3'!G35</f>
        <v>-8462959.6795078274</v>
      </c>
      <c r="H30" s="17">
        <f>'Stmt BH - Page 3'!H35</f>
        <v>-9921907.071114609</v>
      </c>
      <c r="I30" s="17">
        <f>SUM(C10:H10,C30:H30)</f>
        <v>-111856621.43486582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75">
      <c r="A32" s="153">
        <f t="shared" ref="A32:A44" si="4">A31+1</f>
        <v>18</v>
      </c>
      <c r="B32" s="16" t="s">
        <v>121</v>
      </c>
      <c r="C32" s="21">
        <f>'Stmt BH - Page 3'!C37</f>
        <v>-4396455.8071015552</v>
      </c>
      <c r="D32" s="21">
        <f>'Stmt BH - Page 3'!D37</f>
        <v>-4637603.6802323963</v>
      </c>
      <c r="E32" s="21">
        <f>'Stmt BH - Page 3'!E37</f>
        <v>-4841402.4464819226</v>
      </c>
      <c r="F32" s="21">
        <f>'Stmt BH - Page 3'!F37</f>
        <v>-4275581.7084818035</v>
      </c>
      <c r="G32" s="21">
        <f>'Stmt BH - Page 3'!G37</f>
        <v>-3951233.8001794242</v>
      </c>
      <c r="H32" s="21">
        <f>'Stmt BH - Page 3'!H37</f>
        <v>-3929556.0778150102</v>
      </c>
      <c r="I32" s="17">
        <f>SUM(C12:H12,C32:H32)</f>
        <v>-49403692.246045694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75">
      <c r="A34" s="153">
        <f t="shared" si="4"/>
        <v>20</v>
      </c>
      <c r="B34" s="16" t="s">
        <v>122</v>
      </c>
      <c r="C34" s="21">
        <f>'Stmt BH - Page 3'!C39</f>
        <v>-16315285.758037437</v>
      </c>
      <c r="D34" s="21">
        <f>'Stmt BH - Page 3'!D39</f>
        <v>-16871183.126410101</v>
      </c>
      <c r="E34" s="21">
        <f>'Stmt BH - Page 3'!E39</f>
        <v>-17539751.344118509</v>
      </c>
      <c r="F34" s="21">
        <f>'Stmt BH - Page 3'!F39</f>
        <v>-16113934.901688602</v>
      </c>
      <c r="G34" s="21">
        <f>'Stmt BH - Page 3'!G39</f>
        <v>-14729528.815997399</v>
      </c>
      <c r="H34" s="21">
        <f>'Stmt BH - Page 3'!H39</f>
        <v>-15449849.675034277</v>
      </c>
      <c r="I34" s="17">
        <f>SUM(C14:H14,C34:H34)</f>
        <v>-181712884.96680969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75">
      <c r="A36" s="153">
        <f t="shared" si="4"/>
        <v>22</v>
      </c>
      <c r="B36" s="16" t="s">
        <v>123</v>
      </c>
      <c r="C36" s="21">
        <f>'Stmt BH - Page 3'!C41</f>
        <v>0</v>
      </c>
      <c r="D36" s="21">
        <f>'Stmt BH - Page 3'!D41</f>
        <v>0</v>
      </c>
      <c r="E36" s="21">
        <f>'Stmt BH - Page 3'!E41</f>
        <v>-2069.9336000000003</v>
      </c>
      <c r="F36" s="21">
        <f>'Stmt BH - Page 3'!F41</f>
        <v>-15117.879000000001</v>
      </c>
      <c r="G36" s="21">
        <f>'Stmt BH - Page 3'!G41</f>
        <v>-14234.232600000001</v>
      </c>
      <c r="H36" s="21">
        <f>'Stmt BH - Page 3'!H41</f>
        <v>-6864.0390000000007</v>
      </c>
      <c r="I36" s="21">
        <f>SUM(C16:H16,C36:H36)</f>
        <v>-85144.226300000009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75">
      <c r="A38" s="153">
        <f t="shared" si="4"/>
        <v>24</v>
      </c>
      <c r="B38" s="193" t="s">
        <v>124</v>
      </c>
      <c r="C38" s="21">
        <f>'Stmt BH - Page 3'!C43</f>
        <v>-357549.31737658405</v>
      </c>
      <c r="D38" s="21">
        <f>'Stmt BH - Page 3'!D43</f>
        <v>-391469.3250849644</v>
      </c>
      <c r="E38" s="21">
        <f>'Stmt BH - Page 3'!E43</f>
        <v>-383253.30667748669</v>
      </c>
      <c r="F38" s="21">
        <f>'Stmt BH - Page 3'!F43</f>
        <v>-353696.81161703519</v>
      </c>
      <c r="G38" s="21">
        <f>'Stmt BH - Page 3'!G43</f>
        <v>-291739.18259460956</v>
      </c>
      <c r="H38" s="21">
        <f>'Stmt BH - Page 3'!H43</f>
        <v>-268759.195795801</v>
      </c>
      <c r="I38" s="17">
        <f>SUM(C18:H18,C38:H38)</f>
        <v>-3325705.0821274198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75">
      <c r="A40" s="153">
        <f t="shared" si="4"/>
        <v>26</v>
      </c>
      <c r="B40" s="193" t="s">
        <v>125</v>
      </c>
      <c r="C40" s="21">
        <f>'Stmt BH - Page 3'!C45</f>
        <v>-441509.7536363703</v>
      </c>
      <c r="D40" s="21">
        <f>'Stmt BH - Page 3'!D45</f>
        <v>-444004.50831426441</v>
      </c>
      <c r="E40" s="21">
        <f>'Stmt BH - Page 3'!E45</f>
        <v>-442183.92335326032</v>
      </c>
      <c r="F40" s="21">
        <f>'Stmt BH - Page 3'!F45</f>
        <v>-427233.81485810626</v>
      </c>
      <c r="G40" s="21">
        <f>'Stmt BH - Page 3'!G45</f>
        <v>-399652.28410561173</v>
      </c>
      <c r="H40" s="21">
        <f>'Stmt BH - Page 3'!H45</f>
        <v>-367836.33405273192</v>
      </c>
      <c r="I40" s="17">
        <f>SUM(C20:H20,C40:H40)</f>
        <v>-4589784.0583579959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75">
      <c r="A42" s="153">
        <f t="shared" si="4"/>
        <v>28</v>
      </c>
      <c r="B42" s="16" t="s">
        <v>126</v>
      </c>
      <c r="C42" s="22">
        <f>'Stmt BH - Page 3'!C47</f>
        <v>-135110.5524039481</v>
      </c>
      <c r="D42" s="22">
        <f>'Stmt BH - Page 3'!D47</f>
        <v>-138348.5187121651</v>
      </c>
      <c r="E42" s="22">
        <f>'Stmt BH - Page 3'!E47</f>
        <v>-136625.1561903726</v>
      </c>
      <c r="F42" s="22">
        <f>'Stmt BH - Page 3'!F47</f>
        <v>-137212.98128610465</v>
      </c>
      <c r="G42" s="22">
        <f>'Stmt BH - Page 3'!G47</f>
        <v>-144036.3178147393</v>
      </c>
      <c r="H42" s="22">
        <f>'Stmt BH - Page 3'!H47</f>
        <v>-144420.13792661685</v>
      </c>
      <c r="I42" s="14">
        <f>SUM(C22:H22,C42:H42)</f>
        <v>-1663973.3326832664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389">
        <f t="shared" ref="C44:I44" si="6">SUM(C30:C42)</f>
        <v>-30532073.678775791</v>
      </c>
      <c r="D44" s="389">
        <f t="shared" si="6"/>
        <v>-34365478.312339105</v>
      </c>
      <c r="E44" s="389">
        <f t="shared" si="6"/>
        <v>-36761420.763329551</v>
      </c>
      <c r="F44" s="389">
        <f t="shared" si="6"/>
        <v>-31161953.447856259</v>
      </c>
      <c r="G44" s="389">
        <f t="shared" si="6"/>
        <v>-27993384.312799606</v>
      </c>
      <c r="H44" s="389">
        <f t="shared" si="6"/>
        <v>-30089192.530739043</v>
      </c>
      <c r="I44" s="389">
        <f t="shared" si="6"/>
        <v>-352637805.34718984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5" thickBot="1">
      <c r="A45" s="159"/>
      <c r="B45" s="491"/>
      <c r="C45" s="152"/>
      <c r="D45" s="493"/>
      <c r="E45" s="152"/>
      <c r="F45" s="493"/>
      <c r="G45" s="152"/>
      <c r="H45" s="493"/>
      <c r="I45" s="152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75">
      <c r="A47" s="236" t="s">
        <v>128</v>
      </c>
      <c r="B47" s="20" t="s">
        <v>169</v>
      </c>
      <c r="C47" s="231"/>
      <c r="D47" s="231"/>
      <c r="F47" s="390">
        <v>4</v>
      </c>
      <c r="G47" s="20" t="s">
        <v>170</v>
      </c>
    </row>
    <row r="48" spans="1:15" ht="18.75">
      <c r="A48" s="236">
        <v>2</v>
      </c>
      <c r="B48" s="20" t="s">
        <v>171</v>
      </c>
      <c r="C48" s="241"/>
      <c r="D48" s="241"/>
      <c r="F48" s="390">
        <v>5</v>
      </c>
      <c r="G48" s="20" t="s">
        <v>172</v>
      </c>
    </row>
    <row r="49" spans="1:7" ht="18.75">
      <c r="A49" s="236">
        <v>3</v>
      </c>
      <c r="B49" s="20" t="s">
        <v>173</v>
      </c>
      <c r="C49" s="231"/>
      <c r="D49" s="231"/>
      <c r="F49" s="390">
        <v>6</v>
      </c>
      <c r="G49" s="20" t="s">
        <v>174</v>
      </c>
    </row>
    <row r="50" spans="1:7" ht="18.75">
      <c r="A50" s="236">
        <v>4</v>
      </c>
      <c r="B50" s="20" t="s">
        <v>175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5" orientation="landscape" r:id="rId1"/>
  <headerFooter alignWithMargins="0">
    <oddFooter>&amp;L&amp;"Times New Roman,Regular"&amp;12&amp;F&amp;C&amp;"Times New Roman,Regular"&amp;12Page 1 of 3&amp;R&amp;"Times New Roman,Regular"&amp;12&amp;A</oddFooter>
  </headerFooter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71"/>
  <sheetViews>
    <sheetView zoomScaleNormal="100" workbookViewId="0">
      <selection activeCell="K43" sqref="K43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40.5703125" customWidth="1"/>
    <col min="10" max="10" width="5.5703125" customWidth="1"/>
  </cols>
  <sheetData>
    <row r="2" spans="1:19" ht="15.7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75">
      <c r="A4" s="5" t="str">
        <f>'Stmt BH - Page 1'!A4:J4</f>
        <v>Transmission Access Charge Balancing Account Adjustment (TACBAA) Revenue Data to Reflect Present Rates per ER25-405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75">
      <c r="A5" s="306" t="str">
        <f>'Stmt BH - Page 1'!A5:J5</f>
        <v>Rate Effective Period - Twelve Months Ending December 31, 2026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</row>
    <row r="7" spans="1:19" ht="15.75">
      <c r="A7" s="485"/>
      <c r="B7" s="478"/>
      <c r="C7" s="498" t="s">
        <v>3</v>
      </c>
      <c r="D7" s="498" t="s">
        <v>26</v>
      </c>
      <c r="E7" s="498" t="s">
        <v>115</v>
      </c>
      <c r="F7" s="498" t="s">
        <v>116</v>
      </c>
      <c r="G7" s="498" t="s">
        <v>117</v>
      </c>
      <c r="H7" s="498" t="s">
        <v>118</v>
      </c>
      <c r="I7" s="498" t="s">
        <v>118</v>
      </c>
      <c r="J7" s="486"/>
    </row>
    <row r="8" spans="1:19" ht="15.75">
      <c r="A8" s="274" t="s">
        <v>8</v>
      </c>
      <c r="B8" s="41"/>
      <c r="C8" s="499">
        <f>'Stmt BG - Page 2'!C8</f>
        <v>46023</v>
      </c>
      <c r="D8" s="499">
        <f>'Stmt BG - Page 2'!D8</f>
        <v>46054</v>
      </c>
      <c r="E8" s="499">
        <f>'Stmt BG - Page 2'!E8</f>
        <v>46082</v>
      </c>
      <c r="F8" s="499">
        <f>'Stmt BG - Page 2'!F8</f>
        <v>46113</v>
      </c>
      <c r="G8" s="499">
        <f>'Stmt BG - Page 2'!G8</f>
        <v>46143</v>
      </c>
      <c r="H8" s="499">
        <f>'Stmt BG - Page 2'!H8</f>
        <v>46174</v>
      </c>
      <c r="I8" s="500"/>
      <c r="J8" s="275" t="s">
        <v>8</v>
      </c>
    </row>
    <row r="9" spans="1:19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9" ht="15.7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9" ht="15.75">
      <c r="A11" s="153">
        <v>1</v>
      </c>
      <c r="B11" s="11" t="s">
        <v>137</v>
      </c>
      <c r="C11" s="21">
        <f>'WP 1.2 Forecast Sales - KWH'!C6*1000</f>
        <v>565866754.51673937</v>
      </c>
      <c r="D11" s="21">
        <f>'WP 1.2 Forecast Sales - KWH'!D6*1000</f>
        <v>474945652.81434941</v>
      </c>
      <c r="E11" s="21">
        <f>'WP 1.2 Forecast Sales - KWH'!E6*1000</f>
        <v>415713042.23156244</v>
      </c>
      <c r="F11" s="21">
        <f>'WP 1.2 Forecast Sales - KWH'!F6*1000</f>
        <v>339697350.5922603</v>
      </c>
      <c r="G11" s="21">
        <f>'WP 1.2 Forecast Sales - KWH'!G6*1000</f>
        <v>312119362.05995828</v>
      </c>
      <c r="H11" s="21">
        <f>'WP 1.2 Forecast Sales - KWH'!H6*1000</f>
        <v>335919480.72164387</v>
      </c>
      <c r="I11" s="259" t="s">
        <v>138</v>
      </c>
      <c r="J11" s="154">
        <v>1</v>
      </c>
    </row>
    <row r="12" spans="1:19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  <c r="K12" s="231"/>
      <c r="L12" s="231"/>
      <c r="M12" s="231"/>
      <c r="N12" s="231"/>
      <c r="O12" s="231"/>
      <c r="P12" s="231"/>
      <c r="Q12" s="231"/>
      <c r="R12" s="231"/>
      <c r="S12" s="231"/>
    </row>
    <row r="13" spans="1:19" ht="15.75">
      <c r="A13" s="153">
        <f t="shared" ref="A13:A49" si="0">A12+1</f>
        <v>3</v>
      </c>
      <c r="B13" s="11" t="s">
        <v>95</v>
      </c>
      <c r="C13" s="21">
        <f>'WP 1.2 Forecast Sales - KWH'!C7*1000</f>
        <v>201410884.6648258</v>
      </c>
      <c r="D13" s="21">
        <f>'WP 1.2 Forecast Sales - KWH'!D7*1000</f>
        <v>193878034.3113372</v>
      </c>
      <c r="E13" s="21">
        <f>'WP 1.2 Forecast Sales - KWH'!E7*1000</f>
        <v>189903298.63903418</v>
      </c>
      <c r="F13" s="21">
        <f>'WP 1.2 Forecast Sales - KWH'!F7*1000</f>
        <v>188108260.87251216</v>
      </c>
      <c r="G13" s="21">
        <f>'WP 1.2 Forecast Sales - KWH'!G7*1000</f>
        <v>187866125.35447705</v>
      </c>
      <c r="H13" s="21">
        <f>'WP 1.2 Forecast Sales - KWH'!H7*1000</f>
        <v>194140303.01661658</v>
      </c>
      <c r="I13" s="259" t="s">
        <v>139</v>
      </c>
      <c r="J13" s="154">
        <f t="shared" ref="J13:J49" si="1">J12+1</f>
        <v>3</v>
      </c>
      <c r="K13" s="231"/>
      <c r="L13" s="231"/>
      <c r="M13" s="231"/>
      <c r="N13" s="231"/>
      <c r="O13" s="231"/>
      <c r="P13" s="231"/>
      <c r="Q13" s="231"/>
      <c r="R13" s="231"/>
      <c r="S13" s="231"/>
    </row>
    <row r="14" spans="1:19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  <c r="P14" s="231"/>
      <c r="Q14" s="231"/>
      <c r="R14" s="231"/>
      <c r="S14" s="231"/>
    </row>
    <row r="15" spans="1:19" ht="15.75">
      <c r="A15" s="153">
        <f t="shared" si="0"/>
        <v>5</v>
      </c>
      <c r="B15" s="11" t="s">
        <v>140</v>
      </c>
      <c r="C15" s="21">
        <f>'WP 1.2 Forecast Sales - KWH'!C8*1000</f>
        <v>718797731.45195258</v>
      </c>
      <c r="D15" s="21">
        <f>'WP 1.2 Forecast Sales - KWH'!D8*1000</f>
        <v>680989309.74619114</v>
      </c>
      <c r="E15" s="21">
        <f>'WP 1.2 Forecast Sales - KWH'!E8*1000</f>
        <v>682843723.33270192</v>
      </c>
      <c r="F15" s="21">
        <f>'WP 1.2 Forecast Sales - KWH'!F8*1000</f>
        <v>686833634.35529459</v>
      </c>
      <c r="G15" s="21">
        <f>'WP 1.2 Forecast Sales - KWH'!G8*1000</f>
        <v>693440612.41296256</v>
      </c>
      <c r="H15" s="21">
        <f>'WP 1.2 Forecast Sales - KWH'!H8*1000</f>
        <v>723617546.56166637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  <c r="P15" s="231"/>
      <c r="Q15" s="231"/>
      <c r="R15" s="231"/>
      <c r="S15" s="231"/>
    </row>
    <row r="16" spans="1:19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  <c r="P16" s="231"/>
      <c r="Q16" s="231"/>
      <c r="R16" s="231"/>
      <c r="S16" s="231"/>
    </row>
    <row r="17" spans="1:19" ht="15.75">
      <c r="A17" s="153">
        <f t="shared" si="0"/>
        <v>7</v>
      </c>
      <c r="B17" s="193" t="s">
        <v>101</v>
      </c>
      <c r="C17" s="21">
        <f>'WP 1.2 Forecast Sales - KWH'!C9*1000</f>
        <v>216720</v>
      </c>
      <c r="D17" s="21">
        <f>'WP 1.2 Forecast Sales - KWH'!D9*1000</f>
        <v>453590</v>
      </c>
      <c r="E17" s="21">
        <f>'WP 1.2 Forecast Sales - KWH'!E9*1000</f>
        <v>352390</v>
      </c>
      <c r="F17" s="21">
        <f>'WP 1.2 Forecast Sales - KWH'!F9*1000</f>
        <v>1098010</v>
      </c>
      <c r="G17" s="21">
        <f>'WP 1.2 Forecast Sales - KWH'!G9*1000</f>
        <v>195560</v>
      </c>
      <c r="H17" s="21">
        <f>'WP 1.2 Forecast Sales - KWH'!H9*1000</f>
        <v>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  <c r="P17" s="231"/>
      <c r="Q17" s="231"/>
      <c r="R17" s="231"/>
      <c r="S17" s="231"/>
    </row>
    <row r="18" spans="1:19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  <c r="P18" s="231"/>
      <c r="Q18" s="231"/>
      <c r="R18" s="231"/>
      <c r="S18" s="231"/>
    </row>
    <row r="19" spans="1:19" ht="15.75">
      <c r="A19" s="153">
        <f t="shared" si="0"/>
        <v>9</v>
      </c>
      <c r="B19" s="193" t="s">
        <v>104</v>
      </c>
      <c r="C19" s="21">
        <f>'WP 1.2 Forecast Sales - KWH'!C10*1000</f>
        <v>8770898.1289841495</v>
      </c>
      <c r="D19" s="21">
        <f>'WP 1.2 Forecast Sales - KWH'!D10*1000</f>
        <v>8598197.7953569908</v>
      </c>
      <c r="E19" s="21">
        <f>'WP 1.2 Forecast Sales - KWH'!E10*1000</f>
        <v>8121460.1021894859</v>
      </c>
      <c r="F19" s="21">
        <f>'WP 1.2 Forecast Sales - KWH'!F10*1000</f>
        <v>8972645.7992273159</v>
      </c>
      <c r="G19" s="21">
        <f>'WP 1.2 Forecast Sales - KWH'!G10*1000</f>
        <v>13494394.209383002</v>
      </c>
      <c r="H19" s="21">
        <f>'WP 1.2 Forecast Sales - KWH'!H10*1000</f>
        <v>15277102.085518412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  <c r="P19" s="231"/>
      <c r="Q19" s="231"/>
      <c r="R19" s="231"/>
      <c r="S19" s="231"/>
    </row>
    <row r="20" spans="1:19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  <c r="P20" s="231"/>
      <c r="Q20" s="231"/>
      <c r="R20" s="231"/>
      <c r="S20" s="231"/>
    </row>
    <row r="21" spans="1:19" ht="15.75">
      <c r="A21" s="153">
        <f t="shared" si="0"/>
        <v>11</v>
      </c>
      <c r="B21" s="193" t="s">
        <v>107</v>
      </c>
      <c r="C21" s="21">
        <f>'WP 1.2 Forecast Sales - KWH'!C11*1000</f>
        <v>16096194.488099385</v>
      </c>
      <c r="D21" s="21">
        <f>'WP 1.2 Forecast Sales - KWH'!D11*1000</f>
        <v>16324789.675258994</v>
      </c>
      <c r="E21" s="21">
        <f>'WP 1.2 Forecast Sales - KWH'!E11*1000</f>
        <v>15210058.425003275</v>
      </c>
      <c r="F21" s="21">
        <f>'WP 1.2 Forecast Sales - KWH'!F11*1000</f>
        <v>15790788.262185775</v>
      </c>
      <c r="G21" s="21">
        <f>'WP 1.2 Forecast Sales - KWH'!G11*1000</f>
        <v>18980076.654593214</v>
      </c>
      <c r="H21" s="21">
        <f>'WP 1.2 Forecast Sales - KWH'!H11*1000</f>
        <v>19791045.53676001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  <c r="P21" s="231"/>
      <c r="Q21" s="231"/>
      <c r="R21" s="231"/>
      <c r="S21" s="231"/>
    </row>
    <row r="22" spans="1:19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  <c r="P22" s="231"/>
      <c r="Q22" s="231"/>
      <c r="R22" s="231"/>
      <c r="S22" s="231"/>
    </row>
    <row r="23" spans="1:19" ht="15.75">
      <c r="A23" s="153">
        <f t="shared" si="0"/>
        <v>13</v>
      </c>
      <c r="B23" s="11" t="s">
        <v>145</v>
      </c>
      <c r="C23" s="22">
        <f>'WP 1.2 Forecast Sales - KWH'!C12*1000</f>
        <v>7050041.3726688055</v>
      </c>
      <c r="D23" s="22">
        <f>'WP 1.2 Forecast Sales - KWH'!D12*1000</f>
        <v>6963639.3231486995</v>
      </c>
      <c r="E23" s="22">
        <f>'WP 1.2 Forecast Sales - KWH'!E12*1000</f>
        <v>6821384.377889757</v>
      </c>
      <c r="F23" s="22">
        <f>'WP 1.2 Forecast Sales - KWH'!F12*1000</f>
        <v>6696433.9907789938</v>
      </c>
      <c r="G23" s="22">
        <f>'WP 1.2 Forecast Sales - KWH'!G12*1000</f>
        <v>6687434.930758276</v>
      </c>
      <c r="H23" s="22">
        <f>'WP 1.2 Forecast Sales - KWH'!H12*1000</f>
        <v>6721237.4505943088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  <c r="P23" s="231"/>
      <c r="Q23" s="231"/>
      <c r="R23" s="231"/>
      <c r="S23" s="231"/>
    </row>
    <row r="24" spans="1:19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  <c r="P24" s="231"/>
      <c r="Q24" s="231"/>
      <c r="R24" s="231"/>
      <c r="S24" s="231"/>
    </row>
    <row r="25" spans="1:19" ht="16.5" thickBot="1">
      <c r="A25" s="153">
        <f t="shared" si="0"/>
        <v>15</v>
      </c>
      <c r="B25" s="11" t="s">
        <v>127</v>
      </c>
      <c r="C25" s="345">
        <f>SUM(C11:C23)</f>
        <v>1518209224.62327</v>
      </c>
      <c r="D25" s="345">
        <f t="shared" ref="D25:H25" si="2">SUM(D11:D23)</f>
        <v>1382153213.6656423</v>
      </c>
      <c r="E25" s="345">
        <f t="shared" si="2"/>
        <v>1318965357.1083813</v>
      </c>
      <c r="F25" s="345">
        <f t="shared" si="2"/>
        <v>1247197123.8722589</v>
      </c>
      <c r="G25" s="345">
        <f t="shared" si="2"/>
        <v>1232783565.6221323</v>
      </c>
      <c r="H25" s="345">
        <f t="shared" si="2"/>
        <v>1295466715.3727996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  <c r="P25" s="231"/>
      <c r="Q25" s="231"/>
      <c r="R25" s="231"/>
      <c r="S25" s="231"/>
    </row>
    <row r="26" spans="1:19" ht="17.25" thickTop="1" thickBot="1">
      <c r="A26" s="159">
        <f t="shared" si="0"/>
        <v>16</v>
      </c>
      <c r="B26" s="307"/>
      <c r="C26" s="594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  <c r="P26" s="231"/>
      <c r="Q26" s="231"/>
      <c r="R26" s="231"/>
      <c r="S26" s="231"/>
    </row>
    <row r="27" spans="1:19" ht="15.7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54">
        <f t="shared" si="1"/>
        <v>17</v>
      </c>
      <c r="K27" s="231"/>
      <c r="L27" s="231"/>
      <c r="M27" s="231"/>
      <c r="N27" s="231"/>
      <c r="O27" s="231"/>
      <c r="P27" s="231"/>
      <c r="Q27" s="231"/>
      <c r="R27" s="231"/>
      <c r="S27" s="231"/>
    </row>
    <row r="28" spans="1:19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  <c r="P28" s="231"/>
      <c r="Q28" s="231"/>
      <c r="R28" s="231"/>
      <c r="S28" s="231"/>
    </row>
    <row r="29" spans="1:19" ht="15.75">
      <c r="A29" s="153">
        <f t="shared" si="0"/>
        <v>19</v>
      </c>
      <c r="B29" s="11"/>
      <c r="C29" s="41"/>
      <c r="D29" s="10"/>
      <c r="E29" s="10"/>
      <c r="F29" s="10"/>
      <c r="G29" s="10"/>
      <c r="H29" s="10"/>
      <c r="I29" s="595" t="s">
        <v>150</v>
      </c>
      <c r="J29" s="154">
        <f t="shared" si="1"/>
        <v>19</v>
      </c>
      <c r="K29" s="231"/>
      <c r="L29" s="231"/>
      <c r="M29" s="231"/>
      <c r="N29" s="231"/>
      <c r="O29" s="231"/>
      <c r="P29" s="231"/>
      <c r="Q29" s="231"/>
      <c r="R29" s="231"/>
      <c r="S29" s="231"/>
    </row>
    <row r="30" spans="1:19" ht="15.75">
      <c r="A30" s="153">
        <f t="shared" si="0"/>
        <v>20</v>
      </c>
      <c r="B30" s="11" t="s">
        <v>176</v>
      </c>
      <c r="C30" s="65">
        <v>-2.0230000000000001E-2</v>
      </c>
      <c r="D30" s="65">
        <f>$C$30</f>
        <v>-2.0230000000000001E-2</v>
      </c>
      <c r="E30" s="65">
        <f t="shared" ref="E30:H30" si="3">$C$30</f>
        <v>-2.0230000000000001E-2</v>
      </c>
      <c r="F30" s="65">
        <f t="shared" si="3"/>
        <v>-2.0230000000000001E-2</v>
      </c>
      <c r="G30" s="65">
        <f t="shared" si="3"/>
        <v>-2.0230000000000001E-2</v>
      </c>
      <c r="H30" s="65">
        <f t="shared" si="3"/>
        <v>-2.0230000000000001E-2</v>
      </c>
      <c r="I30" s="596" t="s">
        <v>410</v>
      </c>
      <c r="J30" s="154">
        <f t="shared" si="1"/>
        <v>20</v>
      </c>
      <c r="K30" s="231"/>
      <c r="L30" s="231"/>
      <c r="M30" s="231"/>
      <c r="N30" s="231"/>
      <c r="O30" s="231"/>
      <c r="P30" s="231"/>
      <c r="Q30" s="231"/>
      <c r="R30" s="231"/>
      <c r="S30" s="231"/>
    </row>
    <row r="31" spans="1:19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7"/>
      <c r="J31" s="160">
        <f t="shared" si="1"/>
        <v>21</v>
      </c>
      <c r="K31" s="231"/>
      <c r="L31" s="231"/>
      <c r="M31" s="231"/>
      <c r="N31" s="231"/>
      <c r="O31" s="231"/>
      <c r="P31" s="231"/>
      <c r="Q31" s="231"/>
      <c r="R31" s="231"/>
      <c r="S31" s="231"/>
    </row>
    <row r="32" spans="1:19" ht="15.7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  <c r="P32" s="231"/>
      <c r="Q32" s="231"/>
      <c r="R32" s="231"/>
      <c r="S32" s="231"/>
    </row>
    <row r="33" spans="1:19" ht="32.25" thickBot="1">
      <c r="A33" s="159">
        <f t="shared" si="0"/>
        <v>23</v>
      </c>
      <c r="B33" s="307"/>
      <c r="C33" s="708" t="s">
        <v>177</v>
      </c>
      <c r="D33" s="708" t="s">
        <v>177</v>
      </c>
      <c r="E33" s="708" t="s">
        <v>177</v>
      </c>
      <c r="F33" s="708" t="s">
        <v>177</v>
      </c>
      <c r="G33" s="708" t="s">
        <v>177</v>
      </c>
      <c r="H33" s="708" t="s">
        <v>177</v>
      </c>
      <c r="I33" s="258"/>
      <c r="J33" s="160">
        <f t="shared" si="1"/>
        <v>23</v>
      </c>
      <c r="K33" s="231"/>
      <c r="L33" s="231"/>
      <c r="M33" s="231"/>
      <c r="N33" s="231"/>
      <c r="O33" s="231"/>
      <c r="P33" s="231"/>
      <c r="Q33" s="231"/>
      <c r="R33" s="231"/>
      <c r="S33" s="231"/>
    </row>
    <row r="34" spans="1:19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  <c r="P34" s="231"/>
      <c r="Q34" s="231"/>
      <c r="R34" s="231"/>
      <c r="S34" s="231"/>
    </row>
    <row r="35" spans="1:19" ht="15.75">
      <c r="A35" s="153">
        <f t="shared" si="0"/>
        <v>25</v>
      </c>
      <c r="B35" s="11" t="s">
        <v>137</v>
      </c>
      <c r="C35" s="88">
        <f>C11*C$30</f>
        <v>-11447484.443873638</v>
      </c>
      <c r="D35" s="88">
        <f t="shared" ref="D35:H35" si="4">D11*D$30</f>
        <v>-9608150.5564342886</v>
      </c>
      <c r="E35" s="88">
        <f t="shared" si="4"/>
        <v>-8409874.8443445079</v>
      </c>
      <c r="F35" s="88">
        <f t="shared" si="4"/>
        <v>-6872077.4024814265</v>
      </c>
      <c r="G35" s="88">
        <f t="shared" si="4"/>
        <v>-6314174.6944729565</v>
      </c>
      <c r="H35" s="88">
        <f t="shared" si="4"/>
        <v>-6795651.0949988561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  <c r="P35" s="231"/>
      <c r="Q35" s="231"/>
      <c r="R35" s="231"/>
      <c r="S35" s="231"/>
    </row>
    <row r="36" spans="1:19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  <c r="P36" s="231"/>
      <c r="Q36" s="231"/>
      <c r="R36" s="231"/>
      <c r="S36" s="231"/>
    </row>
    <row r="37" spans="1:19" ht="15.75">
      <c r="A37" s="153">
        <f t="shared" si="0"/>
        <v>27</v>
      </c>
      <c r="B37" s="11" t="s">
        <v>95</v>
      </c>
      <c r="C37" s="27">
        <f>C13*C$30</f>
        <v>-4074542.1967694261</v>
      </c>
      <c r="D37" s="27">
        <f t="shared" ref="D37:H37" si="5">D13*D$30</f>
        <v>-3922152.6341183521</v>
      </c>
      <c r="E37" s="27">
        <f t="shared" si="5"/>
        <v>-3841743.7314676619</v>
      </c>
      <c r="F37" s="27">
        <f t="shared" si="5"/>
        <v>-3805430.1174509213</v>
      </c>
      <c r="G37" s="27">
        <f t="shared" si="5"/>
        <v>-3800531.7159210709</v>
      </c>
      <c r="H37" s="27">
        <f t="shared" si="5"/>
        <v>-3927458.3300261539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  <c r="P37" s="231"/>
      <c r="Q37" s="231"/>
      <c r="R37" s="231"/>
      <c r="S37" s="231"/>
    </row>
    <row r="38" spans="1:19" ht="15.7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44"/>
      <c r="J38" s="154">
        <f t="shared" si="1"/>
        <v>28</v>
      </c>
      <c r="K38" s="231"/>
      <c r="L38" s="231"/>
      <c r="M38" s="231"/>
      <c r="N38" s="231"/>
      <c r="O38" s="231"/>
      <c r="P38" s="231"/>
      <c r="Q38" s="231"/>
      <c r="R38" s="231"/>
      <c r="S38" s="231"/>
    </row>
    <row r="39" spans="1:19" ht="15.75">
      <c r="A39" s="153">
        <f t="shared" si="0"/>
        <v>29</v>
      </c>
      <c r="B39" s="11" t="s">
        <v>140</v>
      </c>
      <c r="C39" s="27">
        <f>C15*C$30</f>
        <v>-14541278.107273001</v>
      </c>
      <c r="D39" s="27">
        <f t="shared" ref="D39:H39" si="6">D15*D$30</f>
        <v>-13776413.736165447</v>
      </c>
      <c r="E39" s="27">
        <f t="shared" si="6"/>
        <v>-13813928.523020562</v>
      </c>
      <c r="F39" s="27">
        <f t="shared" si="6"/>
        <v>-13894644.423007611</v>
      </c>
      <c r="G39" s="27">
        <f t="shared" si="6"/>
        <v>-14028303.589114234</v>
      </c>
      <c r="H39" s="27">
        <f t="shared" si="6"/>
        <v>-14638782.966942511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  <c r="P39" s="231"/>
      <c r="Q39" s="231"/>
      <c r="R39" s="231"/>
      <c r="S39" s="231"/>
    </row>
    <row r="40" spans="1:19" ht="15.7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44"/>
      <c r="J40" s="154">
        <f t="shared" si="1"/>
        <v>30</v>
      </c>
      <c r="K40" s="231"/>
      <c r="L40" s="231"/>
      <c r="M40" s="231"/>
      <c r="N40" s="231"/>
      <c r="O40" s="231"/>
      <c r="P40" s="231"/>
      <c r="Q40" s="231"/>
      <c r="R40" s="231"/>
      <c r="S40" s="231"/>
    </row>
    <row r="41" spans="1:19" ht="15.75">
      <c r="A41" s="153">
        <f t="shared" si="0"/>
        <v>31</v>
      </c>
      <c r="B41" s="193" t="s">
        <v>101</v>
      </c>
      <c r="C41" s="27">
        <f>C17*C$30</f>
        <v>-4384.2456000000002</v>
      </c>
      <c r="D41" s="27">
        <f t="shared" ref="D41:H41" si="7">D17*D$30</f>
        <v>-9176.1257000000005</v>
      </c>
      <c r="E41" s="27">
        <f t="shared" si="7"/>
        <v>-7128.8497000000007</v>
      </c>
      <c r="F41" s="27">
        <f t="shared" si="7"/>
        <v>-22212.742300000002</v>
      </c>
      <c r="G41" s="27">
        <f t="shared" si="7"/>
        <v>-3956.1788000000001</v>
      </c>
      <c r="H41" s="27">
        <f t="shared" si="7"/>
        <v>0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  <c r="P41" s="231"/>
      <c r="Q41" s="231"/>
      <c r="R41" s="231"/>
      <c r="S41" s="231"/>
    </row>
    <row r="42" spans="1:19" ht="15.7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44"/>
      <c r="J42" s="154">
        <f t="shared" si="1"/>
        <v>32</v>
      </c>
      <c r="K42" s="231"/>
      <c r="L42" s="231"/>
      <c r="M42" s="231"/>
      <c r="N42" s="231"/>
      <c r="O42" s="231"/>
      <c r="P42" s="231"/>
      <c r="Q42" s="231"/>
      <c r="R42" s="231"/>
      <c r="S42" s="231"/>
    </row>
    <row r="43" spans="1:19" ht="15.75">
      <c r="A43" s="153">
        <f t="shared" si="0"/>
        <v>33</v>
      </c>
      <c r="B43" s="193" t="s">
        <v>104</v>
      </c>
      <c r="C43" s="27">
        <f>C19*C$30</f>
        <v>-177435.26914934936</v>
      </c>
      <c r="D43" s="27">
        <f t="shared" ref="D43:H43" si="8">D19*D$30</f>
        <v>-173941.54140007193</v>
      </c>
      <c r="E43" s="27">
        <f t="shared" si="8"/>
        <v>-164297.13786729332</v>
      </c>
      <c r="F43" s="27">
        <f t="shared" si="8"/>
        <v>-181516.62451836863</v>
      </c>
      <c r="G43" s="27">
        <f t="shared" si="8"/>
        <v>-272991.59485581814</v>
      </c>
      <c r="H43" s="27">
        <f t="shared" si="8"/>
        <v>-309055.7751900375</v>
      </c>
      <c r="I43" s="244" t="s">
        <v>156</v>
      </c>
      <c r="J43" s="154">
        <f t="shared" si="1"/>
        <v>33</v>
      </c>
    </row>
    <row r="44" spans="1:19" ht="15.7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44"/>
      <c r="J44" s="154">
        <f t="shared" si="1"/>
        <v>34</v>
      </c>
    </row>
    <row r="45" spans="1:19" ht="15.75">
      <c r="A45" s="153">
        <f t="shared" si="0"/>
        <v>35</v>
      </c>
      <c r="B45" s="193" t="s">
        <v>107</v>
      </c>
      <c r="C45" s="27">
        <f>C21*C$30</f>
        <v>-325626.01449425059</v>
      </c>
      <c r="D45" s="27">
        <f t="shared" ref="D45:H45" si="9">D21*D$30</f>
        <v>-330250.49513048946</v>
      </c>
      <c r="E45" s="27">
        <f t="shared" si="9"/>
        <v>-307699.48193781631</v>
      </c>
      <c r="F45" s="27">
        <f t="shared" si="9"/>
        <v>-319447.64654401824</v>
      </c>
      <c r="G45" s="27">
        <f t="shared" si="9"/>
        <v>-383966.95072242076</v>
      </c>
      <c r="H45" s="27">
        <f t="shared" si="9"/>
        <v>-400372.85120865505</v>
      </c>
      <c r="I45" s="244" t="s">
        <v>157</v>
      </c>
      <c r="J45" s="154">
        <f t="shared" si="1"/>
        <v>35</v>
      </c>
    </row>
    <row r="46" spans="1:19" ht="15.7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44"/>
      <c r="J46" s="154">
        <f t="shared" si="1"/>
        <v>36</v>
      </c>
    </row>
    <row r="47" spans="1:19" ht="15.75">
      <c r="A47" s="153">
        <f t="shared" si="0"/>
        <v>37</v>
      </c>
      <c r="B47" s="11" t="s">
        <v>145</v>
      </c>
      <c r="C47" s="87">
        <f>C23*C$30</f>
        <v>-142622.33696908996</v>
      </c>
      <c r="D47" s="87">
        <f t="shared" ref="D47:H47" si="10">D23*D$30</f>
        <v>-140874.4235072982</v>
      </c>
      <c r="E47" s="87">
        <f t="shared" si="10"/>
        <v>-137996.6059647098</v>
      </c>
      <c r="F47" s="87">
        <f t="shared" si="10"/>
        <v>-135468.85963345904</v>
      </c>
      <c r="G47" s="87">
        <f t="shared" si="10"/>
        <v>-135286.80864923995</v>
      </c>
      <c r="H47" s="87">
        <f t="shared" si="10"/>
        <v>-135970.63362552287</v>
      </c>
      <c r="I47" s="244" t="s">
        <v>158</v>
      </c>
      <c r="J47" s="154">
        <f t="shared" si="1"/>
        <v>37</v>
      </c>
    </row>
    <row r="48" spans="1:19" ht="15.7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244"/>
      <c r="J48" s="154">
        <f t="shared" si="1"/>
        <v>38</v>
      </c>
    </row>
    <row r="49" spans="1:10" ht="16.5" thickBot="1">
      <c r="A49" s="153">
        <f t="shared" si="0"/>
        <v>39</v>
      </c>
      <c r="B49" s="11" t="s">
        <v>127</v>
      </c>
      <c r="C49" s="254">
        <f>SUM(C35:C47)</f>
        <v>-30713372.614128754</v>
      </c>
      <c r="D49" s="254">
        <f t="shared" ref="D49:H49" si="11">SUM(D35:D47)</f>
        <v>-27960959.512455948</v>
      </c>
      <c r="E49" s="254">
        <f t="shared" si="11"/>
        <v>-26682669.174302552</v>
      </c>
      <c r="F49" s="254">
        <f t="shared" si="11"/>
        <v>-25230797.815935805</v>
      </c>
      <c r="G49" s="254">
        <f t="shared" si="11"/>
        <v>-24939211.532535743</v>
      </c>
      <c r="H49" s="254">
        <f t="shared" si="11"/>
        <v>-26207291.651991732</v>
      </c>
      <c r="I49" s="265" t="s">
        <v>159</v>
      </c>
      <c r="J49" s="154">
        <f t="shared" si="1"/>
        <v>39</v>
      </c>
    </row>
    <row r="50" spans="1:10" ht="17.25" thickTop="1" thickBot="1">
      <c r="A50" s="159"/>
      <c r="B50" s="258"/>
      <c r="C50" s="262"/>
      <c r="D50" s="262"/>
      <c r="E50" s="262"/>
      <c r="F50" s="262"/>
      <c r="G50" s="262"/>
      <c r="H50" s="262"/>
      <c r="I50" s="262"/>
      <c r="J50" s="160"/>
    </row>
    <row r="51" spans="1:10" ht="15.7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75">
      <c r="A52" s="35"/>
      <c r="B52" s="20"/>
      <c r="C52" s="257"/>
      <c r="D52" s="20"/>
      <c r="E52" s="20"/>
      <c r="F52" s="20"/>
      <c r="G52" s="20"/>
      <c r="H52" s="20"/>
      <c r="I52" s="20"/>
      <c r="J52" s="20"/>
    </row>
    <row r="53" spans="1:10" ht="15.75">
      <c r="A53" s="250"/>
      <c r="B53" s="20"/>
      <c r="C53" s="231"/>
      <c r="D53" s="20"/>
      <c r="E53" s="20"/>
      <c r="F53" s="20"/>
      <c r="G53" s="20"/>
      <c r="H53" s="20"/>
      <c r="I53" s="20"/>
      <c r="J53" s="20"/>
    </row>
    <row r="54" spans="1:10" ht="15.75">
      <c r="A54" s="250"/>
      <c r="B54" s="20"/>
      <c r="C54" s="241"/>
      <c r="D54" s="20"/>
      <c r="E54" s="20"/>
      <c r="F54" s="20"/>
      <c r="G54" s="20"/>
      <c r="H54" s="20"/>
      <c r="I54" s="20"/>
      <c r="J54" s="20"/>
    </row>
    <row r="55" spans="1:10" ht="15.75">
      <c r="A55" s="250"/>
      <c r="B55" s="231"/>
      <c r="C55" s="231"/>
      <c r="D55" s="20"/>
      <c r="E55" s="20"/>
      <c r="F55" s="20"/>
      <c r="G55" s="20"/>
      <c r="H55" s="20"/>
      <c r="I55" s="20"/>
      <c r="J55" s="20"/>
    </row>
    <row r="56" spans="1:10" ht="15.7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7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7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7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7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7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7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7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7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7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7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7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7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7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7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7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7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7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7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7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7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7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7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7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7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7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7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.25" right="0.25" top="0.5" bottom="0.5" header="0.25" footer="0.25"/>
  <pageSetup scale="68" orientation="landscape" r:id="rId1"/>
  <headerFooter alignWithMargins="0">
    <oddFooter>&amp;L&amp;"Times New Roman,Regular"&amp;12&amp;F&amp;C&amp;"Times New Roman,Regular"&amp;12Page 2 of 3&amp;R&amp;"Times New Roman,Regular"&amp;12&amp;A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71"/>
  <sheetViews>
    <sheetView zoomScaleNormal="100" workbookViewId="0">
      <selection activeCell="I55" sqref="I55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16.5703125" customWidth="1"/>
    <col min="10" max="10" width="40.5703125" customWidth="1"/>
    <col min="11" max="11" width="5.5703125" customWidth="1"/>
  </cols>
  <sheetData>
    <row r="2" spans="1:11" ht="15.7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75">
      <c r="A4" s="5" t="str">
        <f>'Stmt BH - Page 1'!A4:J4</f>
        <v>Transmission Access Charge Balancing Account Adjustment (TACBAA) Revenue Data to Reflect Present Rates per ER25-405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75">
      <c r="A5" s="306" t="str">
        <f>'Stmt BH - Page 1'!A5:J5</f>
        <v>Rate Effective Period - Twelve Months Ending December 31, 2026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75">
      <c r="A7" s="485"/>
      <c r="B7" s="478"/>
      <c r="C7" s="497" t="s">
        <v>119</v>
      </c>
      <c r="D7" s="497" t="s">
        <v>160</v>
      </c>
      <c r="E7" s="497" t="s">
        <v>161</v>
      </c>
      <c r="F7" s="497" t="s">
        <v>162</v>
      </c>
      <c r="G7" s="497" t="s">
        <v>163</v>
      </c>
      <c r="H7" s="497" t="s">
        <v>164</v>
      </c>
      <c r="I7" s="497" t="s">
        <v>165</v>
      </c>
      <c r="J7" s="497" t="s">
        <v>165</v>
      </c>
      <c r="K7" s="486"/>
    </row>
    <row r="8" spans="1:11" ht="15.75">
      <c r="A8" s="274" t="s">
        <v>8</v>
      </c>
      <c r="B8" s="41"/>
      <c r="C8" s="499">
        <f>'Stmt BG - Page 2'!C28</f>
        <v>46204</v>
      </c>
      <c r="D8" s="499">
        <f>'Stmt BG - Page 2'!D28</f>
        <v>46235</v>
      </c>
      <c r="E8" s="499">
        <f>'Stmt BG - Page 2'!E28</f>
        <v>46266</v>
      </c>
      <c r="F8" s="499">
        <f>'Stmt BG - Page 2'!F28</f>
        <v>46296</v>
      </c>
      <c r="G8" s="499">
        <f>'Stmt BG - Page 2'!G28</f>
        <v>46327</v>
      </c>
      <c r="H8" s="499">
        <f>'Stmt BG - Page 2'!H28</f>
        <v>46357</v>
      </c>
      <c r="I8" s="504" t="s">
        <v>18</v>
      </c>
      <c r="J8" s="500"/>
      <c r="K8" s="275" t="s">
        <v>8</v>
      </c>
    </row>
    <row r="9" spans="1:11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5" t="s">
        <v>11</v>
      </c>
    </row>
    <row r="10" spans="1:11" ht="15.75">
      <c r="A10" s="153"/>
      <c r="B10" s="10"/>
      <c r="C10" s="337"/>
      <c r="D10" s="10"/>
      <c r="E10" s="10"/>
      <c r="F10" s="10"/>
      <c r="G10" s="10"/>
      <c r="H10" s="10"/>
      <c r="I10" s="10"/>
      <c r="J10" s="10"/>
      <c r="K10" s="154"/>
    </row>
    <row r="11" spans="1:11" ht="15.75">
      <c r="A11" s="153">
        <v>1</v>
      </c>
      <c r="B11" s="11" t="s">
        <v>137</v>
      </c>
      <c r="C11" s="21">
        <f>'WP 1.2 Forecast Sales - KWH'!I6*1000</f>
        <v>439256672.77409267</v>
      </c>
      <c r="D11" s="21">
        <f>'WP 1.2 Forecast Sales - KWH'!J6*1000</f>
        <v>587388490.04375732</v>
      </c>
      <c r="E11" s="21">
        <f>'WP 1.2 Forecast Sales - KWH'!K6*1000</f>
        <v>663180160.79624331</v>
      </c>
      <c r="F11" s="21">
        <f>'WP 1.2 Forecast Sales - KWH'!L6*1000</f>
        <v>486365563.56523019</v>
      </c>
      <c r="G11" s="21">
        <f>'WP 1.2 Forecast Sales - KWH'!M6*1000</f>
        <v>418337107.24210709</v>
      </c>
      <c r="H11" s="21">
        <f>'WP 1.2 Forecast Sales - KWH'!N6*1000</f>
        <v>490455119.67941707</v>
      </c>
      <c r="I11" s="21">
        <f>SUM(C11:H11)+SUM('Stmt BH - Page 2'!C11:H11)</f>
        <v>5529244757.0373611</v>
      </c>
      <c r="J11" s="259" t="s">
        <v>138</v>
      </c>
      <c r="K11" s="154">
        <v>1</v>
      </c>
    </row>
    <row r="12" spans="1:11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54">
        <f>K11+1</f>
        <v>2</v>
      </c>
    </row>
    <row r="13" spans="1:11" ht="15.75">
      <c r="A13" s="153">
        <f t="shared" ref="A13:A49" si="0">A12+1</f>
        <v>3</v>
      </c>
      <c r="B13" s="11" t="s">
        <v>95</v>
      </c>
      <c r="C13" s="21">
        <f>'WP 1.2 Forecast Sales - KWH'!I7*1000</f>
        <v>217323569.30803531</v>
      </c>
      <c r="D13" s="21">
        <f>'WP 1.2 Forecast Sales - KWH'!J7*1000</f>
        <v>229243879.39853665</v>
      </c>
      <c r="E13" s="21">
        <f>'WP 1.2 Forecast Sales - KWH'!K7*1000</f>
        <v>239317965.71833527</v>
      </c>
      <c r="F13" s="21">
        <f>'WP 1.2 Forecast Sales - KWH'!L7*1000</f>
        <v>211348576.79099375</v>
      </c>
      <c r="G13" s="21">
        <f>'WP 1.2 Forecast Sales - KWH'!M7*1000</f>
        <v>195315561.0568178</v>
      </c>
      <c r="H13" s="21">
        <f>'WP 1.2 Forecast Sales - KWH'!N7*1000</f>
        <v>194243997.91473109</v>
      </c>
      <c r="I13" s="21">
        <f>SUM(C13:H13)+SUM('Stmt BH - Page 2'!C13:H13)</f>
        <v>2442100457.0462523</v>
      </c>
      <c r="J13" s="259" t="s">
        <v>139</v>
      </c>
      <c r="K13" s="154">
        <f t="shared" ref="K13:K49" si="1">K12+1</f>
        <v>3</v>
      </c>
    </row>
    <row r="14" spans="1:11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54">
        <f t="shared" si="1"/>
        <v>4</v>
      </c>
    </row>
    <row r="15" spans="1:11" ht="15.75">
      <c r="A15" s="153">
        <f t="shared" si="0"/>
        <v>5</v>
      </c>
      <c r="B15" s="11" t="s">
        <v>140</v>
      </c>
      <c r="C15" s="21">
        <f>'WP 1.2 Forecast Sales - KWH'!I8*1000</f>
        <v>806489656.84811842</v>
      </c>
      <c r="D15" s="21">
        <f>'WP 1.2 Forecast Sales - KWH'!J8*1000</f>
        <v>833968518.35937226</v>
      </c>
      <c r="E15" s="21">
        <f>'WP 1.2 Forecast Sales - KWH'!K8*1000</f>
        <v>867016873.16453326</v>
      </c>
      <c r="F15" s="21">
        <f>'WP 1.2 Forecast Sales - KWH'!L8*1000</f>
        <v>796536574.47793376</v>
      </c>
      <c r="G15" s="21">
        <f>'WP 1.2 Forecast Sales - KWH'!M8*1000</f>
        <v>728103253.38593173</v>
      </c>
      <c r="H15" s="21">
        <f>'WP 1.2 Forecast Sales - KWH'!N8*1000</f>
        <v>763709820.81237149</v>
      </c>
      <c r="I15" s="21">
        <f>SUM(C15:H15)+SUM('Stmt BH - Page 2'!C15:H15)</f>
        <v>8982347254.9090309</v>
      </c>
      <c r="J15" s="259" t="s">
        <v>141</v>
      </c>
      <c r="K15" s="154">
        <f t="shared" si="1"/>
        <v>5</v>
      </c>
    </row>
    <row r="16" spans="1:11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54">
        <f t="shared" si="1"/>
        <v>6</v>
      </c>
    </row>
    <row r="17" spans="1:11" ht="15.75">
      <c r="A17" s="153">
        <f t="shared" si="0"/>
        <v>7</v>
      </c>
      <c r="B17" s="193" t="s">
        <v>101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102320</v>
      </c>
      <c r="F17" s="21">
        <f>'WP 1.2 Forecast Sales - KWH'!L9*1000</f>
        <v>747300</v>
      </c>
      <c r="G17" s="21">
        <f>'WP 1.2 Forecast Sales - KWH'!M9*1000</f>
        <v>703620</v>
      </c>
      <c r="H17" s="21">
        <f>'WP 1.2 Forecast Sales - KWH'!N9*1000</f>
        <v>339300</v>
      </c>
      <c r="I17" s="21">
        <f>SUM(C17:H17)+SUM('Stmt BH - Page 2'!C17:H17)</f>
        <v>4208810</v>
      </c>
      <c r="J17" s="259" t="s">
        <v>142</v>
      </c>
      <c r="K17" s="154">
        <f t="shared" si="1"/>
        <v>7</v>
      </c>
    </row>
    <row r="18" spans="1:11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1">
        <f>SUM(C18:H18)+SUM('Stmt BH - Page 2'!C18:H18)</f>
        <v>0</v>
      </c>
      <c r="J18" s="259"/>
      <c r="K18" s="154">
        <f t="shared" si="1"/>
        <v>8</v>
      </c>
    </row>
    <row r="19" spans="1:11" ht="15.75">
      <c r="A19" s="153">
        <f t="shared" si="0"/>
        <v>9</v>
      </c>
      <c r="B19" s="193" t="s">
        <v>104</v>
      </c>
      <c r="C19" s="21">
        <f>'WP 1.2 Forecast Sales - KWH'!I10*1000</f>
        <v>17674212.425930995</v>
      </c>
      <c r="D19" s="21">
        <f>'WP 1.2 Forecast Sales - KWH'!J10*1000</f>
        <v>19350930.552889984</v>
      </c>
      <c r="E19" s="21">
        <f>'WP 1.2 Forecast Sales - KWH'!K10*1000</f>
        <v>18944800.132352281</v>
      </c>
      <c r="F19" s="21">
        <f>'WP 1.2 Forecast Sales - KWH'!L10*1000</f>
        <v>17483777.143699218</v>
      </c>
      <c r="G19" s="21">
        <f>'WP 1.2 Forecast Sales - KWH'!M10*1000</f>
        <v>14421116.292368243</v>
      </c>
      <c r="H19" s="21">
        <f>'WP 1.2 Forecast Sales - KWH'!N10*1000</f>
        <v>13285180.217291201</v>
      </c>
      <c r="I19" s="21">
        <f>SUM(C19:H19)+SUM('Stmt BH - Page 2'!C19:H19)</f>
        <v>164394714.88519129</v>
      </c>
      <c r="J19" s="259" t="s">
        <v>143</v>
      </c>
      <c r="K19" s="154">
        <f t="shared" si="1"/>
        <v>9</v>
      </c>
    </row>
    <row r="20" spans="1:11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1">
        <f>SUM(C20:H20)+SUM('Stmt BH - Page 2'!C20:H20)</f>
        <v>0</v>
      </c>
      <c r="J20" s="259"/>
      <c r="K20" s="154">
        <f t="shared" si="1"/>
        <v>10</v>
      </c>
    </row>
    <row r="21" spans="1:11" ht="15.75">
      <c r="A21" s="153">
        <f t="shared" si="0"/>
        <v>11</v>
      </c>
      <c r="B21" s="193" t="s">
        <v>107</v>
      </c>
      <c r="C21" s="21">
        <f>'WP 1.2 Forecast Sales - KWH'!I11*1000</f>
        <v>21824505.864378165</v>
      </c>
      <c r="D21" s="21">
        <f>'WP 1.2 Forecast Sales - KWH'!J11*1000</f>
        <v>21947825.423344754</v>
      </c>
      <c r="E21" s="21">
        <f>'WP 1.2 Forecast Sales - KWH'!K11*1000</f>
        <v>21857831.109899174</v>
      </c>
      <c r="F21" s="21">
        <f>'WP 1.2 Forecast Sales - KWH'!L11*1000</f>
        <v>21118824.263870798</v>
      </c>
      <c r="G21" s="21">
        <f>'WP 1.2 Forecast Sales - KWH'!M11*1000</f>
        <v>19755426.797113776</v>
      </c>
      <c r="H21" s="21">
        <f>'WP 1.2 Forecast Sales - KWH'!N11*1000</f>
        <v>18182715.474677801</v>
      </c>
      <c r="I21" s="21">
        <f>SUM(C21:H21)+SUM('Stmt BH - Page 2'!C21:H21)</f>
        <v>226880081.9751851</v>
      </c>
      <c r="J21" s="259" t="s">
        <v>144</v>
      </c>
      <c r="K21" s="154">
        <f t="shared" si="1"/>
        <v>11</v>
      </c>
    </row>
    <row r="22" spans="1:11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1">
        <f>SUM(C22:H22)+SUM('Stmt BH - Page 2'!C22:H22)</f>
        <v>0</v>
      </c>
      <c r="J22" s="259"/>
      <c r="K22" s="154">
        <f t="shared" si="1"/>
        <v>12</v>
      </c>
    </row>
    <row r="23" spans="1:11" ht="15.75">
      <c r="A23" s="153">
        <f t="shared" si="0"/>
        <v>13</v>
      </c>
      <c r="B23" s="11" t="s">
        <v>145</v>
      </c>
      <c r="C23" s="22">
        <f>'WP 1.2 Forecast Sales - KWH'!I12*1000</f>
        <v>6678722.3135911068</v>
      </c>
      <c r="D23" s="22">
        <f>'WP 1.2 Forecast Sales - KWH'!J12*1000</f>
        <v>6838779.9659992624</v>
      </c>
      <c r="E23" s="22">
        <f>'WP 1.2 Forecast Sales - KWH'!K12*1000</f>
        <v>6753591.5071859909</v>
      </c>
      <c r="F23" s="22">
        <f>'WP 1.2 Forecast Sales - KWH'!L12*1000</f>
        <v>6782648.6053437786</v>
      </c>
      <c r="G23" s="22">
        <f>'WP 1.2 Forecast Sales - KWH'!M12*1000</f>
        <v>7119936.6196114337</v>
      </c>
      <c r="H23" s="22">
        <f>'WP 1.2 Forecast Sales - KWH'!N12*1000</f>
        <v>7138909.4377961857</v>
      </c>
      <c r="I23" s="22">
        <f>SUM(C23:H23)+SUM('Stmt BH - Page 2'!C23:H23)</f>
        <v>82252759.895366594</v>
      </c>
      <c r="J23" s="259" t="s">
        <v>146</v>
      </c>
      <c r="K23" s="154">
        <f t="shared" si="1"/>
        <v>13</v>
      </c>
    </row>
    <row r="24" spans="1:11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21"/>
      <c r="K24" s="154">
        <f t="shared" si="1"/>
        <v>14</v>
      </c>
    </row>
    <row r="25" spans="1:11" ht="16.5" thickBot="1">
      <c r="A25" s="153">
        <f t="shared" si="0"/>
        <v>15</v>
      </c>
      <c r="B25" s="11" t="s">
        <v>127</v>
      </c>
      <c r="C25" s="345">
        <f>SUM(C11:C23)</f>
        <v>1509247339.5341465</v>
      </c>
      <c r="D25" s="345">
        <f t="shared" ref="D25:I25" si="2">SUM(D11:D23)</f>
        <v>1698738423.7439005</v>
      </c>
      <c r="E25" s="345">
        <f t="shared" si="2"/>
        <v>1817173542.4285495</v>
      </c>
      <c r="F25" s="345">
        <f t="shared" si="2"/>
        <v>1540383264.8470714</v>
      </c>
      <c r="G25" s="345">
        <f t="shared" si="2"/>
        <v>1383756021.3939502</v>
      </c>
      <c r="H25" s="345">
        <f t="shared" si="2"/>
        <v>1487355043.5362847</v>
      </c>
      <c r="I25" s="345">
        <f t="shared" si="2"/>
        <v>17431428835.748386</v>
      </c>
      <c r="J25" s="119" t="s">
        <v>147</v>
      </c>
      <c r="K25" s="154">
        <f t="shared" si="1"/>
        <v>15</v>
      </c>
    </row>
    <row r="26" spans="1:11" ht="17.2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160">
        <f t="shared" si="1"/>
        <v>16</v>
      </c>
    </row>
    <row r="27" spans="1:11" ht="15.7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6"/>
      <c r="K27" s="154">
        <f t="shared" si="1"/>
        <v>17</v>
      </c>
    </row>
    <row r="28" spans="1:11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160">
        <f t="shared" si="1"/>
        <v>18</v>
      </c>
    </row>
    <row r="29" spans="1:11" ht="15.75">
      <c r="A29" s="505">
        <f t="shared" si="0"/>
        <v>19</v>
      </c>
      <c r="B29" s="8"/>
      <c r="C29" s="9"/>
      <c r="D29" s="9"/>
      <c r="E29" s="9"/>
      <c r="F29" s="9"/>
      <c r="G29" s="9"/>
      <c r="H29" s="9"/>
      <c r="I29" s="9"/>
      <c r="J29" s="263" t="str">
        <f>'Stmt BH - Page 2'!I29</f>
        <v>Statement BL-Retail; Page 1; Line 21</v>
      </c>
      <c r="K29" s="506">
        <f t="shared" si="1"/>
        <v>19</v>
      </c>
    </row>
    <row r="30" spans="1:11" ht="15.75">
      <c r="A30" s="153">
        <f t="shared" si="0"/>
        <v>20</v>
      </c>
      <c r="B30" s="11" t="s">
        <v>176</v>
      </c>
      <c r="C30" s="65">
        <f>'Stmt BH - Page 2'!C30</f>
        <v>-2.0230000000000001E-2</v>
      </c>
      <c r="D30" s="65">
        <f>$C$30</f>
        <v>-2.0230000000000001E-2</v>
      </c>
      <c r="E30" s="65">
        <f t="shared" ref="E30:H30" si="3">$C$30</f>
        <v>-2.0230000000000001E-2</v>
      </c>
      <c r="F30" s="65">
        <f t="shared" si="3"/>
        <v>-2.0230000000000001E-2</v>
      </c>
      <c r="G30" s="65">
        <f t="shared" si="3"/>
        <v>-2.0230000000000001E-2</v>
      </c>
      <c r="H30" s="65">
        <f t="shared" si="3"/>
        <v>-2.0230000000000001E-2</v>
      </c>
      <c r="I30" s="21"/>
      <c r="J30" s="263" t="str">
        <f>'Stmt BH - Page 2'!I30</f>
        <v>FERC Docket No. ER25-405-000</v>
      </c>
      <c r="K30" s="154">
        <f t="shared" si="1"/>
        <v>20</v>
      </c>
    </row>
    <row r="31" spans="1:11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8"/>
      <c r="K31" s="160">
        <f t="shared" si="1"/>
        <v>21</v>
      </c>
    </row>
    <row r="32" spans="1:11" ht="15.75">
      <c r="A32" s="153">
        <f t="shared" si="0"/>
        <v>22</v>
      </c>
      <c r="B32" s="11"/>
      <c r="C32" s="269"/>
      <c r="D32" s="269"/>
      <c r="E32" s="269"/>
      <c r="F32" s="269"/>
      <c r="G32" s="269"/>
      <c r="H32" s="269"/>
      <c r="I32" s="21"/>
      <c r="J32" s="16"/>
      <c r="K32" s="154">
        <f t="shared" si="1"/>
        <v>22</v>
      </c>
    </row>
    <row r="33" spans="1:11" ht="32.25" thickBot="1">
      <c r="A33" s="159">
        <f t="shared" si="0"/>
        <v>23</v>
      </c>
      <c r="B33" s="307"/>
      <c r="C33" s="264" t="s">
        <v>177</v>
      </c>
      <c r="D33" s="264" t="s">
        <v>177</v>
      </c>
      <c r="E33" s="264" t="s">
        <v>177</v>
      </c>
      <c r="F33" s="264" t="s">
        <v>177</v>
      </c>
      <c r="G33" s="264" t="s">
        <v>177</v>
      </c>
      <c r="H33" s="264" t="s">
        <v>177</v>
      </c>
      <c r="I33" s="270" t="s">
        <v>177</v>
      </c>
      <c r="J33" s="258"/>
      <c r="K33" s="160">
        <f t="shared" si="1"/>
        <v>23</v>
      </c>
    </row>
    <row r="34" spans="1:11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54">
        <f t="shared" si="1"/>
        <v>24</v>
      </c>
    </row>
    <row r="35" spans="1:11" ht="15.75">
      <c r="A35" s="153">
        <f t="shared" si="0"/>
        <v>25</v>
      </c>
      <c r="B35" s="11" t="s">
        <v>137</v>
      </c>
      <c r="C35" s="88">
        <f>C11*C$30</f>
        <v>-8886162.4902198948</v>
      </c>
      <c r="D35" s="88">
        <f t="shared" ref="D35:H35" si="4">D11*D$30</f>
        <v>-11882869.153585212</v>
      </c>
      <c r="E35" s="88">
        <f t="shared" si="4"/>
        <v>-13416134.652908003</v>
      </c>
      <c r="F35" s="88">
        <f t="shared" si="4"/>
        <v>-9839175.3509246074</v>
      </c>
      <c r="G35" s="88">
        <f t="shared" si="4"/>
        <v>-8462959.6795078274</v>
      </c>
      <c r="H35" s="88">
        <f t="shared" si="4"/>
        <v>-9921907.071114609</v>
      </c>
      <c r="I35" s="88">
        <f>SUM('Stmt BH - Page 2'!C35:H35)+SUM('Stmt BH - Page 3'!C35:H35)</f>
        <v>-111856621.43486583</v>
      </c>
      <c r="J35" s="244" t="s">
        <v>152</v>
      </c>
      <c r="K35" s="154">
        <f t="shared" si="1"/>
        <v>25</v>
      </c>
    </row>
    <row r="36" spans="1:11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54">
        <f t="shared" si="1"/>
        <v>26</v>
      </c>
    </row>
    <row r="37" spans="1:11" ht="15.75">
      <c r="A37" s="153">
        <f t="shared" si="0"/>
        <v>27</v>
      </c>
      <c r="B37" s="11" t="s">
        <v>95</v>
      </c>
      <c r="C37" s="27">
        <f>C13*C$30</f>
        <v>-4396455.8071015552</v>
      </c>
      <c r="D37" s="27">
        <f t="shared" ref="D37:H37" si="5">D13*D$30</f>
        <v>-4637603.6802323963</v>
      </c>
      <c r="E37" s="27">
        <f t="shared" si="5"/>
        <v>-4841402.4464819226</v>
      </c>
      <c r="F37" s="27">
        <f t="shared" si="5"/>
        <v>-4275581.7084818035</v>
      </c>
      <c r="G37" s="27">
        <f t="shared" si="5"/>
        <v>-3951233.8001794242</v>
      </c>
      <c r="H37" s="27">
        <f t="shared" si="5"/>
        <v>-3929556.0778150102</v>
      </c>
      <c r="I37" s="27">
        <f>SUM('Stmt BH - Page 2'!C37:H37)+SUM('Stmt BH - Page 3'!C37:H37)</f>
        <v>-49403692.246045701</v>
      </c>
      <c r="J37" s="244" t="s">
        <v>153</v>
      </c>
      <c r="K37" s="154">
        <f t="shared" si="1"/>
        <v>27</v>
      </c>
    </row>
    <row r="38" spans="1:11" ht="15.7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7"/>
      <c r="J38" s="244"/>
      <c r="K38" s="154">
        <f t="shared" si="1"/>
        <v>28</v>
      </c>
    </row>
    <row r="39" spans="1:11" ht="15.75">
      <c r="A39" s="153">
        <f t="shared" si="0"/>
        <v>29</v>
      </c>
      <c r="B39" s="11" t="s">
        <v>140</v>
      </c>
      <c r="C39" s="27">
        <f>C15*C$30</f>
        <v>-16315285.758037437</v>
      </c>
      <c r="D39" s="27">
        <f t="shared" ref="D39:H41" si="6">D15*D$30</f>
        <v>-16871183.126410101</v>
      </c>
      <c r="E39" s="27">
        <f t="shared" si="6"/>
        <v>-17539751.344118509</v>
      </c>
      <c r="F39" s="27">
        <f t="shared" si="6"/>
        <v>-16113934.901688602</v>
      </c>
      <c r="G39" s="27">
        <f t="shared" si="6"/>
        <v>-14729528.815997399</v>
      </c>
      <c r="H39" s="27">
        <f t="shared" si="6"/>
        <v>-15449849.675034277</v>
      </c>
      <c r="I39" s="27">
        <f>SUM('Stmt BH - Page 2'!C39:H39)+SUM('Stmt BH - Page 3'!C39:H39)</f>
        <v>-181712884.96680969</v>
      </c>
      <c r="J39" s="244" t="s">
        <v>154</v>
      </c>
      <c r="K39" s="154">
        <f t="shared" si="1"/>
        <v>29</v>
      </c>
    </row>
    <row r="40" spans="1:11" ht="15.7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7"/>
      <c r="J40" s="244"/>
      <c r="K40" s="154">
        <f t="shared" si="1"/>
        <v>30</v>
      </c>
    </row>
    <row r="41" spans="1:11" ht="15.75">
      <c r="A41" s="153">
        <f t="shared" si="0"/>
        <v>31</v>
      </c>
      <c r="B41" s="193" t="s">
        <v>101</v>
      </c>
      <c r="C41" s="27">
        <f>C17*C$30</f>
        <v>0</v>
      </c>
      <c r="D41" s="27">
        <f t="shared" si="6"/>
        <v>0</v>
      </c>
      <c r="E41" s="27">
        <f t="shared" si="6"/>
        <v>-2069.9336000000003</v>
      </c>
      <c r="F41" s="27">
        <f t="shared" si="6"/>
        <v>-15117.879000000001</v>
      </c>
      <c r="G41" s="27">
        <f t="shared" si="6"/>
        <v>-14234.232600000001</v>
      </c>
      <c r="H41" s="27">
        <f t="shared" si="6"/>
        <v>-6864.0390000000007</v>
      </c>
      <c r="I41" s="27">
        <f>SUM('Stmt BH - Page 2'!C41:H41)+SUM('Stmt BH - Page 3'!C41:H41)</f>
        <v>-85144.226300000009</v>
      </c>
      <c r="J41" s="244" t="s">
        <v>155</v>
      </c>
      <c r="K41" s="154">
        <f t="shared" si="1"/>
        <v>31</v>
      </c>
    </row>
    <row r="42" spans="1:11" ht="15.7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7"/>
      <c r="J42" s="244"/>
      <c r="K42" s="154">
        <f t="shared" si="1"/>
        <v>32</v>
      </c>
    </row>
    <row r="43" spans="1:11" ht="15.75">
      <c r="A43" s="153">
        <f t="shared" si="0"/>
        <v>33</v>
      </c>
      <c r="B43" s="193" t="s">
        <v>104</v>
      </c>
      <c r="C43" s="27">
        <f>C19*C$30</f>
        <v>-357549.31737658405</v>
      </c>
      <c r="D43" s="27">
        <f t="shared" ref="D43:H43" si="7">D19*D$30</f>
        <v>-391469.3250849644</v>
      </c>
      <c r="E43" s="27">
        <f t="shared" si="7"/>
        <v>-383253.30667748669</v>
      </c>
      <c r="F43" s="27">
        <f t="shared" si="7"/>
        <v>-353696.81161703519</v>
      </c>
      <c r="G43" s="27">
        <f t="shared" si="7"/>
        <v>-291739.18259460956</v>
      </c>
      <c r="H43" s="27">
        <f t="shared" si="7"/>
        <v>-268759.195795801</v>
      </c>
      <c r="I43" s="27">
        <f>SUM('Stmt BH - Page 2'!C43:H43)+SUM('Stmt BH - Page 3'!C43:H43)</f>
        <v>-3325705.0821274193</v>
      </c>
      <c r="J43" s="244" t="s">
        <v>156</v>
      </c>
      <c r="K43" s="154">
        <f t="shared" si="1"/>
        <v>33</v>
      </c>
    </row>
    <row r="44" spans="1:11" ht="15.7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7"/>
      <c r="J44" s="244"/>
      <c r="K44" s="154">
        <f t="shared" si="1"/>
        <v>34</v>
      </c>
    </row>
    <row r="45" spans="1:11" ht="15.75">
      <c r="A45" s="153">
        <f t="shared" si="0"/>
        <v>35</v>
      </c>
      <c r="B45" s="193" t="s">
        <v>107</v>
      </c>
      <c r="C45" s="27">
        <f>C21*C$30</f>
        <v>-441509.7536363703</v>
      </c>
      <c r="D45" s="27">
        <f t="shared" ref="D45:H45" si="8">D21*D$30</f>
        <v>-444004.50831426441</v>
      </c>
      <c r="E45" s="27">
        <f t="shared" si="8"/>
        <v>-442183.92335326032</v>
      </c>
      <c r="F45" s="27">
        <f t="shared" si="8"/>
        <v>-427233.81485810626</v>
      </c>
      <c r="G45" s="27">
        <f t="shared" si="8"/>
        <v>-399652.28410561173</v>
      </c>
      <c r="H45" s="27">
        <f t="shared" si="8"/>
        <v>-367836.33405273192</v>
      </c>
      <c r="I45" s="27">
        <f>SUM('Stmt BH - Page 2'!C45:H45)+SUM('Stmt BH - Page 3'!C45:H45)</f>
        <v>-4589784.058357995</v>
      </c>
      <c r="J45" s="244" t="s">
        <v>157</v>
      </c>
      <c r="K45" s="154">
        <f t="shared" si="1"/>
        <v>35</v>
      </c>
    </row>
    <row r="46" spans="1:11" ht="15.7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7"/>
      <c r="J46" s="244"/>
      <c r="K46" s="154">
        <f t="shared" si="1"/>
        <v>36</v>
      </c>
    </row>
    <row r="47" spans="1:11" ht="15.75">
      <c r="A47" s="153">
        <f t="shared" si="0"/>
        <v>37</v>
      </c>
      <c r="B47" s="11" t="s">
        <v>145</v>
      </c>
      <c r="C47" s="27">
        <f>C23*C$30</f>
        <v>-135110.5524039481</v>
      </c>
      <c r="D47" s="27">
        <f t="shared" ref="D47:H47" si="9">D23*D$30</f>
        <v>-138348.5187121651</v>
      </c>
      <c r="E47" s="27">
        <f t="shared" si="9"/>
        <v>-136625.1561903726</v>
      </c>
      <c r="F47" s="27">
        <f t="shared" si="9"/>
        <v>-137212.98128610465</v>
      </c>
      <c r="G47" s="27">
        <f t="shared" si="9"/>
        <v>-144036.3178147393</v>
      </c>
      <c r="H47" s="27">
        <f t="shared" si="9"/>
        <v>-144420.13792661685</v>
      </c>
      <c r="I47" s="27">
        <f>SUM('Stmt BH - Page 2'!C47:H47)+SUM('Stmt BH - Page 3'!C47:H47)</f>
        <v>-1663973.3326832661</v>
      </c>
      <c r="J47" s="244" t="s">
        <v>158</v>
      </c>
      <c r="K47" s="154">
        <f t="shared" si="1"/>
        <v>37</v>
      </c>
    </row>
    <row r="48" spans="1:11" ht="15.7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54">
        <f t="shared" si="1"/>
        <v>38</v>
      </c>
    </row>
    <row r="49" spans="1:11" ht="16.5" thickBot="1">
      <c r="A49" s="153">
        <f t="shared" si="0"/>
        <v>39</v>
      </c>
      <c r="B49" s="11" t="s">
        <v>127</v>
      </c>
      <c r="C49" s="254">
        <f>SUM(C35:C47)</f>
        <v>-30532073.678775791</v>
      </c>
      <c r="D49" s="254">
        <f>SUM(D35:D47)</f>
        <v>-34365478.312339105</v>
      </c>
      <c r="E49" s="254">
        <f>SUM(E35:E47)</f>
        <v>-36761420.763329551</v>
      </c>
      <c r="F49" s="254">
        <f>SUM(F35:F47)</f>
        <v>-31161953.447856259</v>
      </c>
      <c r="G49" s="254">
        <f t="shared" ref="G49:I49" si="10">SUM(G35:G47)</f>
        <v>-27993384.312799606</v>
      </c>
      <c r="H49" s="254">
        <f t="shared" si="10"/>
        <v>-30089192.530739043</v>
      </c>
      <c r="I49" s="254">
        <f t="shared" si="10"/>
        <v>-352637805.3471899</v>
      </c>
      <c r="J49" s="265" t="s">
        <v>159</v>
      </c>
      <c r="K49" s="154">
        <f t="shared" si="1"/>
        <v>39</v>
      </c>
    </row>
    <row r="50" spans="1:11" ht="17.2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62"/>
      <c r="K50" s="160"/>
    </row>
    <row r="51" spans="1:11" ht="15.7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75">
      <c r="A52" s="35"/>
      <c r="B52" s="20"/>
      <c r="C52" s="257"/>
      <c r="D52" s="20"/>
      <c r="E52" s="20"/>
      <c r="F52" s="20"/>
      <c r="G52" s="20"/>
      <c r="H52" s="20"/>
      <c r="I52" s="20"/>
      <c r="J52" s="20"/>
      <c r="K52" s="20"/>
    </row>
    <row r="53" spans="1:11" ht="15.75">
      <c r="A53" s="250"/>
      <c r="B53" s="20"/>
      <c r="C53" s="231"/>
      <c r="D53" s="20"/>
      <c r="E53" s="20"/>
      <c r="F53" s="20"/>
      <c r="G53" s="20"/>
      <c r="H53" s="20"/>
      <c r="I53" s="20"/>
      <c r="J53" s="20"/>
      <c r="K53" s="20"/>
    </row>
    <row r="54" spans="1:11" ht="15.75">
      <c r="A54" s="250"/>
      <c r="B54" s="20"/>
      <c r="C54" s="241"/>
      <c r="D54" s="20"/>
      <c r="E54" s="20"/>
      <c r="F54" s="20"/>
      <c r="G54" s="20"/>
      <c r="H54" s="20"/>
      <c r="I54" s="20"/>
      <c r="J54" s="20"/>
      <c r="K54" s="20"/>
    </row>
    <row r="55" spans="1:11" ht="15.75">
      <c r="A55" s="250"/>
      <c r="B55" s="231"/>
      <c r="C55" s="231"/>
      <c r="D55" s="20"/>
      <c r="E55" s="20"/>
      <c r="F55" s="20"/>
      <c r="G55" s="20"/>
      <c r="H55" s="20"/>
      <c r="I55" s="20"/>
      <c r="J55" s="20"/>
      <c r="K55" s="20"/>
    </row>
    <row r="56" spans="1:11" ht="15.7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7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7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7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7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7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7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7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7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7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7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7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7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7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7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7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7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7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7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7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7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7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7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7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7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7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7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7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7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7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7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7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7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7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7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7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7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7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7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7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7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7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7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7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7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7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7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7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7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7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7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7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7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7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7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7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7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7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7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7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.25" right="0.25" top="0.5" bottom="0.5" header="0.25" footer="0.25"/>
  <pageSetup scale="65" orientation="landscape" r:id="rId1"/>
  <headerFooter alignWithMargins="0">
    <oddFooter>&amp;L&amp;"Times New Roman,Regular"&amp;12&amp;F&amp;C&amp;"Times New Roman,Regular"&amp;12Page 3 of 3&amp;R&amp;"Times New Roman,Regular"&amp;12&amp;A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Normal="100" workbookViewId="0">
      <selection activeCell="D31" sqref="D31"/>
    </sheetView>
  </sheetViews>
  <sheetFormatPr defaultColWidth="8.5703125" defaultRowHeight="12.75"/>
  <cols>
    <col min="1" max="1" width="5.5703125" style="1" customWidth="1"/>
    <col min="2" max="2" width="55.5703125" style="2" customWidth="1"/>
    <col min="3" max="3" width="20.5703125" style="1" customWidth="1"/>
    <col min="4" max="4" width="44.5703125" style="1" customWidth="1"/>
    <col min="5" max="5" width="5.5703125" style="1" customWidth="1"/>
    <col min="6" max="7" width="15.5703125" style="1" customWidth="1"/>
    <col min="8" max="16384" width="8.5703125" style="1"/>
  </cols>
  <sheetData>
    <row r="2" spans="1:7" ht="15.75">
      <c r="B2" s="5" t="s">
        <v>178</v>
      </c>
      <c r="C2" s="6"/>
      <c r="D2" s="6"/>
    </row>
    <row r="3" spans="1:7" ht="15.75">
      <c r="B3" s="5" t="s">
        <v>1</v>
      </c>
      <c r="C3" s="6"/>
      <c r="D3" s="6"/>
    </row>
    <row r="4" spans="1:7" ht="15.75">
      <c r="B4" s="5" t="str">
        <f>'Stmt BD - Recorded KWH'!A4</f>
        <v>2026 - TACBAA Rate Filing</v>
      </c>
      <c r="C4" s="6"/>
      <c r="D4" s="6"/>
    </row>
    <row r="5" spans="1:7" ht="15.75">
      <c r="B5" s="5" t="s">
        <v>179</v>
      </c>
      <c r="C5" s="6"/>
      <c r="D5" s="6"/>
    </row>
    <row r="6" spans="1:7" ht="16.5" thickBot="1">
      <c r="B6" s="5"/>
      <c r="C6" s="6"/>
      <c r="D6" s="6"/>
    </row>
    <row r="7" spans="1:7" ht="15.75">
      <c r="A7" s="485" t="s">
        <v>8</v>
      </c>
      <c r="B7" s="509"/>
      <c r="C7" s="478" t="s">
        <v>18</v>
      </c>
      <c r="D7" s="509"/>
      <c r="E7" s="486" t="s">
        <v>8</v>
      </c>
    </row>
    <row r="8" spans="1:7" ht="15.75">
      <c r="A8" s="481" t="s">
        <v>11</v>
      </c>
      <c r="B8" s="508" t="s">
        <v>180</v>
      </c>
      <c r="C8" s="84" t="s">
        <v>181</v>
      </c>
      <c r="D8" s="508" t="s">
        <v>16</v>
      </c>
      <c r="E8" s="482" t="s">
        <v>11</v>
      </c>
    </row>
    <row r="9" spans="1:7" ht="15.75">
      <c r="A9" s="510"/>
      <c r="B9" s="238"/>
      <c r="C9" s="7"/>
      <c r="D9" s="7"/>
      <c r="E9" s="511"/>
    </row>
    <row r="10" spans="1:7" ht="15.75">
      <c r="A10" s="153">
        <v>1</v>
      </c>
      <c r="B10" s="339" t="s">
        <v>411</v>
      </c>
      <c r="C10" s="17">
        <f>'WP 2.1 Monthly TACBAA Balance'!O34</f>
        <v>84629993.39579758</v>
      </c>
      <c r="D10" s="23" t="s">
        <v>182</v>
      </c>
      <c r="E10" s="154">
        <v>1</v>
      </c>
    </row>
    <row r="11" spans="1:7" ht="15.75">
      <c r="A11" s="153">
        <f>A10+1</f>
        <v>2</v>
      </c>
      <c r="B11" s="339"/>
      <c r="C11" s="17"/>
      <c r="D11" s="23"/>
      <c r="E11" s="154">
        <f>E10+1</f>
        <v>2</v>
      </c>
    </row>
    <row r="12" spans="1:7" ht="15.75">
      <c r="A12" s="153">
        <f t="shared" ref="A12:A22" si="0">A11+1</f>
        <v>3</v>
      </c>
      <c r="B12" s="339" t="s">
        <v>412</v>
      </c>
      <c r="C12" s="22">
        <f>'WP 3.1 Nov &amp; Dec 25 Forecast'!E37</f>
        <v>18139162.348863482</v>
      </c>
      <c r="D12" s="23" t="s">
        <v>183</v>
      </c>
      <c r="E12" s="154">
        <f t="shared" ref="E12:E26" si="1">E11+1</f>
        <v>3</v>
      </c>
      <c r="F12" s="235"/>
      <c r="G12" s="235"/>
    </row>
    <row r="13" spans="1:7" ht="15.7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75">
      <c r="A14" s="153">
        <f t="shared" si="0"/>
        <v>5</v>
      </c>
      <c r="B14" s="339" t="s">
        <v>413</v>
      </c>
      <c r="C14" s="27">
        <f>SUM(C10:C12)</f>
        <v>102769155.74466106</v>
      </c>
      <c r="D14" s="23" t="s">
        <v>184</v>
      </c>
      <c r="E14" s="154">
        <f t="shared" si="1"/>
        <v>5</v>
      </c>
      <c r="F14" s="235"/>
      <c r="G14" s="235"/>
    </row>
    <row r="15" spans="1:7" ht="15.7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75">
      <c r="A16" s="153">
        <f t="shared" si="0"/>
        <v>7</v>
      </c>
      <c r="B16" s="339" t="s">
        <v>185</v>
      </c>
      <c r="C16" s="87">
        <f>'WP 4.1 CAISO TAC Calculation'!H11</f>
        <v>-266039132.80526364</v>
      </c>
      <c r="D16" s="23" t="s">
        <v>186</v>
      </c>
      <c r="E16" s="154">
        <f t="shared" si="1"/>
        <v>7</v>
      </c>
    </row>
    <row r="17" spans="1:7" ht="15.7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7" ht="15.75">
      <c r="A18" s="153">
        <f t="shared" si="0"/>
        <v>9</v>
      </c>
      <c r="B18" s="339" t="s">
        <v>187</v>
      </c>
      <c r="C18" s="22">
        <f>SUM(C14:C16)</f>
        <v>-163269977.06060258</v>
      </c>
      <c r="D18" s="23" t="s">
        <v>188</v>
      </c>
      <c r="E18" s="154">
        <f t="shared" si="1"/>
        <v>9</v>
      </c>
    </row>
    <row r="19" spans="1:7" ht="15.75">
      <c r="A19" s="153">
        <f t="shared" si="0"/>
        <v>10</v>
      </c>
      <c r="B19" s="339"/>
      <c r="C19" s="17"/>
      <c r="D19" s="23"/>
      <c r="E19" s="154">
        <f t="shared" si="1"/>
        <v>10</v>
      </c>
      <c r="G19" s="361"/>
    </row>
    <row r="20" spans="1:7" ht="15.75">
      <c r="A20" s="153">
        <f t="shared" si="0"/>
        <v>11</v>
      </c>
      <c r="B20" s="339" t="s">
        <v>347</v>
      </c>
      <c r="C20" s="21">
        <f>ROUND(C18*0.010207,0)</f>
        <v>-1666497</v>
      </c>
      <c r="D20" s="23" t="s">
        <v>348</v>
      </c>
      <c r="E20" s="154">
        <f t="shared" si="1"/>
        <v>11</v>
      </c>
    </row>
    <row r="21" spans="1:7" ht="15.75">
      <c r="A21" s="153">
        <f t="shared" si="0"/>
        <v>12</v>
      </c>
      <c r="B21" s="339"/>
      <c r="C21" s="21"/>
      <c r="D21" s="23"/>
      <c r="E21" s="154">
        <f t="shared" si="1"/>
        <v>12</v>
      </c>
    </row>
    <row r="22" spans="1:7" ht="15.75">
      <c r="A22" s="153">
        <f t="shared" si="0"/>
        <v>13</v>
      </c>
      <c r="B22" s="339" t="s">
        <v>414</v>
      </c>
      <c r="C22" s="22">
        <f>ROUND(C18*0.00551,0)</f>
        <v>-899618</v>
      </c>
      <c r="D22" s="23" t="s">
        <v>415</v>
      </c>
      <c r="E22" s="154">
        <f t="shared" si="1"/>
        <v>13</v>
      </c>
    </row>
    <row r="23" spans="1:7" ht="15.75">
      <c r="A23" s="153">
        <f>A22+1</f>
        <v>14</v>
      </c>
      <c r="B23" s="20"/>
      <c r="C23" s="15"/>
      <c r="D23" s="10"/>
      <c r="E23" s="154">
        <f t="shared" si="1"/>
        <v>14</v>
      </c>
    </row>
    <row r="24" spans="1:7" ht="15.75">
      <c r="A24" s="153">
        <f t="shared" ref="A24:A26" si="2">A23+1</f>
        <v>15</v>
      </c>
      <c r="B24" s="238" t="s">
        <v>189</v>
      </c>
      <c r="C24" s="22">
        <f>SUM(C20:C22)</f>
        <v>-2566115</v>
      </c>
      <c r="D24" s="352" t="s">
        <v>190</v>
      </c>
      <c r="E24" s="154">
        <f t="shared" si="1"/>
        <v>15</v>
      </c>
    </row>
    <row r="25" spans="1:7" ht="15.75">
      <c r="A25" s="153">
        <f t="shared" si="2"/>
        <v>16</v>
      </c>
      <c r="B25" s="20"/>
      <c r="C25" s="15"/>
      <c r="D25" s="10"/>
      <c r="E25" s="154">
        <f t="shared" si="1"/>
        <v>16</v>
      </c>
    </row>
    <row r="26" spans="1:7" ht="16.5" thickBot="1">
      <c r="A26" s="153">
        <f t="shared" si="2"/>
        <v>17</v>
      </c>
      <c r="B26" s="238" t="s">
        <v>191</v>
      </c>
      <c r="C26" s="623">
        <f>C18+C24</f>
        <v>-165836092.06060258</v>
      </c>
      <c r="D26" s="352" t="s">
        <v>192</v>
      </c>
      <c r="E26" s="154">
        <f t="shared" si="1"/>
        <v>17</v>
      </c>
    </row>
    <row r="27" spans="1:7" ht="17.25" thickTop="1" thickBot="1">
      <c r="A27" s="512"/>
      <c r="B27" s="110"/>
      <c r="C27" s="473"/>
      <c r="D27" s="229"/>
      <c r="E27" s="230"/>
    </row>
    <row r="28" spans="1:7" ht="15.75">
      <c r="A28" s="20"/>
      <c r="B28" s="20"/>
      <c r="C28" s="20"/>
      <c r="D28" s="20"/>
      <c r="E28" s="20"/>
    </row>
    <row r="29" spans="1:7" ht="15.75">
      <c r="A29"/>
      <c r="B29" s="20"/>
    </row>
    <row r="30" spans="1:7" ht="18.75">
      <c r="A30" s="35"/>
      <c r="B30" s="20"/>
      <c r="C30" s="361"/>
    </row>
    <row r="31" spans="1:7" ht="18.75">
      <c r="A31" s="35"/>
      <c r="B31" s="20"/>
    </row>
    <row r="32" spans="1:7" ht="15.75">
      <c r="A32"/>
      <c r="B32" s="20"/>
    </row>
    <row r="33" spans="1:2" ht="15.75">
      <c r="A33"/>
      <c r="B33" s="20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zoomScaleNormal="100" workbookViewId="0">
      <selection activeCell="C10" sqref="C10"/>
    </sheetView>
  </sheetViews>
  <sheetFormatPr defaultColWidth="8.5703125" defaultRowHeight="12.75"/>
  <cols>
    <col min="1" max="1" width="5.5703125" style="1" customWidth="1"/>
    <col min="2" max="2" width="55.5703125" style="2" customWidth="1"/>
    <col min="3" max="3" width="20.5703125" style="1" customWidth="1"/>
    <col min="4" max="4" width="44.5703125" style="1" customWidth="1"/>
    <col min="5" max="5" width="5.5703125" style="1" customWidth="1"/>
    <col min="6" max="7" width="15.5703125" style="1" customWidth="1"/>
    <col min="8" max="16384" width="8.5703125" style="1"/>
  </cols>
  <sheetData>
    <row r="2" spans="1:7" ht="15.75">
      <c r="B2" s="5" t="s">
        <v>193</v>
      </c>
      <c r="C2" s="6"/>
      <c r="D2" s="6"/>
    </row>
    <row r="3" spans="1:7" ht="15.75">
      <c r="B3" s="5" t="s">
        <v>1</v>
      </c>
      <c r="C3" s="6"/>
      <c r="D3" s="6"/>
    </row>
    <row r="4" spans="1:7" ht="15.75">
      <c r="B4" s="5" t="str">
        <f>'Stmt BD - Recorded KWH'!A4</f>
        <v>2026 - TACBAA Rate Filing</v>
      </c>
      <c r="C4" s="6"/>
      <c r="D4" s="6"/>
    </row>
    <row r="5" spans="1:7" ht="15.75">
      <c r="B5" s="5" t="s">
        <v>194</v>
      </c>
      <c r="C5" s="6"/>
      <c r="D5" s="6"/>
    </row>
    <row r="6" spans="1:7" ht="16.5" thickBot="1">
      <c r="B6" s="5"/>
      <c r="C6" s="6"/>
      <c r="D6" s="6"/>
    </row>
    <row r="7" spans="1:7" ht="15.75">
      <c r="A7" s="485" t="s">
        <v>8</v>
      </c>
      <c r="B7" s="509"/>
      <c r="C7" s="478" t="s">
        <v>18</v>
      </c>
      <c r="D7" s="509"/>
      <c r="E7" s="486" t="s">
        <v>8</v>
      </c>
    </row>
    <row r="8" spans="1:7" ht="16.5" thickBot="1">
      <c r="A8" s="472" t="s">
        <v>11</v>
      </c>
      <c r="B8" s="513" t="s">
        <v>180</v>
      </c>
      <c r="C8" s="473" t="s">
        <v>181</v>
      </c>
      <c r="D8" s="513" t="s">
        <v>16</v>
      </c>
      <c r="E8" s="475" t="s">
        <v>11</v>
      </c>
    </row>
    <row r="9" spans="1:7" ht="15.75">
      <c r="A9" s="155"/>
      <c r="B9" s="238"/>
      <c r="C9" s="16"/>
      <c r="D9" s="16"/>
      <c r="E9" s="156"/>
    </row>
    <row r="10" spans="1:7" ht="15.75">
      <c r="A10" s="153">
        <v>1</v>
      </c>
      <c r="B10" s="339" t="str">
        <f>'Stmt BK - Retail'!B10</f>
        <v>Recorded TACBAA Balance @ October 31, 2025</v>
      </c>
      <c r="C10" s="17">
        <f>'WP 2.1 Monthly TACBAA Balance'!O34</f>
        <v>84629993.39579758</v>
      </c>
      <c r="D10" s="23" t="s">
        <v>182</v>
      </c>
      <c r="E10" s="154">
        <v>1</v>
      </c>
    </row>
    <row r="11" spans="1:7" ht="15.75">
      <c r="A11" s="153">
        <f>A10+1</f>
        <v>2</v>
      </c>
      <c r="B11" s="339"/>
      <c r="C11" s="17"/>
      <c r="D11" s="23"/>
      <c r="E11" s="154">
        <f>E10+1</f>
        <v>2</v>
      </c>
    </row>
    <row r="12" spans="1:7" ht="15.75">
      <c r="A12" s="153">
        <f t="shared" ref="A12:A17" si="0">A11+1</f>
        <v>3</v>
      </c>
      <c r="B12" s="339" t="str">
        <f>'Stmt BK - Retail'!B12</f>
        <v>TACBAA Forecast (Nov and Dec 2025)</v>
      </c>
      <c r="C12" s="22">
        <f>'WP 3.1 Nov &amp; Dec 25 Forecast'!E37</f>
        <v>18139162.348863482</v>
      </c>
      <c r="D12" s="23" t="s">
        <v>183</v>
      </c>
      <c r="E12" s="154">
        <f t="shared" ref="E12:E17" si="1">E11+1</f>
        <v>3</v>
      </c>
      <c r="F12" s="235"/>
      <c r="G12" s="235"/>
    </row>
    <row r="13" spans="1:7" ht="15.7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75">
      <c r="A14" s="153">
        <f t="shared" si="0"/>
        <v>5</v>
      </c>
      <c r="B14" s="339" t="str">
        <f>'Stmt BK - Retail'!B14</f>
        <v>TACBAA Projected Balance @ December 31, 2025</v>
      </c>
      <c r="C14" s="27">
        <f>SUM(C10,C12)</f>
        <v>102769155.74466106</v>
      </c>
      <c r="D14" s="23" t="s">
        <v>184</v>
      </c>
      <c r="E14" s="154">
        <f t="shared" si="1"/>
        <v>5</v>
      </c>
      <c r="F14" s="235"/>
      <c r="G14" s="235"/>
    </row>
    <row r="15" spans="1:7" ht="15.7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75">
      <c r="A16" s="153">
        <f t="shared" si="0"/>
        <v>7</v>
      </c>
      <c r="B16" s="339" t="s">
        <v>185</v>
      </c>
      <c r="C16" s="87">
        <f>'WP 4.1 CAISO TAC Calculation'!H11</f>
        <v>-266039132.80526364</v>
      </c>
      <c r="D16" s="23" t="s">
        <v>186</v>
      </c>
      <c r="E16" s="154">
        <f t="shared" si="1"/>
        <v>7</v>
      </c>
    </row>
    <row r="17" spans="1:5" ht="15.7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5" ht="15.75">
      <c r="A18" s="153">
        <f t="shared" ref="A18" si="2">A17+1</f>
        <v>9</v>
      </c>
      <c r="B18" s="339" t="s">
        <v>187</v>
      </c>
      <c r="C18" s="22">
        <f>C14+C16</f>
        <v>-163269977.06060258</v>
      </c>
      <c r="D18" s="23" t="s">
        <v>188</v>
      </c>
      <c r="E18" s="154">
        <f t="shared" ref="E18:E19" si="3">E17+1</f>
        <v>9</v>
      </c>
    </row>
    <row r="19" spans="1:5" ht="15.75">
      <c r="A19" s="153">
        <f t="shared" ref="A19:A30" si="4">A18+1</f>
        <v>10</v>
      </c>
      <c r="B19" s="339"/>
      <c r="C19" s="17"/>
      <c r="D19" s="23"/>
      <c r="E19" s="154">
        <f t="shared" si="3"/>
        <v>10</v>
      </c>
    </row>
    <row r="20" spans="1:5" ht="15.75">
      <c r="A20" s="153">
        <f t="shared" si="4"/>
        <v>11</v>
      </c>
      <c r="B20" s="339" t="s">
        <v>347</v>
      </c>
      <c r="C20" s="21">
        <f>ROUND(C18*0.010207,0)</f>
        <v>-1666497</v>
      </c>
      <c r="D20" s="23" t="s">
        <v>348</v>
      </c>
      <c r="E20" s="154">
        <f t="shared" ref="E20:E30" si="5">E19+1</f>
        <v>11</v>
      </c>
    </row>
    <row r="21" spans="1:5" ht="15.75">
      <c r="A21" s="153">
        <f t="shared" si="4"/>
        <v>12</v>
      </c>
      <c r="B21" s="339"/>
      <c r="C21" s="21"/>
      <c r="D21" s="23"/>
      <c r="E21" s="154">
        <f t="shared" si="5"/>
        <v>12</v>
      </c>
    </row>
    <row r="22" spans="1:5" ht="15.75">
      <c r="A22" s="153">
        <f t="shared" si="4"/>
        <v>13</v>
      </c>
      <c r="B22" s="339" t="str">
        <f>'Stmt BK - Retail'!B22</f>
        <v xml:space="preserve">    Uncollectibles @ 0.5510%</v>
      </c>
      <c r="C22" s="22">
        <f>ROUND(C18*0.00551,0)</f>
        <v>-899618</v>
      </c>
      <c r="D22" s="23" t="str">
        <f>'Stmt BK - Retail'!D22</f>
        <v>Line 9 x 0.551%</v>
      </c>
      <c r="E22" s="154">
        <f t="shared" si="5"/>
        <v>13</v>
      </c>
    </row>
    <row r="23" spans="1:5" ht="15.75">
      <c r="A23" s="153">
        <f>A22+1</f>
        <v>14</v>
      </c>
      <c r="B23" s="20"/>
      <c r="C23" s="15"/>
      <c r="D23" s="10"/>
      <c r="E23" s="154">
        <f t="shared" si="5"/>
        <v>14</v>
      </c>
    </row>
    <row r="24" spans="1:5" ht="15.75">
      <c r="A24" s="153">
        <f t="shared" ref="A24:A27" si="6">A23+1</f>
        <v>15</v>
      </c>
      <c r="B24" s="238" t="s">
        <v>189</v>
      </c>
      <c r="C24" s="22">
        <f>C20+C22</f>
        <v>-2566115</v>
      </c>
      <c r="D24" s="352" t="s">
        <v>190</v>
      </c>
      <c r="E24" s="154">
        <f t="shared" si="5"/>
        <v>15</v>
      </c>
    </row>
    <row r="25" spans="1:5" ht="15.75">
      <c r="A25" s="153">
        <f t="shared" si="6"/>
        <v>16</v>
      </c>
      <c r="B25" s="20"/>
      <c r="C25" s="15"/>
      <c r="D25" s="10"/>
      <c r="E25" s="154">
        <f t="shared" si="5"/>
        <v>16</v>
      </c>
    </row>
    <row r="26" spans="1:5" ht="15.75">
      <c r="A26" s="153">
        <f t="shared" si="6"/>
        <v>17</v>
      </c>
      <c r="B26" s="238" t="s">
        <v>191</v>
      </c>
      <c r="C26" s="88">
        <f>C18+C24</f>
        <v>-165836092.06060258</v>
      </c>
      <c r="D26" s="352" t="s">
        <v>192</v>
      </c>
      <c r="E26" s="154">
        <f t="shared" si="5"/>
        <v>17</v>
      </c>
    </row>
    <row r="27" spans="1:5" ht="15.75">
      <c r="A27" s="153">
        <f t="shared" si="6"/>
        <v>18</v>
      </c>
      <c r="B27" s="238"/>
      <c r="C27" s="17"/>
      <c r="D27" s="23"/>
      <c r="E27" s="154">
        <f t="shared" si="5"/>
        <v>18</v>
      </c>
    </row>
    <row r="28" spans="1:5" ht="15.75">
      <c r="A28" s="153">
        <f t="shared" si="4"/>
        <v>19</v>
      </c>
      <c r="B28" s="238" t="s">
        <v>416</v>
      </c>
      <c r="C28" s="61">
        <f>'Stmt BD - Recorded KWH'!E26</f>
        <v>16702259105</v>
      </c>
      <c r="D28" s="23" t="s">
        <v>195</v>
      </c>
      <c r="E28" s="154">
        <f t="shared" si="5"/>
        <v>19</v>
      </c>
    </row>
    <row r="29" spans="1:5" ht="15.75">
      <c r="A29" s="153">
        <f t="shared" si="4"/>
        <v>20</v>
      </c>
      <c r="B29" s="20"/>
      <c r="C29" s="19"/>
      <c r="D29" s="24"/>
      <c r="E29" s="154">
        <f t="shared" si="5"/>
        <v>20</v>
      </c>
    </row>
    <row r="30" spans="1:5" ht="16.5" thickBot="1">
      <c r="A30" s="153">
        <f t="shared" si="4"/>
        <v>21</v>
      </c>
      <c r="B30" s="238" t="s">
        <v>196</v>
      </c>
      <c r="C30" s="347">
        <f>ROUND(C26/C28,5)</f>
        <v>-9.9299999999999996E-3</v>
      </c>
      <c r="D30" s="23" t="s">
        <v>197</v>
      </c>
      <c r="E30" s="154">
        <f t="shared" si="5"/>
        <v>21</v>
      </c>
    </row>
    <row r="31" spans="1:5" ht="17.25" thickTop="1" thickBot="1">
      <c r="A31" s="512"/>
      <c r="B31" s="110"/>
      <c r="C31" s="473"/>
      <c r="D31" s="229"/>
      <c r="E31" s="230"/>
    </row>
    <row r="32" spans="1:5" ht="15.75">
      <c r="A32" s="20"/>
      <c r="B32" s="20"/>
      <c r="C32" s="20"/>
      <c r="D32" s="20"/>
      <c r="E32" s="20"/>
    </row>
    <row r="33" spans="1:2" ht="15.75">
      <c r="A33"/>
      <c r="B33" s="20"/>
    </row>
    <row r="34" spans="1:2" ht="18.75">
      <c r="A34" s="35"/>
      <c r="B34" s="20"/>
    </row>
    <row r="35" spans="1:2" ht="18.75">
      <c r="A35" s="35"/>
      <c r="B35" s="20"/>
    </row>
    <row r="36" spans="1:2" ht="15.75">
      <c r="A36"/>
      <c r="B36" s="20"/>
    </row>
    <row r="37" spans="1:2" ht="15.75">
      <c r="A37"/>
      <c r="B37" s="20"/>
    </row>
  </sheetData>
  <phoneticPr fontId="12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49"/>
  <sheetViews>
    <sheetView zoomScaleNormal="100" workbookViewId="0">
      <selection activeCell="N12" sqref="N12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5.5703125" style="95" customWidth="1"/>
    <col min="17" max="17" width="4" style="95" bestFit="1" customWidth="1"/>
    <col min="18" max="18" width="5.5703125" style="95" bestFit="1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8" t="s">
        <v>198</v>
      </c>
      <c r="C2" s="729"/>
      <c r="D2" s="729"/>
      <c r="E2" s="729"/>
      <c r="F2" s="729"/>
      <c r="G2" s="729"/>
      <c r="H2" s="729"/>
      <c r="I2" s="729"/>
      <c r="J2" s="729"/>
      <c r="K2" s="729"/>
      <c r="L2" s="729"/>
      <c r="M2" s="729"/>
      <c r="N2" s="729"/>
      <c r="O2" s="730"/>
      <c r="P2" s="514" t="s">
        <v>8</v>
      </c>
    </row>
    <row r="3" spans="1:17" s="515" customFormat="1" ht="26.25" thickBot="1">
      <c r="A3" s="96" t="s">
        <v>11</v>
      </c>
      <c r="B3" s="731" t="s">
        <v>399</v>
      </c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3"/>
      <c r="P3" s="96" t="s">
        <v>11</v>
      </c>
    </row>
    <row r="4" spans="1:17">
      <c r="A4" s="53">
        <v>1</v>
      </c>
      <c r="B4" s="198" t="s">
        <v>199</v>
      </c>
      <c r="C4" s="535"/>
      <c r="D4" s="99"/>
      <c r="E4" s="597"/>
      <c r="F4" s="99"/>
      <c r="G4" s="99"/>
      <c r="H4" s="99"/>
      <c r="I4" s="99"/>
      <c r="J4" s="99"/>
      <c r="K4" s="99"/>
      <c r="L4" s="99"/>
      <c r="M4" s="99"/>
      <c r="N4" s="99"/>
      <c r="O4" s="100"/>
      <c r="P4" s="53">
        <v>1</v>
      </c>
    </row>
    <row r="5" spans="1:17">
      <c r="A5" s="53">
        <f>A4+1</f>
        <v>2</v>
      </c>
      <c r="B5" s="101" t="s">
        <v>200</v>
      </c>
      <c r="C5" s="103">
        <v>45597</v>
      </c>
      <c r="D5" s="103">
        <v>45627</v>
      </c>
      <c r="E5" s="103">
        <v>45658</v>
      </c>
      <c r="F5" s="103">
        <v>45689</v>
      </c>
      <c r="G5" s="103">
        <v>45717</v>
      </c>
      <c r="H5" s="103">
        <v>45748</v>
      </c>
      <c r="I5" s="103">
        <v>45778</v>
      </c>
      <c r="J5" s="103">
        <v>45809</v>
      </c>
      <c r="K5" s="103">
        <v>45839</v>
      </c>
      <c r="L5" s="103">
        <v>45870</v>
      </c>
      <c r="M5" s="103">
        <v>45901</v>
      </c>
      <c r="N5" s="103">
        <v>45931</v>
      </c>
      <c r="O5" s="104" t="s">
        <v>18</v>
      </c>
      <c r="P5" s="53">
        <f>P4+1</f>
        <v>2</v>
      </c>
    </row>
    <row r="6" spans="1:17">
      <c r="A6" s="53">
        <f>A5+1</f>
        <v>3</v>
      </c>
      <c r="B6" s="58" t="s">
        <v>201</v>
      </c>
      <c r="C6" s="125">
        <v>369767.70699999999</v>
      </c>
      <c r="D6" s="125">
        <v>461459.38400000002</v>
      </c>
      <c r="E6" s="125">
        <v>590219.84699999995</v>
      </c>
      <c r="F6" s="125">
        <v>419411.02899999998</v>
      </c>
      <c r="G6" s="125">
        <v>410983.56900000002</v>
      </c>
      <c r="H6" s="125">
        <v>332452.853</v>
      </c>
      <c r="I6" s="125">
        <v>321123.85200000001</v>
      </c>
      <c r="J6" s="125">
        <v>355977.364</v>
      </c>
      <c r="K6" s="125">
        <v>408359.625</v>
      </c>
      <c r="L6" s="125">
        <v>447524.989</v>
      </c>
      <c r="M6" s="125">
        <v>614305.96600000001</v>
      </c>
      <c r="N6" s="125">
        <v>530908.99199999997</v>
      </c>
      <c r="O6" s="126">
        <f>SUM(C6:N6)</f>
        <v>5262495.1770000001</v>
      </c>
      <c r="P6" s="53">
        <f>P5+1</f>
        <v>3</v>
      </c>
    </row>
    <row r="7" spans="1:17">
      <c r="A7" s="53">
        <f t="shared" ref="A7:A23" si="0">A6+1</f>
        <v>4</v>
      </c>
      <c r="B7" s="58" t="s">
        <v>202</v>
      </c>
      <c r="C7" s="125">
        <v>162143.033</v>
      </c>
      <c r="D7" s="125">
        <v>174054.147</v>
      </c>
      <c r="E7" s="125">
        <v>199704.86600000001</v>
      </c>
      <c r="F7" s="125">
        <v>156847.32500000001</v>
      </c>
      <c r="G7" s="125">
        <v>174764.45499999999</v>
      </c>
      <c r="H7" s="125">
        <v>165834.08900000001</v>
      </c>
      <c r="I7" s="125">
        <v>168299.242</v>
      </c>
      <c r="J7" s="125">
        <v>181419.54</v>
      </c>
      <c r="K7" s="125">
        <v>199044.91200000001</v>
      </c>
      <c r="L7" s="125">
        <v>195741.41899999999</v>
      </c>
      <c r="M7" s="125">
        <v>212695.285</v>
      </c>
      <c r="N7" s="125">
        <v>205524.33600000001</v>
      </c>
      <c r="O7" s="126">
        <f t="shared" ref="O7:O13" si="1">SUM(C7:N7)</f>
        <v>2196072.6490000002</v>
      </c>
      <c r="P7" s="53">
        <f t="shared" ref="P7:P23" si="2">P6+1</f>
        <v>4</v>
      </c>
    </row>
    <row r="8" spans="1:17">
      <c r="A8" s="53">
        <f t="shared" si="0"/>
        <v>5</v>
      </c>
      <c r="B8" s="58" t="s">
        <v>203</v>
      </c>
      <c r="C8" s="129">
        <v>651485.5780000001</v>
      </c>
      <c r="D8" s="129">
        <v>737182.01899999997</v>
      </c>
      <c r="E8" s="129">
        <v>773971.24300000002</v>
      </c>
      <c r="F8" s="129">
        <v>621943.65200000012</v>
      </c>
      <c r="G8" s="129">
        <v>699206.46799999999</v>
      </c>
      <c r="H8" s="129">
        <v>676648.88399999996</v>
      </c>
      <c r="I8" s="129">
        <v>668359.80300000007</v>
      </c>
      <c r="J8" s="129">
        <v>737191.995</v>
      </c>
      <c r="K8" s="129">
        <v>804701.49699999997</v>
      </c>
      <c r="L8" s="129">
        <v>779726.84100000001</v>
      </c>
      <c r="M8" s="129">
        <v>780830.14899999998</v>
      </c>
      <c r="N8" s="129">
        <v>861364.95700000005</v>
      </c>
      <c r="O8" s="126">
        <f t="shared" si="1"/>
        <v>8792613.0860000011</v>
      </c>
      <c r="P8" s="53">
        <f t="shared" si="2"/>
        <v>5</v>
      </c>
    </row>
    <row r="9" spans="1:17">
      <c r="A9" s="53">
        <f t="shared" si="0"/>
        <v>6</v>
      </c>
      <c r="B9" s="58" t="s">
        <v>101</v>
      </c>
      <c r="C9" s="129">
        <v>703.62</v>
      </c>
      <c r="D9" s="129">
        <v>339.3</v>
      </c>
      <c r="E9" s="129">
        <v>147.852</v>
      </c>
      <c r="F9" s="129">
        <v>178.99199999999999</v>
      </c>
      <c r="G9" s="129">
        <v>387.76799999999997</v>
      </c>
      <c r="H9" s="129">
        <v>920.89200000000005</v>
      </c>
      <c r="I9" s="129">
        <v>411.16800000000001</v>
      </c>
      <c r="J9" s="129">
        <v>0</v>
      </c>
      <c r="K9" s="129">
        <v>0</v>
      </c>
      <c r="L9" s="129">
        <v>0</v>
      </c>
      <c r="M9" s="129">
        <v>227.55600000000001</v>
      </c>
      <c r="N9" s="129">
        <v>830.1</v>
      </c>
      <c r="O9" s="126">
        <f t="shared" si="1"/>
        <v>4147.2480000000005</v>
      </c>
      <c r="P9" s="53">
        <f t="shared" si="2"/>
        <v>6</v>
      </c>
    </row>
    <row r="10" spans="1:17">
      <c r="A10" s="53">
        <f t="shared" si="0"/>
        <v>7</v>
      </c>
      <c r="B10" s="58" t="s">
        <v>204</v>
      </c>
      <c r="C10" s="129">
        <v>14618.386000000002</v>
      </c>
      <c r="D10" s="129">
        <v>12838.602999999999</v>
      </c>
      <c r="E10" s="129">
        <v>16731.899999999998</v>
      </c>
      <c r="F10" s="129">
        <v>10358.587</v>
      </c>
      <c r="G10" s="129">
        <v>9439.1719999999987</v>
      </c>
      <c r="H10" s="129">
        <v>12305.156999999999</v>
      </c>
      <c r="I10" s="129">
        <v>13883.951000000001</v>
      </c>
      <c r="J10" s="129">
        <v>17110.252</v>
      </c>
      <c r="K10" s="129">
        <v>17843.775000000001</v>
      </c>
      <c r="L10" s="129">
        <v>18162.938999999998</v>
      </c>
      <c r="M10" s="129">
        <v>19575.816000000006</v>
      </c>
      <c r="N10" s="129">
        <v>16743.767999999996</v>
      </c>
      <c r="O10" s="126">
        <f t="shared" si="1"/>
        <v>179612.30599999998</v>
      </c>
      <c r="P10" s="53">
        <f t="shared" si="2"/>
        <v>7</v>
      </c>
    </row>
    <row r="11" spans="1:17">
      <c r="A11" s="53">
        <f t="shared" si="0"/>
        <v>8</v>
      </c>
      <c r="B11" s="58" t="s">
        <v>107</v>
      </c>
      <c r="C11" s="700">
        <v>17719.866999999998</v>
      </c>
      <c r="D11" s="700">
        <v>16216.353999999999</v>
      </c>
      <c r="E11" s="700">
        <v>17247.687000000002</v>
      </c>
      <c r="F11" s="700">
        <v>12670.159</v>
      </c>
      <c r="G11" s="700">
        <v>13544.342000000001</v>
      </c>
      <c r="H11" s="700">
        <v>15160.052</v>
      </c>
      <c r="I11" s="700">
        <v>14276.138999999999</v>
      </c>
      <c r="J11" s="700">
        <v>12834.406000000001</v>
      </c>
      <c r="K11" s="700">
        <v>18466.373</v>
      </c>
      <c r="L11" s="700">
        <v>22326.067999999999</v>
      </c>
      <c r="M11" s="700">
        <v>16165.540999999999</v>
      </c>
      <c r="N11" s="700">
        <v>16722.309000000001</v>
      </c>
      <c r="O11" s="629">
        <f t="shared" si="1"/>
        <v>193349.29699999999</v>
      </c>
      <c r="P11" s="53">
        <f t="shared" si="2"/>
        <v>8</v>
      </c>
    </row>
    <row r="12" spans="1:17">
      <c r="A12" s="53">
        <f t="shared" si="0"/>
        <v>9</v>
      </c>
      <c r="B12" s="58" t="s">
        <v>205</v>
      </c>
      <c r="C12" s="125">
        <v>6324.8729999999996</v>
      </c>
      <c r="D12" s="125">
        <v>6468.8639999999996</v>
      </c>
      <c r="E12" s="129">
        <v>6713.8810000000003</v>
      </c>
      <c r="F12" s="129">
        <v>6364.0010000000002</v>
      </c>
      <c r="G12" s="129">
        <v>6444.8879999999999</v>
      </c>
      <c r="H12" s="129">
        <v>998.798</v>
      </c>
      <c r="I12" s="706">
        <v>11748.276</v>
      </c>
      <c r="J12" s="129">
        <v>6366.3530000000001</v>
      </c>
      <c r="K12" s="129">
        <v>6248.2569999999996</v>
      </c>
      <c r="L12" s="129">
        <v>6370.7280000000001</v>
      </c>
      <c r="M12" s="129">
        <v>3714.1909999999998</v>
      </c>
      <c r="N12" s="129">
        <v>6206.232</v>
      </c>
      <c r="O12" s="126">
        <f t="shared" si="1"/>
        <v>73969.342000000004</v>
      </c>
      <c r="P12" s="53">
        <f t="shared" si="2"/>
        <v>9</v>
      </c>
    </row>
    <row r="13" spans="1:17">
      <c r="A13" s="53">
        <f t="shared" si="0"/>
        <v>10</v>
      </c>
      <c r="B13" s="105" t="s">
        <v>7</v>
      </c>
      <c r="C13" s="309">
        <v>8.6679999999999993</v>
      </c>
      <c r="D13" s="309">
        <v>6.6890000000000001</v>
      </c>
      <c r="E13" s="310">
        <v>7.399</v>
      </c>
      <c r="F13" s="705">
        <v>7.298</v>
      </c>
      <c r="G13" s="310">
        <v>6.4749999999999996</v>
      </c>
      <c r="H13" s="310">
        <v>7.8869999999999996</v>
      </c>
      <c r="I13" s="310">
        <v>7.4829999999999997</v>
      </c>
      <c r="J13" s="310">
        <v>7.9450000000000003</v>
      </c>
      <c r="K13" s="310">
        <v>7.56</v>
      </c>
      <c r="L13" s="310">
        <v>7.7789999999999999</v>
      </c>
      <c r="M13" s="310">
        <v>0</v>
      </c>
      <c r="N13" s="310">
        <v>0</v>
      </c>
      <c r="O13" s="130">
        <f t="shared" si="1"/>
        <v>75.182999999999993</v>
      </c>
      <c r="P13" s="53">
        <f t="shared" si="2"/>
        <v>10</v>
      </c>
      <c r="Q13" s="598"/>
    </row>
    <row r="14" spans="1:17" ht="18.75" thickBot="1">
      <c r="A14" s="53">
        <f t="shared" si="0"/>
        <v>11</v>
      </c>
      <c r="B14" s="106" t="s">
        <v>206</v>
      </c>
      <c r="C14" s="132">
        <f>SUM(C6:C13)</f>
        <v>1222771.7320000001</v>
      </c>
      <c r="D14" s="132">
        <f>SUM(D6:D13)</f>
        <v>1408565.3599999999</v>
      </c>
      <c r="E14" s="132">
        <f>SUM(E6:E13)</f>
        <v>1604744.6749999998</v>
      </c>
      <c r="F14" s="132">
        <f t="shared" ref="F14:N14" si="3">SUM(F6:F13)</f>
        <v>1227781.0430000001</v>
      </c>
      <c r="G14" s="132">
        <f t="shared" si="3"/>
        <v>1314777.1370000001</v>
      </c>
      <c r="H14" s="132">
        <f t="shared" si="3"/>
        <v>1204328.6119999997</v>
      </c>
      <c r="I14" s="132">
        <f t="shared" si="3"/>
        <v>1198109.9140000003</v>
      </c>
      <c r="J14" s="132">
        <f t="shared" si="3"/>
        <v>1310907.855</v>
      </c>
      <c r="K14" s="132">
        <f t="shared" si="3"/>
        <v>1454671.9989999998</v>
      </c>
      <c r="L14" s="132">
        <f t="shared" si="3"/>
        <v>1469860.763</v>
      </c>
      <c r="M14" s="132">
        <f t="shared" si="3"/>
        <v>1647514.5040000002</v>
      </c>
      <c r="N14" s="132">
        <f t="shared" si="3"/>
        <v>1638300.6940000001</v>
      </c>
      <c r="O14" s="133">
        <f>SUM(O6:O13)</f>
        <v>16702334.288000001</v>
      </c>
      <c r="P14" s="53">
        <f t="shared" si="2"/>
        <v>11</v>
      </c>
      <c r="Q14" s="598"/>
    </row>
    <row r="15" spans="1:17" ht="18.75" thickTop="1">
      <c r="A15" s="53">
        <f t="shared" si="0"/>
        <v>12</v>
      </c>
      <c r="B15" s="106"/>
      <c r="C15" s="59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53">
        <f t="shared" si="2"/>
        <v>12</v>
      </c>
    </row>
    <row r="16" spans="1:17" ht="18.75" thickBot="1">
      <c r="A16" s="53">
        <f t="shared" si="0"/>
        <v>13</v>
      </c>
      <c r="B16" s="106" t="s">
        <v>207</v>
      </c>
      <c r="C16" s="135">
        <f>SUM(C6:C12)</f>
        <v>1222763.064</v>
      </c>
      <c r="D16" s="135">
        <f>SUM(D6:D12)</f>
        <v>1408558.6709999999</v>
      </c>
      <c r="E16" s="135">
        <f>SUM(E6:E12)</f>
        <v>1604737.2759999998</v>
      </c>
      <c r="F16" s="135">
        <f t="shared" ref="F16:O16" si="4">SUM(F6:F12)</f>
        <v>1227773.7450000001</v>
      </c>
      <c r="G16" s="135">
        <f t="shared" si="4"/>
        <v>1314770.662</v>
      </c>
      <c r="H16" s="135">
        <f t="shared" si="4"/>
        <v>1204320.7249999996</v>
      </c>
      <c r="I16" s="135">
        <f t="shared" si="4"/>
        <v>1198102.4310000003</v>
      </c>
      <c r="J16" s="135">
        <f t="shared" si="4"/>
        <v>1310899.9099999999</v>
      </c>
      <c r="K16" s="135">
        <f t="shared" si="4"/>
        <v>1454664.4389999998</v>
      </c>
      <c r="L16" s="135">
        <f t="shared" si="4"/>
        <v>1469852.9839999999</v>
      </c>
      <c r="M16" s="135">
        <f t="shared" si="4"/>
        <v>1647514.5040000002</v>
      </c>
      <c r="N16" s="135">
        <f t="shared" si="4"/>
        <v>1638300.6940000001</v>
      </c>
      <c r="O16" s="136">
        <f t="shared" si="4"/>
        <v>16702259.105</v>
      </c>
      <c r="P16" s="53">
        <f t="shared" si="2"/>
        <v>13</v>
      </c>
      <c r="Q16" s="598"/>
    </row>
    <row r="17" spans="1:16" ht="19.5" thickTop="1" thickBot="1">
      <c r="A17" s="53">
        <f t="shared" si="0"/>
        <v>14</v>
      </c>
      <c r="B17" s="60"/>
      <c r="C17" s="60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38"/>
      <c r="P17" s="53">
        <f t="shared" si="2"/>
        <v>14</v>
      </c>
    </row>
    <row r="18" spans="1:16">
      <c r="A18" s="53">
        <f t="shared" si="0"/>
        <v>15</v>
      </c>
      <c r="B18" s="112" t="s">
        <v>208</v>
      </c>
      <c r="C18" s="103">
        <f>C5</f>
        <v>45597</v>
      </c>
      <c r="D18" s="103">
        <f>D5</f>
        <v>45627</v>
      </c>
      <c r="E18" s="103">
        <f t="shared" ref="E18:O18" si="5">E5</f>
        <v>45658</v>
      </c>
      <c r="F18" s="103">
        <f t="shared" si="5"/>
        <v>45689</v>
      </c>
      <c r="G18" s="103">
        <f t="shared" si="5"/>
        <v>45717</v>
      </c>
      <c r="H18" s="103">
        <f t="shared" si="5"/>
        <v>45748</v>
      </c>
      <c r="I18" s="103">
        <f t="shared" si="5"/>
        <v>45778</v>
      </c>
      <c r="J18" s="103">
        <f t="shared" si="5"/>
        <v>45809</v>
      </c>
      <c r="K18" s="103">
        <f t="shared" si="5"/>
        <v>45839</v>
      </c>
      <c r="L18" s="103">
        <f t="shared" si="5"/>
        <v>45870</v>
      </c>
      <c r="M18" s="103">
        <f t="shared" si="5"/>
        <v>45901</v>
      </c>
      <c r="N18" s="103">
        <f t="shared" si="5"/>
        <v>45931</v>
      </c>
      <c r="O18" s="104" t="str">
        <f t="shared" si="5"/>
        <v>Total</v>
      </c>
      <c r="P18" s="53">
        <f t="shared" si="2"/>
        <v>15</v>
      </c>
    </row>
    <row r="19" spans="1:16">
      <c r="A19" s="53">
        <f t="shared" si="0"/>
        <v>16</v>
      </c>
      <c r="B19" s="114" t="s">
        <v>209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53">
        <f t="shared" si="2"/>
        <v>16</v>
      </c>
    </row>
    <row r="20" spans="1:16">
      <c r="A20" s="53">
        <f t="shared" si="0"/>
        <v>17</v>
      </c>
      <c r="B20" s="54" t="s">
        <v>210</v>
      </c>
      <c r="C20" s="628">
        <v>0</v>
      </c>
      <c r="D20" s="628">
        <v>0</v>
      </c>
      <c r="E20" s="628">
        <v>0</v>
      </c>
      <c r="F20" s="628">
        <v>0</v>
      </c>
      <c r="G20" s="628">
        <v>0</v>
      </c>
      <c r="H20" s="628">
        <v>0</v>
      </c>
      <c r="I20" s="628">
        <v>0</v>
      </c>
      <c r="J20" s="628">
        <v>0</v>
      </c>
      <c r="K20" s="628">
        <v>0</v>
      </c>
      <c r="L20" s="628">
        <v>0</v>
      </c>
      <c r="M20" s="628">
        <v>0</v>
      </c>
      <c r="N20" s="628">
        <v>0</v>
      </c>
      <c r="O20" s="629">
        <f>SUM(C20:N20)</f>
        <v>0</v>
      </c>
      <c r="P20" s="53">
        <f t="shared" si="2"/>
        <v>17</v>
      </c>
    </row>
    <row r="21" spans="1:16">
      <c r="A21" s="53">
        <f t="shared" si="0"/>
        <v>18</v>
      </c>
      <c r="B21" s="54" t="s">
        <v>211</v>
      </c>
      <c r="C21" s="125">
        <f>C8</f>
        <v>651485.5780000001</v>
      </c>
      <c r="D21" s="125">
        <f t="shared" ref="D21:N21" si="6">D8</f>
        <v>737182.01899999997</v>
      </c>
      <c r="E21" s="125">
        <f t="shared" si="6"/>
        <v>773971.24300000002</v>
      </c>
      <c r="F21" s="125">
        <f t="shared" si="6"/>
        <v>621943.65200000012</v>
      </c>
      <c r="G21" s="125">
        <f t="shared" si="6"/>
        <v>699206.46799999999</v>
      </c>
      <c r="H21" s="125">
        <f t="shared" si="6"/>
        <v>676648.88399999996</v>
      </c>
      <c r="I21" s="125">
        <f t="shared" si="6"/>
        <v>668359.80300000007</v>
      </c>
      <c r="J21" s="125">
        <f t="shared" si="6"/>
        <v>737191.995</v>
      </c>
      <c r="K21" s="125">
        <f t="shared" si="6"/>
        <v>804701.49699999997</v>
      </c>
      <c r="L21" s="125">
        <f t="shared" si="6"/>
        <v>779726.84100000001</v>
      </c>
      <c r="M21" s="125">
        <f t="shared" si="6"/>
        <v>780830.14899999998</v>
      </c>
      <c r="N21" s="125">
        <f t="shared" si="6"/>
        <v>861364.95700000005</v>
      </c>
      <c r="O21" s="126">
        <f>SUM(C21:N21)</f>
        <v>8792613.0860000011</v>
      </c>
      <c r="P21" s="53">
        <f t="shared" si="2"/>
        <v>18</v>
      </c>
    </row>
    <row r="22" spans="1:16">
      <c r="A22" s="53">
        <f t="shared" si="0"/>
        <v>19</v>
      </c>
      <c r="B22" s="54" t="s">
        <v>212</v>
      </c>
      <c r="C22" s="694">
        <v>0</v>
      </c>
      <c r="D22" s="694">
        <v>0</v>
      </c>
      <c r="E22" s="630">
        <v>0</v>
      </c>
      <c r="F22" s="630">
        <v>0</v>
      </c>
      <c r="G22" s="630">
        <v>0</v>
      </c>
      <c r="H22" s="630">
        <v>0</v>
      </c>
      <c r="I22" s="630">
        <v>0</v>
      </c>
      <c r="J22" s="630">
        <v>0</v>
      </c>
      <c r="K22" s="630">
        <v>0</v>
      </c>
      <c r="L22" s="630">
        <v>0</v>
      </c>
      <c r="M22" s="630">
        <v>0</v>
      </c>
      <c r="N22" s="630">
        <v>0</v>
      </c>
      <c r="O22" s="702">
        <f>SUM(C22:N22)</f>
        <v>0</v>
      </c>
      <c r="P22" s="53">
        <f t="shared" si="2"/>
        <v>19</v>
      </c>
    </row>
    <row r="23" spans="1:16" ht="18.75" thickBot="1">
      <c r="A23" s="53">
        <f t="shared" si="0"/>
        <v>20</v>
      </c>
      <c r="B23" s="53" t="s">
        <v>18</v>
      </c>
      <c r="C23" s="143">
        <f>SUM(C20:C22)</f>
        <v>651485.5780000001</v>
      </c>
      <c r="D23" s="143">
        <f>SUM(D20:D22)</f>
        <v>737182.01899999997</v>
      </c>
      <c r="E23" s="143">
        <f t="shared" ref="E23:O23" si="7">SUM(E20:E22)</f>
        <v>773971.24300000002</v>
      </c>
      <c r="F23" s="143">
        <f t="shared" si="7"/>
        <v>621943.65200000012</v>
      </c>
      <c r="G23" s="143">
        <f t="shared" si="7"/>
        <v>699206.46799999999</v>
      </c>
      <c r="H23" s="143">
        <f t="shared" si="7"/>
        <v>676648.88399999996</v>
      </c>
      <c r="I23" s="143">
        <f t="shared" si="7"/>
        <v>668359.80300000007</v>
      </c>
      <c r="J23" s="143">
        <f t="shared" si="7"/>
        <v>737191.995</v>
      </c>
      <c r="K23" s="143">
        <f t="shared" si="7"/>
        <v>804701.49699999997</v>
      </c>
      <c r="L23" s="143">
        <f t="shared" si="7"/>
        <v>779726.84100000001</v>
      </c>
      <c r="M23" s="143">
        <f t="shared" si="7"/>
        <v>780830.14899999998</v>
      </c>
      <c r="N23" s="143">
        <f t="shared" si="7"/>
        <v>861364.95700000005</v>
      </c>
      <c r="O23" s="144">
        <f t="shared" si="7"/>
        <v>8792613.0860000011</v>
      </c>
      <c r="P23" s="53">
        <f t="shared" si="2"/>
        <v>20</v>
      </c>
    </row>
    <row r="24" spans="1:16" ht="19.5" thickTop="1" thickBot="1">
      <c r="A24" s="59">
        <f>A23+1</f>
        <v>21</v>
      </c>
      <c r="B24" s="6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59">
        <f>P23+1</f>
        <v>21</v>
      </c>
    </row>
    <row r="26" spans="1:16" ht="18.75" thickBot="1"/>
    <row r="27" spans="1:16">
      <c r="A27" s="94" t="s">
        <v>8</v>
      </c>
      <c r="B27" s="734" t="str">
        <f>B2</f>
        <v>San Diego Gas &amp; Electric</v>
      </c>
      <c r="C27" s="735"/>
      <c r="D27" s="735"/>
      <c r="E27" s="735"/>
      <c r="F27" s="735"/>
      <c r="G27" s="735"/>
      <c r="H27" s="735"/>
      <c r="I27" s="735"/>
      <c r="J27" s="735"/>
      <c r="K27" s="735"/>
      <c r="L27" s="735"/>
      <c r="M27" s="735"/>
      <c r="N27" s="735"/>
      <c r="O27" s="736"/>
      <c r="P27" s="94" t="s">
        <v>8</v>
      </c>
    </row>
    <row r="28" spans="1:16" ht="18.75" thickBot="1">
      <c r="A28" s="59" t="s">
        <v>11</v>
      </c>
      <c r="B28" s="737" t="str">
        <f>B3</f>
        <v>Recorded Billing Determinants for the 12-Month Period: November 2024 - October 2025</v>
      </c>
      <c r="C28" s="738"/>
      <c r="D28" s="738"/>
      <c r="E28" s="738"/>
      <c r="F28" s="738"/>
      <c r="G28" s="738"/>
      <c r="H28" s="738"/>
      <c r="I28" s="738"/>
      <c r="J28" s="738"/>
      <c r="K28" s="738"/>
      <c r="L28" s="738"/>
      <c r="M28" s="738"/>
      <c r="N28" s="738"/>
      <c r="O28" s="739"/>
      <c r="P28" s="59" t="s">
        <v>11</v>
      </c>
    </row>
    <row r="29" spans="1:16">
      <c r="A29" s="53">
        <f>A24+1</f>
        <v>22</v>
      </c>
      <c r="B29" s="198" t="s">
        <v>199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140"/>
      <c r="P29" s="53">
        <f>P24+1</f>
        <v>22</v>
      </c>
    </row>
    <row r="30" spans="1:16">
      <c r="A30" s="53">
        <f>A29+1</f>
        <v>23</v>
      </c>
      <c r="B30" s="101" t="s">
        <v>213</v>
      </c>
      <c r="C30" s="103">
        <f t="shared" ref="C30:N30" si="8">C5</f>
        <v>45597</v>
      </c>
      <c r="D30" s="103">
        <f t="shared" si="8"/>
        <v>45627</v>
      </c>
      <c r="E30" s="103">
        <f t="shared" si="8"/>
        <v>45658</v>
      </c>
      <c r="F30" s="103">
        <f t="shared" si="8"/>
        <v>45689</v>
      </c>
      <c r="G30" s="103">
        <f t="shared" si="8"/>
        <v>45717</v>
      </c>
      <c r="H30" s="103">
        <f t="shared" si="8"/>
        <v>45748</v>
      </c>
      <c r="I30" s="103">
        <f t="shared" si="8"/>
        <v>45778</v>
      </c>
      <c r="J30" s="103">
        <f t="shared" si="8"/>
        <v>45809</v>
      </c>
      <c r="K30" s="103">
        <f t="shared" si="8"/>
        <v>45839</v>
      </c>
      <c r="L30" s="103">
        <f t="shared" si="8"/>
        <v>45870</v>
      </c>
      <c r="M30" s="103">
        <f t="shared" si="8"/>
        <v>45901</v>
      </c>
      <c r="N30" s="103">
        <f t="shared" si="8"/>
        <v>45931</v>
      </c>
      <c r="O30" s="104" t="s">
        <v>18</v>
      </c>
      <c r="P30" s="53">
        <f>P29+1</f>
        <v>23</v>
      </c>
    </row>
    <row r="31" spans="1:16">
      <c r="A31" s="53">
        <f>A30+1</f>
        <v>24</v>
      </c>
      <c r="B31" s="58" t="s">
        <v>201</v>
      </c>
      <c r="C31" s="125">
        <f t="shared" ref="C31:N31" si="9">C6*1000</f>
        <v>369767707</v>
      </c>
      <c r="D31" s="125">
        <f t="shared" si="9"/>
        <v>461459384</v>
      </c>
      <c r="E31" s="125">
        <f t="shared" si="9"/>
        <v>590219847</v>
      </c>
      <c r="F31" s="125">
        <f t="shared" si="9"/>
        <v>419411029</v>
      </c>
      <c r="G31" s="125">
        <f t="shared" si="9"/>
        <v>410983569</v>
      </c>
      <c r="H31" s="125">
        <f t="shared" si="9"/>
        <v>332452853</v>
      </c>
      <c r="I31" s="125">
        <f t="shared" si="9"/>
        <v>321123852</v>
      </c>
      <c r="J31" s="125">
        <f t="shared" si="9"/>
        <v>355977364</v>
      </c>
      <c r="K31" s="125">
        <f t="shared" si="9"/>
        <v>408359625</v>
      </c>
      <c r="L31" s="125">
        <f t="shared" si="9"/>
        <v>447524989</v>
      </c>
      <c r="M31" s="125">
        <f t="shared" si="9"/>
        <v>614305966</v>
      </c>
      <c r="N31" s="125">
        <f t="shared" si="9"/>
        <v>530908991.99999994</v>
      </c>
      <c r="O31" s="126">
        <f>SUM(C31:N31)</f>
        <v>5262495177</v>
      </c>
      <c r="P31" s="53">
        <f>P30+1</f>
        <v>24</v>
      </c>
    </row>
    <row r="32" spans="1:16">
      <c r="A32" s="53">
        <f t="shared" ref="A32:A48" si="10">A31+1</f>
        <v>25</v>
      </c>
      <c r="B32" s="58" t="s">
        <v>202</v>
      </c>
      <c r="C32" s="125">
        <f t="shared" ref="C32:N32" si="11">C7*1000</f>
        <v>162143033</v>
      </c>
      <c r="D32" s="125">
        <f t="shared" si="11"/>
        <v>174054147</v>
      </c>
      <c r="E32" s="125">
        <f t="shared" si="11"/>
        <v>199704866</v>
      </c>
      <c r="F32" s="125">
        <f t="shared" si="11"/>
        <v>156847325</v>
      </c>
      <c r="G32" s="125">
        <f t="shared" si="11"/>
        <v>174764455</v>
      </c>
      <c r="H32" s="125">
        <f t="shared" si="11"/>
        <v>165834089</v>
      </c>
      <c r="I32" s="125">
        <f t="shared" si="11"/>
        <v>168299242</v>
      </c>
      <c r="J32" s="125">
        <f t="shared" si="11"/>
        <v>181419540</v>
      </c>
      <c r="K32" s="125">
        <f t="shared" si="11"/>
        <v>199044912</v>
      </c>
      <c r="L32" s="125">
        <f t="shared" si="11"/>
        <v>195741419</v>
      </c>
      <c r="M32" s="125">
        <f t="shared" si="11"/>
        <v>212695285</v>
      </c>
      <c r="N32" s="125">
        <f t="shared" si="11"/>
        <v>205524336</v>
      </c>
      <c r="O32" s="126">
        <f t="shared" ref="O32:O38" si="12">SUM(C32:N32)</f>
        <v>2196072649</v>
      </c>
      <c r="P32" s="53">
        <f t="shared" ref="P32:P48" si="13">P31+1</f>
        <v>25</v>
      </c>
    </row>
    <row r="33" spans="1:18">
      <c r="A33" s="53">
        <f t="shared" si="10"/>
        <v>26</v>
      </c>
      <c r="B33" s="58" t="s">
        <v>203</v>
      </c>
      <c r="C33" s="129">
        <f>C48</f>
        <v>651485578.00000012</v>
      </c>
      <c r="D33" s="129">
        <f>D48</f>
        <v>737182019</v>
      </c>
      <c r="E33" s="129">
        <f>E48</f>
        <v>773971243</v>
      </c>
      <c r="F33" s="129">
        <f t="shared" ref="F33:N33" si="14">F48</f>
        <v>621943652.00000012</v>
      </c>
      <c r="G33" s="129">
        <f t="shared" si="14"/>
        <v>699206468</v>
      </c>
      <c r="H33" s="129">
        <f t="shared" si="14"/>
        <v>676648884</v>
      </c>
      <c r="I33" s="129">
        <f t="shared" si="14"/>
        <v>668359803.00000012</v>
      </c>
      <c r="J33" s="129">
        <f t="shared" si="14"/>
        <v>737191995</v>
      </c>
      <c r="K33" s="129">
        <f t="shared" si="14"/>
        <v>804701497</v>
      </c>
      <c r="L33" s="129">
        <f t="shared" si="14"/>
        <v>779726841</v>
      </c>
      <c r="M33" s="129">
        <f t="shared" si="14"/>
        <v>780830149</v>
      </c>
      <c r="N33" s="129">
        <f t="shared" si="14"/>
        <v>861364957</v>
      </c>
      <c r="O33" s="126">
        <f t="shared" si="12"/>
        <v>8792613086</v>
      </c>
      <c r="P33" s="53">
        <f t="shared" si="13"/>
        <v>26</v>
      </c>
    </row>
    <row r="34" spans="1:18">
      <c r="A34" s="53">
        <f t="shared" si="10"/>
        <v>27</v>
      </c>
      <c r="B34" s="58" t="s">
        <v>101</v>
      </c>
      <c r="C34" s="129">
        <f>C9*1000</f>
        <v>703620</v>
      </c>
      <c r="D34" s="129">
        <f t="shared" ref="D34:N34" si="15">D9*1000</f>
        <v>339300</v>
      </c>
      <c r="E34" s="129">
        <f t="shared" si="15"/>
        <v>147852</v>
      </c>
      <c r="F34" s="129">
        <f t="shared" si="15"/>
        <v>178992</v>
      </c>
      <c r="G34" s="129">
        <f t="shared" si="15"/>
        <v>387768</v>
      </c>
      <c r="H34" s="129">
        <f t="shared" si="15"/>
        <v>920892</v>
      </c>
      <c r="I34" s="129">
        <f t="shared" si="15"/>
        <v>411168</v>
      </c>
      <c r="J34" s="129">
        <f t="shared" si="15"/>
        <v>0</v>
      </c>
      <c r="K34" s="129">
        <f t="shared" si="15"/>
        <v>0</v>
      </c>
      <c r="L34" s="129">
        <f t="shared" si="15"/>
        <v>0</v>
      </c>
      <c r="M34" s="129">
        <f t="shared" si="15"/>
        <v>227556</v>
      </c>
      <c r="N34" s="129">
        <f t="shared" si="15"/>
        <v>830100</v>
      </c>
      <c r="O34" s="126">
        <f t="shared" si="12"/>
        <v>4147248</v>
      </c>
      <c r="P34" s="53">
        <f t="shared" si="13"/>
        <v>27</v>
      </c>
    </row>
    <row r="35" spans="1:18">
      <c r="A35" s="53">
        <f t="shared" si="10"/>
        <v>28</v>
      </c>
      <c r="B35" s="58" t="s">
        <v>214</v>
      </c>
      <c r="C35" s="125">
        <f t="shared" ref="C35:N35" si="16">C10*1000</f>
        <v>14618386.000000002</v>
      </c>
      <c r="D35" s="125">
        <f t="shared" si="16"/>
        <v>12838603</v>
      </c>
      <c r="E35" s="125">
        <f t="shared" si="16"/>
        <v>16731899.999999998</v>
      </c>
      <c r="F35" s="125">
        <f t="shared" si="16"/>
        <v>10358587</v>
      </c>
      <c r="G35" s="125">
        <f t="shared" si="16"/>
        <v>9439171.9999999981</v>
      </c>
      <c r="H35" s="125">
        <f t="shared" si="16"/>
        <v>12305157</v>
      </c>
      <c r="I35" s="125">
        <f t="shared" si="16"/>
        <v>13883951</v>
      </c>
      <c r="J35" s="125">
        <f t="shared" si="16"/>
        <v>17110252</v>
      </c>
      <c r="K35" s="125">
        <f t="shared" si="16"/>
        <v>17843775</v>
      </c>
      <c r="L35" s="125">
        <f t="shared" si="16"/>
        <v>18162939</v>
      </c>
      <c r="M35" s="125">
        <f t="shared" si="16"/>
        <v>19575816.000000007</v>
      </c>
      <c r="N35" s="125">
        <f t="shared" si="16"/>
        <v>16743767.999999996</v>
      </c>
      <c r="O35" s="126">
        <f t="shared" si="12"/>
        <v>179612306</v>
      </c>
      <c r="P35" s="53">
        <f t="shared" si="13"/>
        <v>28</v>
      </c>
    </row>
    <row r="36" spans="1:18">
      <c r="A36" s="53">
        <f t="shared" si="10"/>
        <v>29</v>
      </c>
      <c r="B36" s="58" t="s">
        <v>107</v>
      </c>
      <c r="C36" s="628">
        <f t="shared" ref="C36:N36" si="17">C11*1000</f>
        <v>17719867</v>
      </c>
      <c r="D36" s="628">
        <f t="shared" si="17"/>
        <v>16216354</v>
      </c>
      <c r="E36" s="631">
        <f t="shared" si="17"/>
        <v>17247687</v>
      </c>
      <c r="F36" s="631">
        <f t="shared" si="17"/>
        <v>12670159</v>
      </c>
      <c r="G36" s="631">
        <f t="shared" si="17"/>
        <v>13544342</v>
      </c>
      <c r="H36" s="631">
        <f t="shared" si="17"/>
        <v>15160052</v>
      </c>
      <c r="I36" s="631">
        <f t="shared" si="17"/>
        <v>14276139</v>
      </c>
      <c r="J36" s="631">
        <f t="shared" si="17"/>
        <v>12834406</v>
      </c>
      <c r="K36" s="631">
        <f t="shared" si="17"/>
        <v>18466373</v>
      </c>
      <c r="L36" s="631">
        <f t="shared" si="17"/>
        <v>22326068</v>
      </c>
      <c r="M36" s="631">
        <f t="shared" si="17"/>
        <v>16165541</v>
      </c>
      <c r="N36" s="631">
        <f t="shared" si="17"/>
        <v>16722309.000000002</v>
      </c>
      <c r="O36" s="126">
        <f t="shared" si="12"/>
        <v>193349297</v>
      </c>
      <c r="P36" s="53">
        <f t="shared" si="13"/>
        <v>29</v>
      </c>
    </row>
    <row r="37" spans="1:18">
      <c r="A37" s="53">
        <f t="shared" si="10"/>
        <v>30</v>
      </c>
      <c r="B37" s="58" t="s">
        <v>205</v>
      </c>
      <c r="C37" s="125">
        <f t="shared" ref="C37:N37" si="18">C12*1000</f>
        <v>6324873</v>
      </c>
      <c r="D37" s="125">
        <f t="shared" si="18"/>
        <v>6468864</v>
      </c>
      <c r="E37" s="125">
        <f t="shared" si="18"/>
        <v>6713881</v>
      </c>
      <c r="F37" s="125">
        <f t="shared" si="18"/>
        <v>6364001</v>
      </c>
      <c r="G37" s="125">
        <f t="shared" si="18"/>
        <v>6444888</v>
      </c>
      <c r="H37" s="125">
        <f t="shared" si="18"/>
        <v>998798</v>
      </c>
      <c r="I37" s="125">
        <f t="shared" si="18"/>
        <v>11748276</v>
      </c>
      <c r="J37" s="125">
        <f t="shared" si="18"/>
        <v>6366353</v>
      </c>
      <c r="K37" s="125">
        <f t="shared" si="18"/>
        <v>6248257</v>
      </c>
      <c r="L37" s="125">
        <f t="shared" si="18"/>
        <v>6370728</v>
      </c>
      <c r="M37" s="125">
        <f t="shared" si="18"/>
        <v>3714191</v>
      </c>
      <c r="N37" s="125">
        <f t="shared" si="18"/>
        <v>6206232</v>
      </c>
      <c r="O37" s="126">
        <f t="shared" si="12"/>
        <v>73969342</v>
      </c>
      <c r="P37" s="53">
        <f t="shared" si="13"/>
        <v>30</v>
      </c>
    </row>
    <row r="38" spans="1:18">
      <c r="A38" s="53">
        <f t="shared" si="10"/>
        <v>31</v>
      </c>
      <c r="B38" s="105" t="s">
        <v>7</v>
      </c>
      <c r="C38" s="125">
        <f t="shared" ref="C38:N38" si="19">C13*1000</f>
        <v>8668</v>
      </c>
      <c r="D38" s="125">
        <f t="shared" si="19"/>
        <v>6689</v>
      </c>
      <c r="E38" s="125">
        <f t="shared" si="19"/>
        <v>7399</v>
      </c>
      <c r="F38" s="125">
        <f t="shared" si="19"/>
        <v>7298</v>
      </c>
      <c r="G38" s="125">
        <f t="shared" si="19"/>
        <v>6475</v>
      </c>
      <c r="H38" s="125">
        <f t="shared" si="19"/>
        <v>7887</v>
      </c>
      <c r="I38" s="125">
        <f t="shared" si="19"/>
        <v>7483</v>
      </c>
      <c r="J38" s="125">
        <f t="shared" si="19"/>
        <v>7945</v>
      </c>
      <c r="K38" s="125">
        <f t="shared" si="19"/>
        <v>7560</v>
      </c>
      <c r="L38" s="125">
        <f t="shared" si="19"/>
        <v>7779</v>
      </c>
      <c r="M38" s="125">
        <f t="shared" si="19"/>
        <v>0</v>
      </c>
      <c r="N38" s="125">
        <f t="shared" si="19"/>
        <v>0</v>
      </c>
      <c r="O38" s="126">
        <f t="shared" si="12"/>
        <v>75183</v>
      </c>
      <c r="P38" s="53">
        <f t="shared" si="13"/>
        <v>31</v>
      </c>
      <c r="Q38" s="598"/>
    </row>
    <row r="39" spans="1:18" ht="18.75" thickBot="1">
      <c r="A39" s="53">
        <f t="shared" si="10"/>
        <v>32</v>
      </c>
      <c r="B39" s="106" t="s">
        <v>206</v>
      </c>
      <c r="C39" s="132">
        <f>SUM(C31:C38)</f>
        <v>1222771732</v>
      </c>
      <c r="D39" s="132">
        <f>SUM(D31:D38)</f>
        <v>1408565360</v>
      </c>
      <c r="E39" s="132">
        <f t="shared" ref="E39:N39" si="20">SUM(E31:E38)</f>
        <v>1604744675</v>
      </c>
      <c r="F39" s="132">
        <f t="shared" si="20"/>
        <v>1227781043</v>
      </c>
      <c r="G39" s="132">
        <f t="shared" si="20"/>
        <v>1314777137</v>
      </c>
      <c r="H39" s="132">
        <f t="shared" si="20"/>
        <v>1204328612</v>
      </c>
      <c r="I39" s="132">
        <f t="shared" si="20"/>
        <v>1198109914</v>
      </c>
      <c r="J39" s="132">
        <f t="shared" si="20"/>
        <v>1310907855</v>
      </c>
      <c r="K39" s="132">
        <f t="shared" si="20"/>
        <v>1454671999</v>
      </c>
      <c r="L39" s="132">
        <f t="shared" si="20"/>
        <v>1469860763</v>
      </c>
      <c r="M39" s="132">
        <f t="shared" si="20"/>
        <v>1647514504</v>
      </c>
      <c r="N39" s="132">
        <f t="shared" si="20"/>
        <v>1638300694</v>
      </c>
      <c r="O39" s="133">
        <f>SUM(O31:O38)</f>
        <v>16702334288</v>
      </c>
      <c r="P39" s="53">
        <f t="shared" si="13"/>
        <v>32</v>
      </c>
      <c r="Q39" s="598"/>
    </row>
    <row r="40" spans="1:18" ht="18.75" thickTop="1">
      <c r="A40" s="53">
        <f t="shared" si="10"/>
        <v>33</v>
      </c>
      <c r="B40" s="106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53">
        <f t="shared" si="13"/>
        <v>33</v>
      </c>
    </row>
    <row r="41" spans="1:18" ht="18.75" thickBot="1">
      <c r="A41" s="53">
        <f t="shared" si="10"/>
        <v>34</v>
      </c>
      <c r="B41" s="106" t="s">
        <v>207</v>
      </c>
      <c r="C41" s="135">
        <f>SUM(C31:C37)</f>
        <v>1222763064</v>
      </c>
      <c r="D41" s="135">
        <f>SUM(D31:D37)</f>
        <v>1408558671</v>
      </c>
      <c r="E41" s="135">
        <f>SUM(E31:E37)</f>
        <v>1604737276</v>
      </c>
      <c r="F41" s="135">
        <f t="shared" ref="F41:O41" si="21">SUM(F31:F37)</f>
        <v>1227773745</v>
      </c>
      <c r="G41" s="135">
        <f t="shared" si="21"/>
        <v>1314770662</v>
      </c>
      <c r="H41" s="135">
        <f t="shared" si="21"/>
        <v>1204320725</v>
      </c>
      <c r="I41" s="135">
        <f t="shared" si="21"/>
        <v>1198102431</v>
      </c>
      <c r="J41" s="135">
        <f t="shared" si="21"/>
        <v>1310899910</v>
      </c>
      <c r="K41" s="135">
        <f t="shared" si="21"/>
        <v>1454664439</v>
      </c>
      <c r="L41" s="135">
        <f t="shared" si="21"/>
        <v>1469852984</v>
      </c>
      <c r="M41" s="135">
        <f t="shared" si="21"/>
        <v>1647514504</v>
      </c>
      <c r="N41" s="135">
        <f t="shared" si="21"/>
        <v>1638300694</v>
      </c>
      <c r="O41" s="136">
        <f t="shared" si="21"/>
        <v>16702259105</v>
      </c>
      <c r="P41" s="53">
        <f t="shared" si="13"/>
        <v>34</v>
      </c>
      <c r="Q41" s="598"/>
    </row>
    <row r="42" spans="1:18" ht="19.5" thickTop="1" thickBot="1">
      <c r="A42" s="53">
        <f t="shared" si="10"/>
        <v>35</v>
      </c>
      <c r="B42" s="60"/>
      <c r="C42" s="225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240"/>
      <c r="P42" s="53">
        <f t="shared" si="13"/>
        <v>35</v>
      </c>
      <c r="Q42" s="31"/>
      <c r="R42" s="630"/>
    </row>
    <row r="43" spans="1:18">
      <c r="A43" s="53">
        <f t="shared" si="10"/>
        <v>36</v>
      </c>
      <c r="B43" s="112" t="s">
        <v>208</v>
      </c>
      <c r="C43" s="103">
        <f>C30</f>
        <v>45597</v>
      </c>
      <c r="D43" s="103">
        <f>D30</f>
        <v>45627</v>
      </c>
      <c r="E43" s="103">
        <f t="shared" ref="E43:O43" si="22">E30</f>
        <v>45658</v>
      </c>
      <c r="F43" s="103">
        <f t="shared" si="22"/>
        <v>45689</v>
      </c>
      <c r="G43" s="103">
        <f t="shared" si="22"/>
        <v>45717</v>
      </c>
      <c r="H43" s="103">
        <f t="shared" si="22"/>
        <v>45748</v>
      </c>
      <c r="I43" s="103">
        <f t="shared" si="22"/>
        <v>45778</v>
      </c>
      <c r="J43" s="103">
        <f t="shared" si="22"/>
        <v>45809</v>
      </c>
      <c r="K43" s="103">
        <f t="shared" si="22"/>
        <v>45839</v>
      </c>
      <c r="L43" s="103">
        <f t="shared" si="22"/>
        <v>45870</v>
      </c>
      <c r="M43" s="103">
        <f t="shared" si="22"/>
        <v>45901</v>
      </c>
      <c r="N43" s="103">
        <f t="shared" si="22"/>
        <v>45931</v>
      </c>
      <c r="O43" s="104" t="str">
        <f t="shared" si="22"/>
        <v>Total</v>
      </c>
      <c r="P43" s="53">
        <f t="shared" si="13"/>
        <v>36</v>
      </c>
    </row>
    <row r="44" spans="1:18">
      <c r="A44" s="53">
        <f t="shared" si="10"/>
        <v>37</v>
      </c>
      <c r="B44" s="114" t="s">
        <v>215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53">
        <f t="shared" si="13"/>
        <v>37</v>
      </c>
    </row>
    <row r="45" spans="1:18">
      <c r="A45" s="53">
        <f t="shared" si="10"/>
        <v>38</v>
      </c>
      <c r="B45" s="54" t="s">
        <v>216</v>
      </c>
      <c r="C45" s="628">
        <f t="shared" ref="C45:N45" si="23">C20*1000</f>
        <v>0</v>
      </c>
      <c r="D45" s="628">
        <f t="shared" si="23"/>
        <v>0</v>
      </c>
      <c r="E45" s="631">
        <f t="shared" si="23"/>
        <v>0</v>
      </c>
      <c r="F45" s="631">
        <f t="shared" si="23"/>
        <v>0</v>
      </c>
      <c r="G45" s="631">
        <f t="shared" si="23"/>
        <v>0</v>
      </c>
      <c r="H45" s="631">
        <f t="shared" si="23"/>
        <v>0</v>
      </c>
      <c r="I45" s="631">
        <f t="shared" si="23"/>
        <v>0</v>
      </c>
      <c r="J45" s="631">
        <f t="shared" si="23"/>
        <v>0</v>
      </c>
      <c r="K45" s="631">
        <f t="shared" si="23"/>
        <v>0</v>
      </c>
      <c r="L45" s="631">
        <f t="shared" si="23"/>
        <v>0</v>
      </c>
      <c r="M45" s="631">
        <f t="shared" si="23"/>
        <v>0</v>
      </c>
      <c r="N45" s="631">
        <f t="shared" si="23"/>
        <v>0</v>
      </c>
      <c r="O45" s="629">
        <f>SUM(C45:N45)</f>
        <v>0</v>
      </c>
      <c r="P45" s="53">
        <f t="shared" si="13"/>
        <v>38</v>
      </c>
    </row>
    <row r="46" spans="1:18">
      <c r="A46" s="53">
        <f t="shared" si="10"/>
        <v>39</v>
      </c>
      <c r="B46" s="54" t="s">
        <v>217</v>
      </c>
      <c r="C46" s="125">
        <f t="shared" ref="C46:N46" si="24">C21*1000</f>
        <v>651485578.00000012</v>
      </c>
      <c r="D46" s="125">
        <f t="shared" si="24"/>
        <v>737182019</v>
      </c>
      <c r="E46" s="125">
        <f t="shared" si="24"/>
        <v>773971243</v>
      </c>
      <c r="F46" s="125">
        <f t="shared" si="24"/>
        <v>621943652.00000012</v>
      </c>
      <c r="G46" s="125">
        <f t="shared" si="24"/>
        <v>699206468</v>
      </c>
      <c r="H46" s="125">
        <f t="shared" si="24"/>
        <v>676648884</v>
      </c>
      <c r="I46" s="125">
        <f t="shared" si="24"/>
        <v>668359803.00000012</v>
      </c>
      <c r="J46" s="125">
        <f t="shared" si="24"/>
        <v>737191995</v>
      </c>
      <c r="K46" s="125">
        <f t="shared" si="24"/>
        <v>804701497</v>
      </c>
      <c r="L46" s="125">
        <f t="shared" si="24"/>
        <v>779726841</v>
      </c>
      <c r="M46" s="125">
        <f t="shared" si="24"/>
        <v>780830149</v>
      </c>
      <c r="N46" s="125">
        <f t="shared" si="24"/>
        <v>861364957</v>
      </c>
      <c r="O46" s="126">
        <f t="shared" ref="O46:O47" si="25">SUM(C46:N46)</f>
        <v>8792613086</v>
      </c>
      <c r="P46" s="53">
        <f t="shared" si="13"/>
        <v>39</v>
      </c>
    </row>
    <row r="47" spans="1:18">
      <c r="A47" s="53">
        <f t="shared" si="10"/>
        <v>40</v>
      </c>
      <c r="B47" s="54" t="s">
        <v>218</v>
      </c>
      <c r="C47" s="630">
        <f t="shared" ref="C47:N47" si="26">C22*1000</f>
        <v>0</v>
      </c>
      <c r="D47" s="630">
        <f t="shared" si="26"/>
        <v>0</v>
      </c>
      <c r="E47" s="696">
        <f t="shared" si="26"/>
        <v>0</v>
      </c>
      <c r="F47" s="696">
        <f t="shared" si="26"/>
        <v>0</v>
      </c>
      <c r="G47" s="696">
        <f t="shared" si="26"/>
        <v>0</v>
      </c>
      <c r="H47" s="696">
        <f t="shared" si="26"/>
        <v>0</v>
      </c>
      <c r="I47" s="696">
        <f t="shared" si="26"/>
        <v>0</v>
      </c>
      <c r="J47" s="696">
        <f t="shared" si="26"/>
        <v>0</v>
      </c>
      <c r="K47" s="696">
        <f t="shared" si="26"/>
        <v>0</v>
      </c>
      <c r="L47" s="696">
        <f t="shared" si="26"/>
        <v>0</v>
      </c>
      <c r="M47" s="696">
        <f t="shared" si="26"/>
        <v>0</v>
      </c>
      <c r="N47" s="696">
        <f t="shared" si="26"/>
        <v>0</v>
      </c>
      <c r="O47" s="695">
        <f t="shared" si="25"/>
        <v>0</v>
      </c>
      <c r="P47" s="53">
        <f t="shared" si="13"/>
        <v>40</v>
      </c>
    </row>
    <row r="48" spans="1:18" ht="18.75" thickBot="1">
      <c r="A48" s="53">
        <f t="shared" si="10"/>
        <v>41</v>
      </c>
      <c r="B48" s="53" t="s">
        <v>18</v>
      </c>
      <c r="C48" s="143">
        <f>SUM(C45:C47)</f>
        <v>651485578.00000012</v>
      </c>
      <c r="D48" s="143">
        <f>SUM(D45:D47)</f>
        <v>737182019</v>
      </c>
      <c r="E48" s="143">
        <f t="shared" ref="E48:O48" si="27">SUM(E45:E47)</f>
        <v>773971243</v>
      </c>
      <c r="F48" s="143">
        <f t="shared" si="27"/>
        <v>621943652.00000012</v>
      </c>
      <c r="G48" s="143">
        <f t="shared" si="27"/>
        <v>699206468</v>
      </c>
      <c r="H48" s="143">
        <f t="shared" si="27"/>
        <v>676648884</v>
      </c>
      <c r="I48" s="143">
        <f t="shared" si="27"/>
        <v>668359803.00000012</v>
      </c>
      <c r="J48" s="143">
        <f t="shared" si="27"/>
        <v>737191995</v>
      </c>
      <c r="K48" s="143">
        <f t="shared" si="27"/>
        <v>804701497</v>
      </c>
      <c r="L48" s="143">
        <f t="shared" si="27"/>
        <v>779726841</v>
      </c>
      <c r="M48" s="143">
        <f t="shared" si="27"/>
        <v>780830149</v>
      </c>
      <c r="N48" s="143">
        <f t="shared" si="27"/>
        <v>861364957</v>
      </c>
      <c r="O48" s="144">
        <f t="shared" si="27"/>
        <v>8792613086</v>
      </c>
      <c r="P48" s="53">
        <f t="shared" si="13"/>
        <v>41</v>
      </c>
    </row>
    <row r="49" spans="1:16" ht="19.5" thickTop="1" thickBot="1">
      <c r="A49" s="59">
        <f>A48+1</f>
        <v>42</v>
      </c>
      <c r="B49" s="60"/>
      <c r="C49" s="225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59">
        <f>P48+1</f>
        <v>42</v>
      </c>
    </row>
  </sheetData>
  <mergeCells count="4">
    <mergeCell ref="B2:O2"/>
    <mergeCell ref="B3:O3"/>
    <mergeCell ref="B27:O27"/>
    <mergeCell ref="B28:O28"/>
  </mergeCells>
  <phoneticPr fontId="12" type="noConversion"/>
  <printOptions horizontalCentered="1"/>
  <pageMargins left="0.25" right="0.25" top="0.5" bottom="0.5" header="0.25" footer="0.25"/>
  <pageSetup scale="50" orientation="landscape" r:id="rId1"/>
  <headerFooter scaleWithDoc="0">
    <oddFooter>&amp;L&amp;"Times New Roman,Regular"&amp;12&amp;F&amp;C&amp;"Times New Roman,Regular"&amp;12Page 1.1&amp;R&amp;"Times New Roman,Regular"&amp;12&amp;A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9"/>
  <sheetViews>
    <sheetView zoomScaleNormal="100" workbookViewId="0">
      <selection activeCell="N6" sqref="N6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35.5703125" style="95" hidden="1" customWidth="1"/>
    <col min="17" max="17" width="5.5703125" style="95" customWidth="1"/>
    <col min="18" max="18" width="5.5703125" style="95" bestFit="1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8" t="s">
        <v>198</v>
      </c>
      <c r="C2" s="729"/>
      <c r="D2" s="729"/>
      <c r="E2" s="729"/>
      <c r="F2" s="729"/>
      <c r="G2" s="729"/>
      <c r="H2" s="729"/>
      <c r="I2" s="729"/>
      <c r="J2" s="729"/>
      <c r="K2" s="729"/>
      <c r="L2" s="729"/>
      <c r="M2" s="729"/>
      <c r="N2" s="729"/>
      <c r="O2" s="730"/>
      <c r="Q2" s="514" t="s">
        <v>8</v>
      </c>
    </row>
    <row r="3" spans="1:17" s="515" customFormat="1" ht="26.25" thickBot="1">
      <c r="A3" s="96" t="s">
        <v>11</v>
      </c>
      <c r="B3" s="731" t="s">
        <v>398</v>
      </c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3"/>
      <c r="P3" s="96" t="s">
        <v>16</v>
      </c>
      <c r="Q3" s="96" t="s">
        <v>11</v>
      </c>
    </row>
    <row r="4" spans="1:17">
      <c r="A4" s="53">
        <v>1</v>
      </c>
      <c r="B4" s="198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3">
        <v>46023</v>
      </c>
      <c r="D5" s="103">
        <v>46054</v>
      </c>
      <c r="E5" s="103">
        <v>46082</v>
      </c>
      <c r="F5" s="103">
        <v>46113</v>
      </c>
      <c r="G5" s="103">
        <v>46143</v>
      </c>
      <c r="H5" s="103">
        <v>46174</v>
      </c>
      <c r="I5" s="103">
        <v>46204</v>
      </c>
      <c r="J5" s="103">
        <v>46235</v>
      </c>
      <c r="K5" s="103">
        <v>46266</v>
      </c>
      <c r="L5" s="103">
        <v>46296</v>
      </c>
      <c r="M5" s="103">
        <v>46327</v>
      </c>
      <c r="N5" s="103">
        <v>46357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5">
        <v>565866.7545167394</v>
      </c>
      <c r="D6" s="125">
        <v>474945.65281434939</v>
      </c>
      <c r="E6" s="125">
        <v>415713.04223156243</v>
      </c>
      <c r="F6" s="125">
        <v>339697.35059226031</v>
      </c>
      <c r="G6" s="125">
        <v>312119.36205995828</v>
      </c>
      <c r="H6" s="125">
        <v>335919.48072164389</v>
      </c>
      <c r="I6" s="125">
        <v>439256.6727740927</v>
      </c>
      <c r="J6" s="125">
        <v>587388.49004375737</v>
      </c>
      <c r="K6" s="125">
        <v>663180.16079624335</v>
      </c>
      <c r="L6" s="125">
        <v>486365.56356523017</v>
      </c>
      <c r="M6" s="125">
        <v>418337.1072421071</v>
      </c>
      <c r="N6" s="125">
        <v>490455.11967941705</v>
      </c>
      <c r="O6" s="126">
        <f>SUM(C6:N6)</f>
        <v>5529244.7570373621</v>
      </c>
      <c r="P6" s="53" t="s">
        <v>219</v>
      </c>
      <c r="Q6" s="53">
        <f>Q5+1</f>
        <v>3</v>
      </c>
    </row>
    <row r="7" spans="1:17">
      <c r="A7" s="53">
        <f t="shared" ref="A7:A24" si="0">A6+1</f>
        <v>4</v>
      </c>
      <c r="B7" s="58" t="s">
        <v>202</v>
      </c>
      <c r="C7" s="125">
        <v>201410.8846648258</v>
      </c>
      <c r="D7" s="125">
        <v>193878.03431133719</v>
      </c>
      <c r="E7" s="125">
        <v>189903.29863903418</v>
      </c>
      <c r="F7" s="125">
        <v>188108.26087251215</v>
      </c>
      <c r="G7" s="125">
        <v>187866.12535447706</v>
      </c>
      <c r="H7" s="125">
        <v>194140.30301661658</v>
      </c>
      <c r="I7" s="125">
        <v>217323.56930803531</v>
      </c>
      <c r="J7" s="125">
        <v>229243.87939853666</v>
      </c>
      <c r="K7" s="125">
        <v>239317.96571833527</v>
      </c>
      <c r="L7" s="125">
        <v>211348.57679099374</v>
      </c>
      <c r="M7" s="125">
        <v>195315.56105681779</v>
      </c>
      <c r="N7" s="125">
        <v>194243.9979147311</v>
      </c>
      <c r="O7" s="126">
        <f>SUM(C7:N7)</f>
        <v>2442100.4570462527</v>
      </c>
      <c r="P7" s="53" t="str">
        <f>P6</f>
        <v>Total Deliveries MWH - Work Paper</v>
      </c>
      <c r="Q7" s="53">
        <f t="shared" ref="Q7:Q24" si="1">Q6+1</f>
        <v>4</v>
      </c>
    </row>
    <row r="8" spans="1:17">
      <c r="A8" s="53">
        <f t="shared" si="0"/>
        <v>5</v>
      </c>
      <c r="B8" s="58" t="s">
        <v>203</v>
      </c>
      <c r="C8" s="129">
        <v>718797.7314519526</v>
      </c>
      <c r="D8" s="129">
        <v>680989.30974619114</v>
      </c>
      <c r="E8" s="129">
        <v>682843.72333270195</v>
      </c>
      <c r="F8" s="129">
        <v>686833.63435529463</v>
      </c>
      <c r="G8" s="129">
        <v>693440.6124129626</v>
      </c>
      <c r="H8" s="129">
        <v>723617.54656166642</v>
      </c>
      <c r="I8" s="129">
        <v>806489.65684811841</v>
      </c>
      <c r="J8" s="129">
        <v>833968.51835937228</v>
      </c>
      <c r="K8" s="129">
        <v>867016.87316453329</v>
      </c>
      <c r="L8" s="129">
        <v>796536.57447793381</v>
      </c>
      <c r="M8" s="129">
        <v>728103.25338593172</v>
      </c>
      <c r="N8" s="129">
        <v>763709.82081237144</v>
      </c>
      <c r="O8" s="126">
        <f>SUM(C8:N8)</f>
        <v>8982347.2549090292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58" t="s">
        <v>101</v>
      </c>
      <c r="C9" s="129">
        <v>216.72</v>
      </c>
      <c r="D9" s="129">
        <v>453.59</v>
      </c>
      <c r="E9" s="129">
        <v>352.39</v>
      </c>
      <c r="F9" s="129">
        <v>1098.01</v>
      </c>
      <c r="G9" s="129">
        <v>195.56</v>
      </c>
      <c r="H9" s="129">
        <v>0</v>
      </c>
      <c r="I9" s="703">
        <v>0</v>
      </c>
      <c r="J9" s="703">
        <v>0</v>
      </c>
      <c r="K9" s="703">
        <v>102.32</v>
      </c>
      <c r="L9" s="703">
        <v>747.3</v>
      </c>
      <c r="M9" s="703">
        <v>703.62</v>
      </c>
      <c r="N9" s="703">
        <v>339.3</v>
      </c>
      <c r="O9" s="126">
        <f>SUM(C9:N9)</f>
        <v>4208.8100000000004</v>
      </c>
      <c r="P9" s="53"/>
      <c r="Q9" s="53">
        <f t="shared" si="1"/>
        <v>6</v>
      </c>
    </row>
    <row r="10" spans="1:17">
      <c r="A10" s="53">
        <f t="shared" si="0"/>
        <v>7</v>
      </c>
      <c r="B10" s="58" t="s">
        <v>214</v>
      </c>
      <c r="C10" s="129">
        <v>8770.8981289841504</v>
      </c>
      <c r="D10" s="129">
        <v>8598.1977953569913</v>
      </c>
      <c r="E10" s="129">
        <v>8121.460102189486</v>
      </c>
      <c r="F10" s="129">
        <v>8972.6457992273154</v>
      </c>
      <c r="G10" s="129">
        <v>13494.394209383001</v>
      </c>
      <c r="H10" s="129">
        <v>15277.102085518412</v>
      </c>
      <c r="I10" s="129">
        <v>17674.212425930997</v>
      </c>
      <c r="J10" s="129">
        <v>19350.930552889986</v>
      </c>
      <c r="K10" s="129">
        <v>18944.80013235228</v>
      </c>
      <c r="L10" s="129">
        <v>17483.777143699219</v>
      </c>
      <c r="M10" s="129">
        <v>14421.116292368242</v>
      </c>
      <c r="N10" s="129">
        <v>13285.180217291201</v>
      </c>
      <c r="O10" s="126">
        <f t="shared" ref="O10:O11" si="2">SUM(C10:N10)</f>
        <v>164394.71488519129</v>
      </c>
      <c r="P10" s="53"/>
      <c r="Q10" s="53">
        <f t="shared" si="1"/>
        <v>7</v>
      </c>
    </row>
    <row r="11" spans="1:17">
      <c r="A11" s="53">
        <f t="shared" si="0"/>
        <v>8</v>
      </c>
      <c r="B11" s="58" t="s">
        <v>107</v>
      </c>
      <c r="C11" s="129">
        <v>16096.194488099385</v>
      </c>
      <c r="D11" s="129">
        <v>16324.789675258995</v>
      </c>
      <c r="E11" s="129">
        <v>15210.058425003275</v>
      </c>
      <c r="F11" s="129">
        <v>15790.788262185775</v>
      </c>
      <c r="G11" s="129">
        <v>18980.076654593213</v>
      </c>
      <c r="H11" s="129">
        <v>19791.045536760012</v>
      </c>
      <c r="I11" s="129">
        <v>21824.505864378167</v>
      </c>
      <c r="J11" s="129">
        <v>21947.825423344755</v>
      </c>
      <c r="K11" s="129">
        <v>21857.831109899176</v>
      </c>
      <c r="L11" s="129">
        <v>21118.8242638708</v>
      </c>
      <c r="M11" s="129">
        <v>19755.426797113778</v>
      </c>
      <c r="N11" s="129">
        <v>18182.7154746778</v>
      </c>
      <c r="O11" s="126">
        <f t="shared" si="2"/>
        <v>226880.08197518514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9">
        <v>7050.0413726688057</v>
      </c>
      <c r="D12" s="129">
        <v>6963.6393231486991</v>
      </c>
      <c r="E12" s="129">
        <v>6821.3843778897572</v>
      </c>
      <c r="F12" s="129">
        <v>6696.4339907789936</v>
      </c>
      <c r="G12" s="129">
        <v>6687.4349307582761</v>
      </c>
      <c r="H12" s="129">
        <v>6721.2374505943089</v>
      </c>
      <c r="I12" s="129">
        <v>6678.7223135911072</v>
      </c>
      <c r="J12" s="129">
        <v>6838.7799659992625</v>
      </c>
      <c r="K12" s="129">
        <v>6753.5915071859908</v>
      </c>
      <c r="L12" s="129">
        <v>6782.6486053437784</v>
      </c>
      <c r="M12" s="129">
        <v>7119.9366196114333</v>
      </c>
      <c r="N12" s="129">
        <v>7138.9094377961856</v>
      </c>
      <c r="O12" s="126">
        <f>SUM(C12:N12)</f>
        <v>82252.759895366587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7.5685555555555553</v>
      </c>
      <c r="D13" s="148">
        <v>7.5685555555555553</v>
      </c>
      <c r="E13" s="148">
        <v>7.5685555555555553</v>
      </c>
      <c r="F13" s="148">
        <v>7.5685555555555553</v>
      </c>
      <c r="G13" s="148">
        <v>7.5685555555555553</v>
      </c>
      <c r="H13" s="148">
        <v>7.5685555555555553</v>
      </c>
      <c r="I13" s="148">
        <v>7.5685555555555553</v>
      </c>
      <c r="J13" s="148">
        <v>7.5685555555555553</v>
      </c>
      <c r="K13" s="148">
        <v>7.5685555555555553</v>
      </c>
      <c r="L13" s="148">
        <v>7.5685555555555553</v>
      </c>
      <c r="M13" s="148">
        <v>7.5685555555555553</v>
      </c>
      <c r="N13" s="148">
        <v>7.5685555555555553</v>
      </c>
      <c r="O13" s="130">
        <f>SUM(C13:N13)</f>
        <v>90.822666666666635</v>
      </c>
      <c r="P13" s="53" t="str">
        <f>P12</f>
        <v>Total Deliveries MWH - Work Paper</v>
      </c>
      <c r="Q13" s="53">
        <f t="shared" si="1"/>
        <v>10</v>
      </c>
    </row>
    <row r="14" spans="1:17" ht="18.75" thickBot="1">
      <c r="A14" s="53">
        <f t="shared" si="0"/>
        <v>11</v>
      </c>
      <c r="B14" s="106" t="s">
        <v>206</v>
      </c>
      <c r="C14" s="132">
        <f>SUM(C6:C13)</f>
        <v>1518216.7931788256</v>
      </c>
      <c r="D14" s="135">
        <f t="shared" ref="D14:N14" si="3">SUM(D6:D13)</f>
        <v>1382160.7822211981</v>
      </c>
      <c r="E14" s="135">
        <f t="shared" si="3"/>
        <v>1318972.9256639367</v>
      </c>
      <c r="F14" s="135">
        <f t="shared" si="3"/>
        <v>1247204.6924278149</v>
      </c>
      <c r="G14" s="135">
        <f t="shared" si="3"/>
        <v>1232791.1341776883</v>
      </c>
      <c r="H14" s="135">
        <f t="shared" si="3"/>
        <v>1295474.2839283552</v>
      </c>
      <c r="I14" s="135">
        <f t="shared" si="3"/>
        <v>1509254.908089702</v>
      </c>
      <c r="J14" s="135">
        <f t="shared" si="3"/>
        <v>1698745.9922994559</v>
      </c>
      <c r="K14" s="135">
        <f t="shared" si="3"/>
        <v>1817181.1109841049</v>
      </c>
      <c r="L14" s="135">
        <f t="shared" si="3"/>
        <v>1540390.8334026271</v>
      </c>
      <c r="M14" s="135">
        <f t="shared" si="3"/>
        <v>1383763.5899495056</v>
      </c>
      <c r="N14" s="135">
        <f t="shared" si="3"/>
        <v>1487362.6120918402</v>
      </c>
      <c r="O14" s="133">
        <f>SUM(O6:O13)</f>
        <v>17431519.658415049</v>
      </c>
      <c r="P14" s="53" t="s">
        <v>220</v>
      </c>
      <c r="Q14" s="53">
        <f t="shared" si="1"/>
        <v>11</v>
      </c>
    </row>
    <row r="15" spans="1:17" ht="18.75" thickTop="1">
      <c r="A15" s="53">
        <f t="shared" si="0"/>
        <v>12</v>
      </c>
      <c r="B15" s="106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.75" thickBot="1">
      <c r="A16" s="53">
        <f t="shared" si="0"/>
        <v>13</v>
      </c>
      <c r="B16" s="106" t="s">
        <v>207</v>
      </c>
      <c r="C16" s="135">
        <f>SUM(C6:C12)</f>
        <v>1518209.2246232701</v>
      </c>
      <c r="D16" s="135">
        <f>SUM(D6:D12)</f>
        <v>1382153.2136656425</v>
      </c>
      <c r="E16" s="135">
        <f t="shared" ref="E16:O16" si="4">SUM(E6:E12)</f>
        <v>1318965.3571083811</v>
      </c>
      <c r="F16" s="135">
        <f t="shared" si="4"/>
        <v>1247197.1238722594</v>
      </c>
      <c r="G16" s="135">
        <f t="shared" si="4"/>
        <v>1232783.5656221327</v>
      </c>
      <c r="H16" s="135">
        <f t="shared" si="4"/>
        <v>1295466.7153727997</v>
      </c>
      <c r="I16" s="135">
        <f t="shared" si="4"/>
        <v>1509247.3395341465</v>
      </c>
      <c r="J16" s="135">
        <f t="shared" si="4"/>
        <v>1698738.4237439004</v>
      </c>
      <c r="K16" s="135">
        <f t="shared" si="4"/>
        <v>1817173.5424285494</v>
      </c>
      <c r="L16" s="135">
        <f t="shared" si="4"/>
        <v>1540383.2648470716</v>
      </c>
      <c r="M16" s="135">
        <f t="shared" si="4"/>
        <v>1383756.0213939501</v>
      </c>
      <c r="N16" s="135">
        <f t="shared" si="4"/>
        <v>1487355.0435362847</v>
      </c>
      <c r="O16" s="136">
        <f t="shared" si="4"/>
        <v>17431428.835748382</v>
      </c>
      <c r="P16" s="108"/>
      <c r="Q16" s="53">
        <f t="shared" si="1"/>
        <v>13</v>
      </c>
    </row>
    <row r="17" spans="1:17" ht="19.5" thickTop="1" thickBot="1">
      <c r="A17" s="53">
        <f t="shared" si="0"/>
        <v>14</v>
      </c>
      <c r="B17" s="6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7">
      <c r="A18" s="53">
        <f t="shared" si="0"/>
        <v>15</v>
      </c>
      <c r="B18" s="112" t="s">
        <v>221</v>
      </c>
      <c r="C18" s="102">
        <f>C5</f>
        <v>46023</v>
      </c>
      <c r="D18" s="103">
        <f t="shared" ref="D18:O18" si="5">D5</f>
        <v>46054</v>
      </c>
      <c r="E18" s="103">
        <f t="shared" si="5"/>
        <v>46082</v>
      </c>
      <c r="F18" s="103">
        <f t="shared" si="5"/>
        <v>46113</v>
      </c>
      <c r="G18" s="103">
        <f t="shared" si="5"/>
        <v>46143</v>
      </c>
      <c r="H18" s="103">
        <f t="shared" si="5"/>
        <v>46174</v>
      </c>
      <c r="I18" s="103">
        <f t="shared" si="5"/>
        <v>46204</v>
      </c>
      <c r="J18" s="103">
        <f t="shared" si="5"/>
        <v>46235</v>
      </c>
      <c r="K18" s="103">
        <f t="shared" si="5"/>
        <v>46266</v>
      </c>
      <c r="L18" s="103">
        <f t="shared" si="5"/>
        <v>46296</v>
      </c>
      <c r="M18" s="103">
        <f t="shared" si="5"/>
        <v>46327</v>
      </c>
      <c r="N18" s="103">
        <f t="shared" si="5"/>
        <v>46357</v>
      </c>
      <c r="O18" s="104" t="str">
        <f t="shared" si="5"/>
        <v>Total</v>
      </c>
      <c r="P18" s="113"/>
      <c r="Q18" s="53">
        <f t="shared" si="1"/>
        <v>15</v>
      </c>
    </row>
    <row r="19" spans="1:17" ht="18.75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7">
      <c r="A20" s="53">
        <f t="shared" si="0"/>
        <v>17</v>
      </c>
      <c r="B20" s="54" t="s">
        <v>216</v>
      </c>
      <c r="C20" s="697">
        <v>0</v>
      </c>
      <c r="D20" s="630">
        <v>0</v>
      </c>
      <c r="E20" s="630">
        <v>0</v>
      </c>
      <c r="F20" s="630">
        <v>0</v>
      </c>
      <c r="G20" s="630">
        <v>0</v>
      </c>
      <c r="H20" s="630">
        <v>0</v>
      </c>
      <c r="I20" s="630">
        <v>0</v>
      </c>
      <c r="J20" s="630">
        <v>0</v>
      </c>
      <c r="K20" s="630">
        <v>0</v>
      </c>
      <c r="L20" s="630">
        <v>0</v>
      </c>
      <c r="M20" s="630">
        <v>0</v>
      </c>
      <c r="N20" s="63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7">
      <c r="A21" s="53">
        <f t="shared" si="0"/>
        <v>18</v>
      </c>
      <c r="B21" s="54" t="s">
        <v>217</v>
      </c>
      <c r="C21" s="124">
        <v>624623.34396358684</v>
      </c>
      <c r="D21" s="125">
        <v>598275.54000922793</v>
      </c>
      <c r="E21" s="125">
        <v>591888.33811396465</v>
      </c>
      <c r="F21" s="125">
        <v>593322.4069488364</v>
      </c>
      <c r="G21" s="125">
        <v>603056.33649390168</v>
      </c>
      <c r="H21" s="125">
        <v>633872.26914044889</v>
      </c>
      <c r="I21" s="125">
        <v>704820.31099111389</v>
      </c>
      <c r="J21" s="125">
        <v>732706.68919207831</v>
      </c>
      <c r="K21" s="125">
        <v>765160.86600524245</v>
      </c>
      <c r="L21" s="125">
        <v>700464.73635272053</v>
      </c>
      <c r="M21" s="125">
        <v>635921.14628863835</v>
      </c>
      <c r="N21" s="125">
        <v>657229.98612820031</v>
      </c>
      <c r="O21" s="126">
        <f>SUM(C21:N21)</f>
        <v>7841341.9696279597</v>
      </c>
      <c r="P21" s="53" t="str">
        <f>P20</f>
        <v>Total Deliveries MWH - Work Paper</v>
      </c>
      <c r="Q21" s="53">
        <f t="shared" si="1"/>
        <v>18</v>
      </c>
    </row>
    <row r="22" spans="1:17">
      <c r="A22" s="53">
        <f t="shared" si="0"/>
        <v>19</v>
      </c>
      <c r="B22" s="54" t="s">
        <v>218</v>
      </c>
      <c r="C22" s="124">
        <v>94174.387488365741</v>
      </c>
      <c r="D22" s="141">
        <v>82713.76973696315</v>
      </c>
      <c r="E22" s="141">
        <v>90955.385218737327</v>
      </c>
      <c r="F22" s="141">
        <v>93511.227406458245</v>
      </c>
      <c r="G22" s="141">
        <v>90384.275919060892</v>
      </c>
      <c r="H22" s="141">
        <v>89745.277421217557</v>
      </c>
      <c r="I22" s="141">
        <v>101669.34585700449</v>
      </c>
      <c r="J22" s="141">
        <v>101261.82916729401</v>
      </c>
      <c r="K22" s="141">
        <v>101856.00715929084</v>
      </c>
      <c r="L22" s="141">
        <v>96071.838125213282</v>
      </c>
      <c r="M22" s="141">
        <v>92182.107097293367</v>
      </c>
      <c r="N22" s="125">
        <v>106479.83468417113</v>
      </c>
      <c r="O22" s="126">
        <f>SUM(C22:N22)</f>
        <v>1141005.28528107</v>
      </c>
      <c r="P22" s="53" t="str">
        <f>P21</f>
        <v>Total Deliveries MWH - Work Paper</v>
      </c>
      <c r="Q22" s="53">
        <f t="shared" si="1"/>
        <v>19</v>
      </c>
    </row>
    <row r="23" spans="1:17">
      <c r="A23" s="53">
        <f t="shared" si="0"/>
        <v>20</v>
      </c>
      <c r="B23" s="53" t="s">
        <v>18</v>
      </c>
      <c r="C23" s="145">
        <f>SUM(C20:C22)</f>
        <v>718797.7314519526</v>
      </c>
      <c r="D23" s="141">
        <f t="shared" ref="D23:O23" si="6">SUM(D20:D22)</f>
        <v>680989.30974619114</v>
      </c>
      <c r="E23" s="141">
        <f t="shared" si="6"/>
        <v>682843.72333270195</v>
      </c>
      <c r="F23" s="141">
        <f t="shared" si="6"/>
        <v>686833.63435529463</v>
      </c>
      <c r="G23" s="141">
        <f t="shared" si="6"/>
        <v>693440.6124129626</v>
      </c>
      <c r="H23" s="141">
        <f t="shared" si="6"/>
        <v>723617.54656166642</v>
      </c>
      <c r="I23" s="141">
        <f t="shared" si="6"/>
        <v>806489.65684811841</v>
      </c>
      <c r="J23" s="141">
        <f t="shared" si="6"/>
        <v>833968.51835937228</v>
      </c>
      <c r="K23" s="141">
        <f t="shared" si="6"/>
        <v>867016.87316453329</v>
      </c>
      <c r="L23" s="141">
        <f t="shared" si="6"/>
        <v>796536.57447793381</v>
      </c>
      <c r="M23" s="141">
        <f t="shared" si="6"/>
        <v>728103.25338593172</v>
      </c>
      <c r="N23" s="146">
        <f t="shared" si="6"/>
        <v>763709.82081237144</v>
      </c>
      <c r="O23" s="147">
        <f t="shared" si="6"/>
        <v>8982347.2549090292</v>
      </c>
      <c r="P23" s="53" t="s">
        <v>222</v>
      </c>
      <c r="Q23" s="53">
        <f t="shared" si="1"/>
        <v>20</v>
      </c>
    </row>
    <row r="24" spans="1:17" ht="19.5" thickBot="1">
      <c r="A24" s="59">
        <f t="shared" si="0"/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 t="shared" si="1"/>
        <v>21</v>
      </c>
    </row>
    <row r="25" spans="1:17">
      <c r="P25" s="118"/>
    </row>
    <row r="26" spans="1:17" ht="18.75" thickBot="1"/>
    <row r="27" spans="1:17">
      <c r="A27" s="94" t="s">
        <v>8</v>
      </c>
      <c r="B27" s="740" t="str">
        <f>B2</f>
        <v>San Diego Gas &amp; Electric</v>
      </c>
      <c r="C27" s="741"/>
      <c r="D27" s="741"/>
      <c r="E27" s="741"/>
      <c r="F27" s="741"/>
      <c r="G27" s="741"/>
      <c r="H27" s="741"/>
      <c r="I27" s="741"/>
      <c r="J27" s="741"/>
      <c r="K27" s="741"/>
      <c r="L27" s="741"/>
      <c r="M27" s="741"/>
      <c r="N27" s="741"/>
      <c r="O27" s="742"/>
      <c r="Q27" s="94" t="s">
        <v>8</v>
      </c>
    </row>
    <row r="28" spans="1:17" ht="18.75" thickBot="1">
      <c r="A28" s="59" t="s">
        <v>11</v>
      </c>
      <c r="B28" s="743" t="str">
        <f>B3</f>
        <v>Forecast Billing Determinants for the 12-Month Period: January 2026 - December 2026</v>
      </c>
      <c r="C28" s="744"/>
      <c r="D28" s="744"/>
      <c r="E28" s="744"/>
      <c r="F28" s="744"/>
      <c r="G28" s="744"/>
      <c r="H28" s="744"/>
      <c r="I28" s="744"/>
      <c r="J28" s="744"/>
      <c r="K28" s="744"/>
      <c r="L28" s="744"/>
      <c r="M28" s="744"/>
      <c r="N28" s="744"/>
      <c r="O28" s="745"/>
      <c r="P28" s="96" t="s">
        <v>16</v>
      </c>
      <c r="Q28" s="59" t="s">
        <v>11</v>
      </c>
    </row>
    <row r="29" spans="1:17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94">
        <f>Q24+1</f>
        <v>22</v>
      </c>
    </row>
    <row r="30" spans="1:17">
      <c r="A30" s="53">
        <f>A29+1</f>
        <v>23</v>
      </c>
      <c r="B30" s="101" t="s">
        <v>213</v>
      </c>
      <c r="C30" s="102">
        <f t="shared" ref="C30:N30" si="7">C5</f>
        <v>46023</v>
      </c>
      <c r="D30" s="103">
        <f t="shared" si="7"/>
        <v>46054</v>
      </c>
      <c r="E30" s="103">
        <f t="shared" si="7"/>
        <v>46082</v>
      </c>
      <c r="F30" s="103">
        <f t="shared" si="7"/>
        <v>46113</v>
      </c>
      <c r="G30" s="103">
        <f t="shared" si="7"/>
        <v>46143</v>
      </c>
      <c r="H30" s="103">
        <f t="shared" si="7"/>
        <v>46174</v>
      </c>
      <c r="I30" s="103">
        <f t="shared" si="7"/>
        <v>46204</v>
      </c>
      <c r="J30" s="103">
        <f t="shared" si="7"/>
        <v>46235</v>
      </c>
      <c r="K30" s="103">
        <f t="shared" si="7"/>
        <v>46266</v>
      </c>
      <c r="L30" s="103">
        <f t="shared" si="7"/>
        <v>46296</v>
      </c>
      <c r="M30" s="103">
        <f t="shared" si="7"/>
        <v>46327</v>
      </c>
      <c r="N30" s="103">
        <f t="shared" si="7"/>
        <v>46357</v>
      </c>
      <c r="O30" s="104" t="s">
        <v>18</v>
      </c>
      <c r="P30" s="55"/>
      <c r="Q30" s="53">
        <f>Q29+1</f>
        <v>23</v>
      </c>
    </row>
    <row r="31" spans="1:17">
      <c r="A31" s="53">
        <f>A30+1</f>
        <v>24</v>
      </c>
      <c r="B31" s="58" t="s">
        <v>201</v>
      </c>
      <c r="C31" s="124">
        <f t="shared" ref="C31:N31" si="8">C6*1000</f>
        <v>565866754.51673937</v>
      </c>
      <c r="D31" s="125">
        <f t="shared" si="8"/>
        <v>474945652.81434941</v>
      </c>
      <c r="E31" s="125">
        <f t="shared" si="8"/>
        <v>415713042.23156244</v>
      </c>
      <c r="F31" s="125">
        <f t="shared" si="8"/>
        <v>339697350.5922603</v>
      </c>
      <c r="G31" s="125">
        <f t="shared" si="8"/>
        <v>312119362.05995828</v>
      </c>
      <c r="H31" s="125">
        <f t="shared" si="8"/>
        <v>335919480.72164387</v>
      </c>
      <c r="I31" s="125">
        <f t="shared" si="8"/>
        <v>439256672.77409267</v>
      </c>
      <c r="J31" s="125">
        <f t="shared" si="8"/>
        <v>587388490.04375732</v>
      </c>
      <c r="K31" s="125">
        <f t="shared" si="8"/>
        <v>663180160.79624331</v>
      </c>
      <c r="L31" s="125">
        <f t="shared" si="8"/>
        <v>486365563.56523019</v>
      </c>
      <c r="M31" s="125">
        <f t="shared" si="8"/>
        <v>418337107.24210709</v>
      </c>
      <c r="N31" s="125">
        <f t="shared" si="8"/>
        <v>490455119.67941707</v>
      </c>
      <c r="O31" s="126">
        <f>SUM(C31:N31)</f>
        <v>5529244757.0373611</v>
      </c>
      <c r="P31" s="53" t="s">
        <v>219</v>
      </c>
      <c r="Q31" s="53">
        <f>Q30+1</f>
        <v>24</v>
      </c>
    </row>
    <row r="32" spans="1:17">
      <c r="A32" s="53">
        <f t="shared" ref="A32:A49" si="9">A31+1</f>
        <v>25</v>
      </c>
      <c r="B32" s="58" t="s">
        <v>202</v>
      </c>
      <c r="C32" s="124">
        <f t="shared" ref="C32:N32" si="10">C7*1000</f>
        <v>201410884.6648258</v>
      </c>
      <c r="D32" s="125">
        <f t="shared" si="10"/>
        <v>193878034.3113372</v>
      </c>
      <c r="E32" s="125">
        <f t="shared" si="10"/>
        <v>189903298.63903418</v>
      </c>
      <c r="F32" s="125">
        <f t="shared" si="10"/>
        <v>188108260.87251216</v>
      </c>
      <c r="G32" s="125">
        <f t="shared" si="10"/>
        <v>187866125.35447705</v>
      </c>
      <c r="H32" s="125">
        <f t="shared" si="10"/>
        <v>194140303.01661658</v>
      </c>
      <c r="I32" s="125">
        <f t="shared" si="10"/>
        <v>217323569.30803531</v>
      </c>
      <c r="J32" s="125">
        <f t="shared" si="10"/>
        <v>229243879.39853665</v>
      </c>
      <c r="K32" s="125">
        <f t="shared" si="10"/>
        <v>239317965.71833527</v>
      </c>
      <c r="L32" s="125">
        <f t="shared" si="10"/>
        <v>211348576.79099375</v>
      </c>
      <c r="M32" s="125">
        <f t="shared" si="10"/>
        <v>195315561.0568178</v>
      </c>
      <c r="N32" s="125">
        <f t="shared" si="10"/>
        <v>194243997.91473109</v>
      </c>
      <c r="O32" s="126">
        <f>SUM(C32:N32)</f>
        <v>2442100457.0462527</v>
      </c>
      <c r="P32" s="53" t="str">
        <f>P31</f>
        <v>Total Deliveries MWH - Work Paper</v>
      </c>
      <c r="Q32" s="53">
        <f t="shared" ref="Q32:Q49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718797731.45195258</v>
      </c>
      <c r="D33" s="129">
        <f>D48</f>
        <v>680989309.74619102</v>
      </c>
      <c r="E33" s="129">
        <f t="shared" ref="E33:N33" si="12">E48</f>
        <v>682843723.33270204</v>
      </c>
      <c r="F33" s="129">
        <f t="shared" si="12"/>
        <v>686833634.3552947</v>
      </c>
      <c r="G33" s="129">
        <f t="shared" si="12"/>
        <v>693440612.41296268</v>
      </c>
      <c r="H33" s="129">
        <f t="shared" si="12"/>
        <v>723617546.56166649</v>
      </c>
      <c r="I33" s="129">
        <f t="shared" si="12"/>
        <v>806489656.84811842</v>
      </c>
      <c r="J33" s="129">
        <f t="shared" si="12"/>
        <v>833968518.35937238</v>
      </c>
      <c r="K33" s="129">
        <f t="shared" si="12"/>
        <v>867016873.16453326</v>
      </c>
      <c r="L33" s="129">
        <f t="shared" si="12"/>
        <v>796536574.47793376</v>
      </c>
      <c r="M33" s="129">
        <f t="shared" si="12"/>
        <v>728103253.38593173</v>
      </c>
      <c r="N33" s="129">
        <f t="shared" si="12"/>
        <v>763709820.81237137</v>
      </c>
      <c r="O33" s="126">
        <f>SUM(C33:N33)</f>
        <v>8982347254.9090309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8">
        <f>C9*1000</f>
        <v>216720</v>
      </c>
      <c r="D34" s="129">
        <f t="shared" ref="D34:N34" si="13">D9*1000</f>
        <v>453590</v>
      </c>
      <c r="E34" s="129">
        <f t="shared" si="13"/>
        <v>352390</v>
      </c>
      <c r="F34" s="129">
        <f t="shared" si="13"/>
        <v>1098010</v>
      </c>
      <c r="G34" s="129">
        <f t="shared" si="13"/>
        <v>195560</v>
      </c>
      <c r="H34" s="129">
        <f t="shared" si="13"/>
        <v>0</v>
      </c>
      <c r="I34" s="703">
        <f t="shared" si="13"/>
        <v>0</v>
      </c>
      <c r="J34" s="703">
        <f t="shared" si="13"/>
        <v>0</v>
      </c>
      <c r="K34" s="703">
        <f t="shared" si="13"/>
        <v>102320</v>
      </c>
      <c r="L34" s="703">
        <f t="shared" si="13"/>
        <v>747300</v>
      </c>
      <c r="M34" s="703">
        <f t="shared" si="13"/>
        <v>703620</v>
      </c>
      <c r="N34" s="703">
        <f t="shared" si="13"/>
        <v>339300</v>
      </c>
      <c r="O34" s="126">
        <f>SUM(C34:N34)</f>
        <v>4208810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 t="shared" ref="C35:N35" si="14">C10*1000</f>
        <v>8770898.1289841495</v>
      </c>
      <c r="D35" s="125">
        <f t="shared" si="14"/>
        <v>8598197.7953569908</v>
      </c>
      <c r="E35" s="125">
        <f t="shared" si="14"/>
        <v>8121460.1021894859</v>
      </c>
      <c r="F35" s="125">
        <f t="shared" si="14"/>
        <v>8972645.7992273159</v>
      </c>
      <c r="G35" s="125">
        <f t="shared" si="14"/>
        <v>13494394.209383002</v>
      </c>
      <c r="H35" s="125">
        <f t="shared" si="14"/>
        <v>15277102.085518412</v>
      </c>
      <c r="I35" s="125">
        <f t="shared" si="14"/>
        <v>17674212.425930995</v>
      </c>
      <c r="J35" s="125">
        <f t="shared" si="14"/>
        <v>19350930.552889984</v>
      </c>
      <c r="K35" s="125">
        <f t="shared" si="14"/>
        <v>18944800.132352281</v>
      </c>
      <c r="L35" s="125">
        <f t="shared" si="14"/>
        <v>17483777.143699218</v>
      </c>
      <c r="M35" s="125">
        <f t="shared" si="14"/>
        <v>14421116.292368243</v>
      </c>
      <c r="N35" s="125">
        <f t="shared" si="14"/>
        <v>13285180.217291201</v>
      </c>
      <c r="O35" s="126">
        <f t="shared" ref="O35:O36" si="15">SUM(C35:N35)</f>
        <v>164394714.88519129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 t="shared" ref="C36:N36" si="16">C11*1000</f>
        <v>16096194.488099385</v>
      </c>
      <c r="D36" s="125">
        <f t="shared" si="16"/>
        <v>16324789.675258994</v>
      </c>
      <c r="E36" s="125">
        <f t="shared" si="16"/>
        <v>15210058.425003275</v>
      </c>
      <c r="F36" s="125">
        <f t="shared" si="16"/>
        <v>15790788.262185775</v>
      </c>
      <c r="G36" s="125">
        <f t="shared" si="16"/>
        <v>18980076.654593214</v>
      </c>
      <c r="H36" s="125">
        <f t="shared" si="16"/>
        <v>19791045.53676001</v>
      </c>
      <c r="I36" s="125">
        <f t="shared" si="16"/>
        <v>21824505.864378165</v>
      </c>
      <c r="J36" s="125">
        <f t="shared" si="16"/>
        <v>21947825.423344754</v>
      </c>
      <c r="K36" s="125">
        <f t="shared" si="16"/>
        <v>21857831.109899174</v>
      </c>
      <c r="L36" s="125">
        <f t="shared" si="16"/>
        <v>21118824.263870798</v>
      </c>
      <c r="M36" s="125">
        <f t="shared" si="16"/>
        <v>19755426.797113776</v>
      </c>
      <c r="N36" s="125">
        <f t="shared" si="16"/>
        <v>18182715.474677801</v>
      </c>
      <c r="O36" s="126">
        <f t="shared" si="15"/>
        <v>226880081.9751851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 t="shared" ref="C37:N37" si="17">C12*1000</f>
        <v>7050041.3726688055</v>
      </c>
      <c r="D37" s="125">
        <f t="shared" si="17"/>
        <v>6963639.3231486995</v>
      </c>
      <c r="E37" s="125">
        <f t="shared" si="17"/>
        <v>6821384.377889757</v>
      </c>
      <c r="F37" s="125">
        <f t="shared" si="17"/>
        <v>6696433.9907789938</v>
      </c>
      <c r="G37" s="125">
        <f t="shared" si="17"/>
        <v>6687434.930758276</v>
      </c>
      <c r="H37" s="125">
        <f t="shared" si="17"/>
        <v>6721237.4505943088</v>
      </c>
      <c r="I37" s="125">
        <f t="shared" si="17"/>
        <v>6678722.3135911068</v>
      </c>
      <c r="J37" s="125">
        <f t="shared" si="17"/>
        <v>6838779.9659992624</v>
      </c>
      <c r="K37" s="125">
        <f t="shared" si="17"/>
        <v>6753591.5071859909</v>
      </c>
      <c r="L37" s="125">
        <f t="shared" si="17"/>
        <v>6782648.6053437786</v>
      </c>
      <c r="M37" s="125">
        <f t="shared" si="17"/>
        <v>7119936.6196114337</v>
      </c>
      <c r="N37" s="125">
        <f t="shared" si="17"/>
        <v>7138909.4377961857</v>
      </c>
      <c r="O37" s="126">
        <f>SUM(C37:N37)</f>
        <v>82252759.895366594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 t="shared" ref="C38:N38" si="18">C13*1000</f>
        <v>7568.5555555555557</v>
      </c>
      <c r="D38" s="125">
        <f t="shared" si="18"/>
        <v>7568.5555555555557</v>
      </c>
      <c r="E38" s="125">
        <f t="shared" si="18"/>
        <v>7568.5555555555557</v>
      </c>
      <c r="F38" s="125">
        <f t="shared" si="18"/>
        <v>7568.5555555555557</v>
      </c>
      <c r="G38" s="125">
        <f t="shared" si="18"/>
        <v>7568.5555555555557</v>
      </c>
      <c r="H38" s="125">
        <f t="shared" si="18"/>
        <v>7568.5555555555557</v>
      </c>
      <c r="I38" s="125">
        <f t="shared" si="18"/>
        <v>7568.5555555555557</v>
      </c>
      <c r="J38" s="125">
        <f t="shared" si="18"/>
        <v>7568.5555555555557</v>
      </c>
      <c r="K38" s="125">
        <f t="shared" si="18"/>
        <v>7568.5555555555557</v>
      </c>
      <c r="L38" s="125">
        <f t="shared" si="18"/>
        <v>7568.5555555555557</v>
      </c>
      <c r="M38" s="125">
        <f t="shared" si="18"/>
        <v>7568.5555555555557</v>
      </c>
      <c r="N38" s="125">
        <f t="shared" si="18"/>
        <v>7568.5555555555557</v>
      </c>
      <c r="O38" s="126">
        <f>SUM(C38:N38)</f>
        <v>90822.666666666686</v>
      </c>
      <c r="P38" s="53" t="str">
        <f>P37</f>
        <v>Total Deliveries MWH - Work Paper</v>
      </c>
      <c r="Q38" s="53">
        <f t="shared" si="11"/>
        <v>31</v>
      </c>
    </row>
    <row r="39" spans="1:18" ht="18.75" thickBot="1">
      <c r="A39" s="53">
        <f t="shared" si="9"/>
        <v>32</v>
      </c>
      <c r="B39" s="106" t="s">
        <v>206</v>
      </c>
      <c r="C39" s="131">
        <f>SUM(C31:C38)</f>
        <v>1518216793.1788256</v>
      </c>
      <c r="D39" s="132">
        <f t="shared" ref="D39:N39" si="19">SUM(D31:D38)</f>
        <v>1382160782.2211978</v>
      </c>
      <c r="E39" s="132">
        <f t="shared" si="19"/>
        <v>1318972925.6639369</v>
      </c>
      <c r="F39" s="132">
        <f t="shared" si="19"/>
        <v>1247204692.4278147</v>
      </c>
      <c r="G39" s="132">
        <f t="shared" si="19"/>
        <v>1232791134.1776881</v>
      </c>
      <c r="H39" s="132">
        <f t="shared" si="19"/>
        <v>1295474283.9283555</v>
      </c>
      <c r="I39" s="132">
        <f t="shared" si="19"/>
        <v>1509254908.0897021</v>
      </c>
      <c r="J39" s="132">
        <f t="shared" si="19"/>
        <v>1698745992.2994561</v>
      </c>
      <c r="K39" s="132">
        <f t="shared" si="19"/>
        <v>1817181110.9841051</v>
      </c>
      <c r="L39" s="132">
        <f t="shared" si="19"/>
        <v>1540390833.402627</v>
      </c>
      <c r="M39" s="132">
        <f t="shared" si="19"/>
        <v>1383763589.9495058</v>
      </c>
      <c r="N39" s="132">
        <f t="shared" si="19"/>
        <v>1487362612.09184</v>
      </c>
      <c r="O39" s="133">
        <f>SUM(O31:O38)</f>
        <v>17431519658.415054</v>
      </c>
      <c r="P39" s="53" t="s">
        <v>220</v>
      </c>
      <c r="Q39" s="53">
        <f t="shared" si="11"/>
        <v>32</v>
      </c>
    </row>
    <row r="40" spans="1:18" ht="18.75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.75" thickBot="1">
      <c r="A41" s="53">
        <f t="shared" si="9"/>
        <v>34</v>
      </c>
      <c r="B41" s="106" t="s">
        <v>207</v>
      </c>
      <c r="C41" s="134">
        <f>SUM(C31:C37)</f>
        <v>1518209224.62327</v>
      </c>
      <c r="D41" s="135">
        <f>SUM(D31:D37)</f>
        <v>1382153213.6656423</v>
      </c>
      <c r="E41" s="135">
        <f t="shared" ref="E41:O41" si="20">SUM(E31:E37)</f>
        <v>1318965357.1083813</v>
      </c>
      <c r="F41" s="135">
        <f t="shared" si="20"/>
        <v>1247197123.8722591</v>
      </c>
      <c r="G41" s="135">
        <f t="shared" si="20"/>
        <v>1232783565.6221325</v>
      </c>
      <c r="H41" s="135">
        <f t="shared" si="20"/>
        <v>1295466715.3727999</v>
      </c>
      <c r="I41" s="135">
        <f t="shared" si="20"/>
        <v>1509247339.5341465</v>
      </c>
      <c r="J41" s="135">
        <f t="shared" si="20"/>
        <v>1698738423.7439005</v>
      </c>
      <c r="K41" s="135">
        <f t="shared" si="20"/>
        <v>1817173542.4285495</v>
      </c>
      <c r="L41" s="135">
        <f t="shared" si="20"/>
        <v>1540383264.8470714</v>
      </c>
      <c r="M41" s="135">
        <f t="shared" si="20"/>
        <v>1383756021.3939502</v>
      </c>
      <c r="N41" s="135">
        <f t="shared" si="20"/>
        <v>1487355043.5362844</v>
      </c>
      <c r="O41" s="136">
        <f t="shared" si="20"/>
        <v>17431428835.748386</v>
      </c>
      <c r="P41" s="108"/>
      <c r="Q41" s="53">
        <f t="shared" si="11"/>
        <v>34</v>
      </c>
    </row>
    <row r="42" spans="1:18" ht="19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37"/>
      <c r="O42" s="646"/>
      <c r="P42" s="111"/>
      <c r="Q42" s="53">
        <f t="shared" si="11"/>
        <v>35</v>
      </c>
      <c r="R42" s="630"/>
    </row>
    <row r="43" spans="1:18">
      <c r="A43" s="53">
        <f t="shared" si="9"/>
        <v>36</v>
      </c>
      <c r="B43" s="112" t="s">
        <v>221</v>
      </c>
      <c r="C43" s="102">
        <f>C30</f>
        <v>46023</v>
      </c>
      <c r="D43" s="103">
        <f t="shared" ref="D43:O43" si="21">D30</f>
        <v>46054</v>
      </c>
      <c r="E43" s="103">
        <f t="shared" si="21"/>
        <v>46082</v>
      </c>
      <c r="F43" s="103">
        <f t="shared" si="21"/>
        <v>46113</v>
      </c>
      <c r="G43" s="103">
        <f t="shared" si="21"/>
        <v>46143</v>
      </c>
      <c r="H43" s="103">
        <f t="shared" si="21"/>
        <v>46174</v>
      </c>
      <c r="I43" s="103">
        <f t="shared" si="21"/>
        <v>46204</v>
      </c>
      <c r="J43" s="103">
        <f t="shared" si="21"/>
        <v>46235</v>
      </c>
      <c r="K43" s="103">
        <f t="shared" si="21"/>
        <v>46266</v>
      </c>
      <c r="L43" s="103">
        <f t="shared" si="21"/>
        <v>46296</v>
      </c>
      <c r="M43" s="103">
        <f t="shared" si="21"/>
        <v>46327</v>
      </c>
      <c r="N43" s="103">
        <f t="shared" si="21"/>
        <v>46357</v>
      </c>
      <c r="O43" s="104" t="str">
        <f t="shared" si="21"/>
        <v>Total</v>
      </c>
      <c r="P43" s="113"/>
      <c r="Q43" s="53">
        <f t="shared" si="11"/>
        <v>36</v>
      </c>
    </row>
    <row r="44" spans="1:18" ht="18.75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624623343.96358681</v>
      </c>
      <c r="D46" s="125">
        <f t="shared" si="23"/>
        <v>598275540.00922787</v>
      </c>
      <c r="E46" s="125">
        <f t="shared" si="23"/>
        <v>591888338.11396468</v>
      </c>
      <c r="F46" s="125">
        <f t="shared" si="23"/>
        <v>593322406.94883645</v>
      </c>
      <c r="G46" s="125">
        <f t="shared" si="23"/>
        <v>603056336.49390173</v>
      </c>
      <c r="H46" s="125">
        <f t="shared" si="23"/>
        <v>633872269.14044893</v>
      </c>
      <c r="I46" s="125">
        <f t="shared" si="23"/>
        <v>704820310.9911139</v>
      </c>
      <c r="J46" s="125">
        <f t="shared" si="23"/>
        <v>732706689.19207835</v>
      </c>
      <c r="K46" s="125">
        <f t="shared" si="23"/>
        <v>765160866.00524247</v>
      </c>
      <c r="L46" s="125">
        <f t="shared" si="23"/>
        <v>700464736.3527205</v>
      </c>
      <c r="M46" s="125">
        <f t="shared" si="23"/>
        <v>635921146.28863835</v>
      </c>
      <c r="N46" s="125">
        <f t="shared" si="23"/>
        <v>657229986.12820029</v>
      </c>
      <c r="O46" s="126">
        <f>SUM(C46:N46)</f>
        <v>7841341969.6279602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94174387.48836574</v>
      </c>
      <c r="D47" s="125">
        <f t="shared" si="24"/>
        <v>82713769.736963153</v>
      </c>
      <c r="E47" s="125">
        <f t="shared" si="24"/>
        <v>90955385.218737334</v>
      </c>
      <c r="F47" s="125">
        <f t="shared" si="24"/>
        <v>93511227.406458244</v>
      </c>
      <c r="G47" s="125">
        <f t="shared" si="24"/>
        <v>90384275.919060886</v>
      </c>
      <c r="H47" s="125">
        <f t="shared" si="24"/>
        <v>89745277.421217561</v>
      </c>
      <c r="I47" s="125">
        <f t="shared" si="24"/>
        <v>101669345.85700449</v>
      </c>
      <c r="J47" s="125">
        <f t="shared" si="24"/>
        <v>101261829.16729401</v>
      </c>
      <c r="K47" s="125">
        <f t="shared" si="24"/>
        <v>101856007.15929084</v>
      </c>
      <c r="L47" s="125">
        <f t="shared" si="24"/>
        <v>96071838.12521328</v>
      </c>
      <c r="M47" s="125">
        <f t="shared" si="24"/>
        <v>92182107.097293362</v>
      </c>
      <c r="N47" s="125">
        <f t="shared" si="24"/>
        <v>106479834.68417113</v>
      </c>
      <c r="O47" s="126">
        <f>SUM(C47:N47)</f>
        <v>1141005285.28107</v>
      </c>
      <c r="P47" s="53" t="str">
        <f>P46</f>
        <v>Total Deliveries MWH - Work Paper</v>
      </c>
      <c r="Q47" s="53">
        <f t="shared" si="11"/>
        <v>40</v>
      </c>
    </row>
    <row r="48" spans="1:18" ht="18.75" thickBot="1">
      <c r="A48" s="53">
        <f t="shared" si="9"/>
        <v>41</v>
      </c>
      <c r="B48" s="53" t="s">
        <v>18</v>
      </c>
      <c r="C48" s="142">
        <f>SUM(C45:C47)</f>
        <v>718797731.45195258</v>
      </c>
      <c r="D48" s="143">
        <f t="shared" ref="D48:O48" si="25">SUM(D45:D47)</f>
        <v>680989309.74619102</v>
      </c>
      <c r="E48" s="143">
        <f t="shared" si="25"/>
        <v>682843723.33270204</v>
      </c>
      <c r="F48" s="143">
        <f t="shared" si="25"/>
        <v>686833634.3552947</v>
      </c>
      <c r="G48" s="143">
        <f t="shared" si="25"/>
        <v>693440612.41296268</v>
      </c>
      <c r="H48" s="143">
        <f t="shared" si="25"/>
        <v>723617546.56166649</v>
      </c>
      <c r="I48" s="143">
        <f t="shared" si="25"/>
        <v>806489656.84811842</v>
      </c>
      <c r="J48" s="143">
        <f t="shared" si="25"/>
        <v>833968518.35937238</v>
      </c>
      <c r="K48" s="143">
        <f t="shared" si="25"/>
        <v>867016873.16453326</v>
      </c>
      <c r="L48" s="143">
        <f t="shared" si="25"/>
        <v>796536574.47793376</v>
      </c>
      <c r="M48" s="143">
        <f t="shared" si="25"/>
        <v>728103253.38593173</v>
      </c>
      <c r="N48" s="143">
        <f t="shared" si="25"/>
        <v>763709820.81237137</v>
      </c>
      <c r="O48" s="144">
        <f t="shared" si="25"/>
        <v>8982347254.9090309</v>
      </c>
      <c r="P48" s="53" t="s">
        <v>222</v>
      </c>
      <c r="Q48" s="53">
        <f t="shared" si="11"/>
        <v>41</v>
      </c>
    </row>
    <row r="49" spans="1:17" ht="20.25" thickTop="1" thickBot="1">
      <c r="A49" s="59">
        <f t="shared" si="9"/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 t="shared" si="11"/>
        <v>42</v>
      </c>
    </row>
  </sheetData>
  <mergeCells count="4">
    <mergeCell ref="B2:O2"/>
    <mergeCell ref="B3:O3"/>
    <mergeCell ref="B27:O27"/>
    <mergeCell ref="B28:O28"/>
  </mergeCells>
  <phoneticPr fontId="0" type="noConversion"/>
  <printOptions horizontalCentered="1"/>
  <pageMargins left="0.25" right="0.25" top="0.5" bottom="0.5" header="0.25" footer="0.25"/>
  <pageSetup scale="50" orientation="landscape" r:id="rId1"/>
  <headerFooter scaleWithDoc="0">
    <oddFooter>&amp;L&amp;"Times New Roman,Regular"&amp;12&amp;F&amp;C&amp;"Times New Roman,Regular"&amp;12Page 1.2&amp;R&amp;"Times New Roman,Regular"&amp;12&amp;A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9"/>
  <sheetViews>
    <sheetView zoomScaleNormal="100" workbookViewId="0">
      <pane xSplit="2" ySplit="4" topLeftCell="C5" activePane="bottomRight" state="frozen"/>
      <selection pane="topRight"/>
      <selection pane="bottomLeft"/>
      <selection pane="bottomRight" activeCell="N18" activeCellId="1" sqref="N16 N18"/>
    </sheetView>
  </sheetViews>
  <sheetFormatPr defaultRowHeight="12.75"/>
  <cols>
    <col min="1" max="1" width="5.5703125" customWidth="1"/>
    <col min="2" max="2" width="65.5703125" customWidth="1"/>
    <col min="3" max="4" width="15.5703125" customWidth="1"/>
    <col min="5" max="5" width="17.7109375" customWidth="1"/>
    <col min="6" max="7" width="15.5703125" customWidth="1"/>
    <col min="8" max="8" width="17.5703125" customWidth="1"/>
    <col min="9" max="15" width="15.5703125" customWidth="1"/>
    <col min="16" max="16" width="36.7109375" bestFit="1" customWidth="1"/>
    <col min="17" max="17" width="5.5703125" customWidth="1"/>
    <col min="19" max="19" width="2.5703125" customWidth="1"/>
  </cols>
  <sheetData>
    <row r="1" spans="1:18" ht="15.75">
      <c r="A1" s="20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20"/>
    </row>
    <row r="2" spans="1:18" ht="16.5" thickBot="1">
      <c r="A2" s="110"/>
      <c r="B2" s="226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110"/>
      <c r="R2" s="231"/>
    </row>
    <row r="3" spans="1:18" s="450" customFormat="1" ht="15.75">
      <c r="A3" s="485" t="s">
        <v>8</v>
      </c>
      <c r="B3" s="391"/>
      <c r="C3" s="485" t="s">
        <v>223</v>
      </c>
      <c r="D3" s="478" t="s">
        <v>224</v>
      </c>
      <c r="E3" s="478" t="s">
        <v>225</v>
      </c>
      <c r="F3" s="463" t="s">
        <v>226</v>
      </c>
      <c r="G3" s="525" t="s">
        <v>227</v>
      </c>
      <c r="H3" s="478" t="s">
        <v>228</v>
      </c>
      <c r="I3" s="509" t="s">
        <v>56</v>
      </c>
      <c r="J3" s="486" t="s">
        <v>57</v>
      </c>
      <c r="K3" s="462" t="s">
        <v>58</v>
      </c>
      <c r="L3" s="478" t="s">
        <v>229</v>
      </c>
      <c r="M3" s="478" t="s">
        <v>230</v>
      </c>
      <c r="N3" s="486" t="s">
        <v>231</v>
      </c>
      <c r="O3" s="514"/>
      <c r="P3" s="525"/>
      <c r="Q3" s="486" t="s">
        <v>8</v>
      </c>
    </row>
    <row r="4" spans="1:18" s="450" customFormat="1" ht="16.5" thickBot="1">
      <c r="A4" s="472" t="s">
        <v>11</v>
      </c>
      <c r="B4" s="475" t="s">
        <v>69</v>
      </c>
      <c r="C4" s="472">
        <v>2024</v>
      </c>
      <c r="D4" s="473">
        <f>C4</f>
        <v>2024</v>
      </c>
      <c r="E4" s="495">
        <f>$C4+1</f>
        <v>2025</v>
      </c>
      <c r="F4" s="465">
        <f>$C4+1</f>
        <v>2025</v>
      </c>
      <c r="G4" s="495">
        <f t="shared" ref="G4:N4" si="0">$C4+1</f>
        <v>2025</v>
      </c>
      <c r="H4" s="473">
        <f t="shared" si="0"/>
        <v>2025</v>
      </c>
      <c r="I4" s="513">
        <f t="shared" si="0"/>
        <v>2025</v>
      </c>
      <c r="J4" s="475">
        <f t="shared" si="0"/>
        <v>2025</v>
      </c>
      <c r="K4" s="464">
        <f t="shared" si="0"/>
        <v>2025</v>
      </c>
      <c r="L4" s="473">
        <f t="shared" si="0"/>
        <v>2025</v>
      </c>
      <c r="M4" s="473">
        <f t="shared" si="0"/>
        <v>2025</v>
      </c>
      <c r="N4" s="475">
        <f t="shared" si="0"/>
        <v>2025</v>
      </c>
      <c r="O4" s="96" t="s">
        <v>18</v>
      </c>
      <c r="P4" s="495" t="s">
        <v>16</v>
      </c>
      <c r="Q4" s="475" t="s">
        <v>11</v>
      </c>
    </row>
    <row r="5" spans="1:18" ht="15.75">
      <c r="A5" s="155"/>
      <c r="B5" s="601"/>
      <c r="C5" s="274"/>
      <c r="D5" s="41"/>
      <c r="E5" s="41"/>
      <c r="F5" s="551"/>
      <c r="G5" s="69"/>
      <c r="H5" s="41"/>
      <c r="I5" s="507"/>
      <c r="J5" s="275"/>
      <c r="K5" s="552"/>
      <c r="L5" s="41"/>
      <c r="M5" s="41"/>
      <c r="N5" s="275"/>
      <c r="O5" s="55"/>
      <c r="P5" s="69"/>
      <c r="Q5" s="156"/>
      <c r="R5" s="231"/>
    </row>
    <row r="6" spans="1:18" ht="15.75">
      <c r="A6" s="153">
        <v>1</v>
      </c>
      <c r="B6" s="156" t="s">
        <v>232</v>
      </c>
      <c r="C6" s="161">
        <v>-42457852.909999996</v>
      </c>
      <c r="D6" s="17">
        <f>C34</f>
        <v>-40804038.297747478</v>
      </c>
      <c r="E6" s="17">
        <f t="shared" ref="E6:N6" si="1">D34</f>
        <v>-35684346.498895466</v>
      </c>
      <c r="F6" s="179">
        <f>E34</f>
        <v>-14136044.563787123</v>
      </c>
      <c r="G6" s="199">
        <f t="shared" si="1"/>
        <v>-3356811.4530248651</v>
      </c>
      <c r="H6" s="17">
        <f t="shared" si="1"/>
        <v>10152734.703567278</v>
      </c>
      <c r="I6" s="37">
        <f t="shared" si="1"/>
        <v>20752813.418152299</v>
      </c>
      <c r="J6" s="276">
        <f t="shared" si="1"/>
        <v>32383945.347100511</v>
      </c>
      <c r="K6" s="172">
        <f t="shared" si="1"/>
        <v>44871570.532606445</v>
      </c>
      <c r="L6" s="17">
        <f t="shared" si="1"/>
        <v>59499649.880678639</v>
      </c>
      <c r="M6" s="17">
        <f t="shared" si="1"/>
        <v>72822582.707988396</v>
      </c>
      <c r="N6" s="276">
        <f t="shared" si="1"/>
        <v>86005770.594416589</v>
      </c>
      <c r="O6" s="56">
        <f>C6</f>
        <v>-42457852.909999996</v>
      </c>
      <c r="P6" s="72" t="s">
        <v>233</v>
      </c>
      <c r="Q6" s="154">
        <v>1</v>
      </c>
      <c r="R6" s="231"/>
    </row>
    <row r="7" spans="1:18" ht="15.75">
      <c r="A7" s="153">
        <f t="shared" ref="A7:A34" si="2">A6+1</f>
        <v>2</v>
      </c>
      <c r="B7" s="156"/>
      <c r="C7" s="162"/>
      <c r="D7" s="42"/>
      <c r="E7" s="42"/>
      <c r="F7" s="183"/>
      <c r="G7" s="200"/>
      <c r="H7" s="42"/>
      <c r="I7" s="211"/>
      <c r="J7" s="277"/>
      <c r="K7" s="290"/>
      <c r="L7" s="42"/>
      <c r="M7" s="42"/>
      <c r="N7" s="277"/>
      <c r="O7" s="326"/>
      <c r="P7" s="73"/>
      <c r="Q7" s="154">
        <f t="shared" ref="Q7:Q34" si="3">Q6+1</f>
        <v>2</v>
      </c>
      <c r="R7" s="231"/>
    </row>
    <row r="8" spans="1:18" ht="15.75">
      <c r="A8" s="153">
        <f t="shared" si="2"/>
        <v>3</v>
      </c>
      <c r="B8" s="156" t="s">
        <v>234</v>
      </c>
      <c r="C8" s="162"/>
      <c r="D8" s="42"/>
      <c r="E8" s="42"/>
      <c r="F8" s="183"/>
      <c r="G8" s="200"/>
      <c r="H8" s="42"/>
      <c r="I8" s="211"/>
      <c r="J8" s="277"/>
      <c r="K8" s="290"/>
      <c r="L8" s="42"/>
      <c r="M8" s="42"/>
      <c r="N8" s="277"/>
      <c r="O8" s="326"/>
      <c r="P8" s="73"/>
      <c r="Q8" s="154">
        <f t="shared" si="3"/>
        <v>3</v>
      </c>
      <c r="R8" s="231"/>
    </row>
    <row r="9" spans="1:18" ht="15.75">
      <c r="A9" s="153">
        <f t="shared" si="2"/>
        <v>4</v>
      </c>
      <c r="B9" s="156" t="s">
        <v>235</v>
      </c>
      <c r="C9" s="162">
        <f>'Stmt BD - Recorded KWH'!E12</f>
        <v>1222763064</v>
      </c>
      <c r="D9" s="42">
        <f>'Stmt BD - Recorded KWH'!E13</f>
        <v>1408558671</v>
      </c>
      <c r="E9" s="42">
        <f>'Stmt BD - Recorded KWH'!E14</f>
        <v>1604737276</v>
      </c>
      <c r="F9" s="42">
        <f>'Stmt BD - Recorded KWH'!E15</f>
        <v>1227773745</v>
      </c>
      <c r="G9" s="167">
        <f>'Stmt BD - Recorded KWH'!E16</f>
        <v>1314770662</v>
      </c>
      <c r="H9" s="21">
        <f>'Stmt BD - Recorded KWH'!E17</f>
        <v>1204320725</v>
      </c>
      <c r="I9" s="21">
        <f>'Stmt BD - Recorded KWH'!E18</f>
        <v>1198102431</v>
      </c>
      <c r="J9" s="281">
        <f>'Stmt BD - Recorded KWH'!E19</f>
        <v>1310899910</v>
      </c>
      <c r="K9" s="167">
        <f>'Stmt BD - Recorded KWH'!E20</f>
        <v>1454664439</v>
      </c>
      <c r="L9" s="216">
        <f>'Stmt BD - Recorded KWH'!E21</f>
        <v>1469852984</v>
      </c>
      <c r="M9" s="21">
        <f>'Stmt BD - Recorded KWH'!E22</f>
        <v>1647514504</v>
      </c>
      <c r="N9" s="396">
        <f>'Stmt BD - Recorded KWH'!E23</f>
        <v>1638300694</v>
      </c>
      <c r="O9" s="327">
        <f>SUM(C9:N9)</f>
        <v>16702259105</v>
      </c>
      <c r="P9" s="72" t="s">
        <v>236</v>
      </c>
      <c r="Q9" s="154">
        <f t="shared" si="3"/>
        <v>4</v>
      </c>
      <c r="R9" s="231"/>
    </row>
    <row r="10" spans="1:18" ht="45">
      <c r="A10" s="153">
        <f t="shared" si="2"/>
        <v>5</v>
      </c>
      <c r="B10" s="156" t="s">
        <v>237</v>
      </c>
      <c r="C10" s="163">
        <f>C45</f>
        <v>-1.6559999999999998E-2</v>
      </c>
      <c r="D10" s="44">
        <f>C10</f>
        <v>-1.6559999999999998E-2</v>
      </c>
      <c r="E10" s="93">
        <f>C48</f>
        <v>-1.8395000000000002E-2</v>
      </c>
      <c r="F10" s="272">
        <f>C46</f>
        <v>-2.0230000000000001E-2</v>
      </c>
      <c r="G10" s="526">
        <f>C46</f>
        <v>-2.0230000000000001E-2</v>
      </c>
      <c r="H10" s="93">
        <f>G10</f>
        <v>-2.0230000000000001E-2</v>
      </c>
      <c r="I10" s="212">
        <f>H10</f>
        <v>-2.0230000000000001E-2</v>
      </c>
      <c r="J10" s="278">
        <f>I10</f>
        <v>-2.0230000000000001E-2</v>
      </c>
      <c r="K10" s="291">
        <f t="shared" ref="K10:M10" si="4">J10</f>
        <v>-2.0230000000000001E-2</v>
      </c>
      <c r="L10" s="44">
        <f t="shared" si="4"/>
        <v>-2.0230000000000001E-2</v>
      </c>
      <c r="M10" s="44">
        <f t="shared" si="4"/>
        <v>-2.0230000000000001E-2</v>
      </c>
      <c r="N10" s="278">
        <f>M10</f>
        <v>-2.0230000000000001E-2</v>
      </c>
      <c r="O10" s="328"/>
      <c r="P10" s="602" t="s">
        <v>392</v>
      </c>
      <c r="Q10" s="154">
        <f t="shared" si="3"/>
        <v>5</v>
      </c>
      <c r="R10" s="231"/>
    </row>
    <row r="11" spans="1:18" ht="15.75">
      <c r="A11" s="153">
        <f t="shared" si="2"/>
        <v>6</v>
      </c>
      <c r="B11" s="156" t="s">
        <v>238</v>
      </c>
      <c r="C11" s="164">
        <f>C9*C10</f>
        <v>-20248956.339839999</v>
      </c>
      <c r="D11" s="18">
        <f t="shared" ref="D11:N11" si="5">D9*D10</f>
        <v>-23325731.591759998</v>
      </c>
      <c r="E11" s="18">
        <f t="shared" si="5"/>
        <v>-29519142.192020003</v>
      </c>
      <c r="F11" s="197">
        <f t="shared" si="5"/>
        <v>-24837862.861350004</v>
      </c>
      <c r="G11" s="201">
        <f t="shared" si="5"/>
        <v>-26597810.492260002</v>
      </c>
      <c r="H11" s="18">
        <f t="shared" si="5"/>
        <v>-24363408.26675</v>
      </c>
      <c r="I11" s="213">
        <f t="shared" si="5"/>
        <v>-24237612.179130003</v>
      </c>
      <c r="J11" s="279">
        <f t="shared" si="5"/>
        <v>-26519505.179300003</v>
      </c>
      <c r="K11" s="292">
        <f t="shared" si="5"/>
        <v>-29427861.600970004</v>
      </c>
      <c r="L11" s="18">
        <f t="shared" si="5"/>
        <v>-29735125.866320003</v>
      </c>
      <c r="M11" s="18">
        <f t="shared" si="5"/>
        <v>-33329218.415920004</v>
      </c>
      <c r="N11" s="279">
        <f t="shared" si="5"/>
        <v>-33142823.039620001</v>
      </c>
      <c r="O11" s="329">
        <f>SUM(C11:N11)</f>
        <v>-325285058.02524</v>
      </c>
      <c r="P11" s="72" t="s">
        <v>239</v>
      </c>
      <c r="Q11" s="154">
        <f t="shared" si="3"/>
        <v>6</v>
      </c>
      <c r="R11" s="231"/>
    </row>
    <row r="12" spans="1:18" ht="18.75">
      <c r="A12" s="153">
        <f t="shared" si="2"/>
        <v>7</v>
      </c>
      <c r="B12" s="156" t="s">
        <v>240</v>
      </c>
      <c r="C12" s="516">
        <f>(+C11/(1+C40)*C40)</f>
        <v>-240205.05912498376</v>
      </c>
      <c r="D12" s="22">
        <f t="shared" ref="D12:N12" si="6">(+D11/(1+D40)*D40)</f>
        <v>-276703.58126598067</v>
      </c>
      <c r="E12" s="22">
        <f t="shared" si="6"/>
        <v>-350173.46951368829</v>
      </c>
      <c r="F12" s="190">
        <f t="shared" si="6"/>
        <v>-309474.67376278783</v>
      </c>
      <c r="G12" s="202">
        <f t="shared" si="6"/>
        <v>-331403.26004880859</v>
      </c>
      <c r="H12" s="22">
        <f t="shared" si="6"/>
        <v>-303563.06688667554</v>
      </c>
      <c r="I12" s="214">
        <f t="shared" si="6"/>
        <v>-301995.67345213762</v>
      </c>
      <c r="J12" s="171">
        <f t="shared" si="6"/>
        <v>-330427.59191997378</v>
      </c>
      <c r="K12" s="293">
        <f t="shared" si="6"/>
        <v>-366665.11605023273</v>
      </c>
      <c r="L12" s="22">
        <f t="shared" si="6"/>
        <v>-370493.56573646248</v>
      </c>
      <c r="M12" s="22">
        <f>(+M11/(1+M40)*M40)</f>
        <v>-415275.22128668852</v>
      </c>
      <c r="N12" s="294">
        <f t="shared" si="6"/>
        <v>-412952.77315202635</v>
      </c>
      <c r="O12" s="330">
        <f>SUM(C12:N12)</f>
        <v>-4009333.0522004459</v>
      </c>
      <c r="P12" s="517" t="s">
        <v>241</v>
      </c>
      <c r="Q12" s="154">
        <f t="shared" si="3"/>
        <v>7</v>
      </c>
      <c r="R12" s="231"/>
    </row>
    <row r="13" spans="1:18" ht="15.75">
      <c r="A13" s="153">
        <f t="shared" si="2"/>
        <v>8</v>
      </c>
      <c r="B13" s="156" t="s">
        <v>242</v>
      </c>
      <c r="C13" s="166">
        <f>C11-C12</f>
        <v>-20008751.280715015</v>
      </c>
      <c r="D13" s="45">
        <f t="shared" ref="D13:N13" si="7">D11-D12</f>
        <v>-23049028.010494016</v>
      </c>
      <c r="E13" s="45">
        <f t="shared" si="7"/>
        <v>-29168968.722506315</v>
      </c>
      <c r="F13" s="184">
        <f t="shared" si="7"/>
        <v>-24528388.187587216</v>
      </c>
      <c r="G13" s="203">
        <f t="shared" si="7"/>
        <v>-26266407.232211191</v>
      </c>
      <c r="H13" s="45">
        <f t="shared" si="7"/>
        <v>-24059845.199863326</v>
      </c>
      <c r="I13" s="215">
        <f t="shared" si="7"/>
        <v>-23935616.505677864</v>
      </c>
      <c r="J13" s="280">
        <f t="shared" si="7"/>
        <v>-26189077.587380029</v>
      </c>
      <c r="K13" s="295">
        <f t="shared" si="7"/>
        <v>-29061196.484919772</v>
      </c>
      <c r="L13" s="45">
        <f t="shared" si="7"/>
        <v>-29364632.300583541</v>
      </c>
      <c r="M13" s="45">
        <f t="shared" si="7"/>
        <v>-32913943.194633316</v>
      </c>
      <c r="N13" s="280">
        <f t="shared" si="7"/>
        <v>-32729870.266467974</v>
      </c>
      <c r="O13" s="331">
        <f>SUM(C13:N13)</f>
        <v>-321275724.97303957</v>
      </c>
      <c r="P13" s="517" t="s">
        <v>243</v>
      </c>
      <c r="Q13" s="154">
        <f t="shared" si="3"/>
        <v>8</v>
      </c>
      <c r="R13" s="231"/>
    </row>
    <row r="14" spans="1:18" ht="15.75">
      <c r="A14" s="153">
        <f t="shared" si="2"/>
        <v>9</v>
      </c>
      <c r="B14" s="156"/>
      <c r="C14" s="162"/>
      <c r="D14" s="42"/>
      <c r="E14" s="42"/>
      <c r="F14" s="183"/>
      <c r="G14" s="200"/>
      <c r="H14" s="42"/>
      <c r="I14" s="211"/>
      <c r="J14" s="277"/>
      <c r="K14" s="290"/>
      <c r="L14" s="42"/>
      <c r="M14" s="42"/>
      <c r="N14" s="277"/>
      <c r="O14" s="326"/>
      <c r="P14" s="73"/>
      <c r="Q14" s="154">
        <f t="shared" si="3"/>
        <v>9</v>
      </c>
      <c r="R14" s="231"/>
    </row>
    <row r="15" spans="1:18" ht="15.75">
      <c r="A15" s="153">
        <f t="shared" si="2"/>
        <v>10</v>
      </c>
      <c r="B15" s="156" t="s">
        <v>244</v>
      </c>
      <c r="C15" s="162"/>
      <c r="D15" s="42"/>
      <c r="E15" s="42"/>
      <c r="F15" s="183"/>
      <c r="G15" s="200"/>
      <c r="H15" s="42"/>
      <c r="I15" s="211"/>
      <c r="J15" s="277"/>
      <c r="K15" s="290"/>
      <c r="L15" s="42"/>
      <c r="M15" s="42"/>
      <c r="N15" s="277"/>
      <c r="O15" s="326"/>
      <c r="P15" s="73"/>
      <c r="Q15" s="154">
        <f t="shared" si="3"/>
        <v>10</v>
      </c>
      <c r="R15" s="231"/>
    </row>
    <row r="16" spans="1:18" ht="15.75">
      <c r="A16" s="153">
        <f t="shared" si="2"/>
        <v>11</v>
      </c>
      <c r="B16" s="156" t="s">
        <v>245</v>
      </c>
      <c r="C16" s="161">
        <v>18983037.549999997</v>
      </c>
      <c r="D16" s="17">
        <v>17294863.289999999</v>
      </c>
      <c r="E16" s="17">
        <v>17872526.469999999</v>
      </c>
      <c r="F16" s="179">
        <v>22103638.190000001</v>
      </c>
      <c r="G16" s="199">
        <v>18858999.559999999</v>
      </c>
      <c r="H16" s="17">
        <v>19772997.140000001</v>
      </c>
      <c r="I16" s="37">
        <v>18447176.280000001</v>
      </c>
      <c r="J16" s="276">
        <v>19959803.359999999</v>
      </c>
      <c r="K16" s="172">
        <v>21251805.580000002</v>
      </c>
      <c r="L16" s="17">
        <v>24511950.34</v>
      </c>
      <c r="M16" s="17">
        <v>27573133.25</v>
      </c>
      <c r="N16" s="353">
        <v>29106128.399999999</v>
      </c>
      <c r="O16" s="56">
        <f>SUM(C16:N16)</f>
        <v>255736059.41000003</v>
      </c>
      <c r="P16" s="74" t="s">
        <v>246</v>
      </c>
      <c r="Q16" s="154">
        <f t="shared" si="3"/>
        <v>11</v>
      </c>
      <c r="R16" s="231"/>
    </row>
    <row r="17" spans="1:18" ht="15.75">
      <c r="A17" s="153">
        <f t="shared" si="2"/>
        <v>12</v>
      </c>
      <c r="B17" s="156"/>
      <c r="C17" s="650"/>
      <c r="D17" s="651"/>
      <c r="E17" s="651"/>
      <c r="F17" s="652"/>
      <c r="G17" s="653"/>
      <c r="H17" s="651"/>
      <c r="I17" s="654"/>
      <c r="J17" s="655"/>
      <c r="K17" s="656"/>
      <c r="L17" s="17"/>
      <c r="M17" s="17"/>
      <c r="N17" s="276"/>
      <c r="O17" s="56"/>
      <c r="P17" s="74"/>
      <c r="Q17" s="154">
        <f t="shared" si="3"/>
        <v>12</v>
      </c>
      <c r="R17" s="231"/>
    </row>
    <row r="18" spans="1:18" ht="15.75">
      <c r="A18" s="153">
        <f t="shared" si="2"/>
        <v>13</v>
      </c>
      <c r="B18" s="156" t="s">
        <v>247</v>
      </c>
      <c r="C18" s="167">
        <v>-37047574</v>
      </c>
      <c r="D18" s="21">
        <v>-34949829.049999997</v>
      </c>
      <c r="E18" s="21">
        <v>-25324377.900000002</v>
      </c>
      <c r="F18" s="185">
        <v>-35798733</v>
      </c>
      <c r="G18" s="204">
        <v>-31638888.479999997</v>
      </c>
      <c r="H18" s="21">
        <v>-33328274.739999998</v>
      </c>
      <c r="I18" s="216">
        <v>-30921156.099999998</v>
      </c>
      <c r="J18" s="281">
        <v>-33900007.729999997</v>
      </c>
      <c r="K18" s="296">
        <v>-36017845.270000003</v>
      </c>
      <c r="L18" s="21">
        <v>-40975730.299999997</v>
      </c>
      <c r="M18" s="21">
        <v>-47794734.830000006</v>
      </c>
      <c r="N18" s="396">
        <v>-63756069.57</v>
      </c>
      <c r="O18" s="327">
        <f>SUM(C18:N18)</f>
        <v>-451453220.96999997</v>
      </c>
      <c r="P18" s="74" t="s">
        <v>248</v>
      </c>
      <c r="Q18" s="154">
        <f t="shared" si="3"/>
        <v>13</v>
      </c>
      <c r="R18" s="231"/>
    </row>
    <row r="19" spans="1:18" ht="15.75">
      <c r="A19" s="153">
        <f t="shared" si="2"/>
        <v>14</v>
      </c>
      <c r="B19" s="156"/>
      <c r="C19" s="167"/>
      <c r="D19" s="21"/>
      <c r="E19" s="21"/>
      <c r="F19" s="185"/>
      <c r="G19" s="204"/>
      <c r="H19" s="21"/>
      <c r="I19" s="216"/>
      <c r="J19" s="281"/>
      <c r="K19" s="296"/>
      <c r="L19" s="21"/>
      <c r="M19" s="21"/>
      <c r="N19" s="281"/>
      <c r="O19" s="57"/>
      <c r="P19" s="74"/>
      <c r="Q19" s="154">
        <f t="shared" si="3"/>
        <v>14</v>
      </c>
      <c r="R19" s="231"/>
    </row>
    <row r="20" spans="1:18" ht="15.75">
      <c r="A20" s="153">
        <f t="shared" si="2"/>
        <v>15</v>
      </c>
      <c r="B20" s="392" t="s">
        <v>249</v>
      </c>
      <c r="C20" s="166">
        <f t="shared" ref="C20:O20" si="8">SUM(C16:C19)</f>
        <v>-18064536.450000003</v>
      </c>
      <c r="D20" s="45">
        <f t="shared" si="8"/>
        <v>-17654965.759999998</v>
      </c>
      <c r="E20" s="45">
        <f t="shared" si="8"/>
        <v>-7451851.4300000034</v>
      </c>
      <c r="F20" s="184">
        <f t="shared" si="8"/>
        <v>-13695094.809999999</v>
      </c>
      <c r="G20" s="203">
        <f t="shared" si="8"/>
        <v>-12779888.919999998</v>
      </c>
      <c r="H20" s="45">
        <f t="shared" si="8"/>
        <v>-13555277.599999998</v>
      </c>
      <c r="I20" s="215">
        <f t="shared" si="8"/>
        <v>-12473979.819999997</v>
      </c>
      <c r="J20" s="280">
        <f t="shared" si="8"/>
        <v>-13940204.369999997</v>
      </c>
      <c r="K20" s="295">
        <f t="shared" si="8"/>
        <v>-14766039.690000001</v>
      </c>
      <c r="L20" s="45">
        <f t="shared" si="8"/>
        <v>-16463779.959999997</v>
      </c>
      <c r="M20" s="45">
        <f t="shared" si="8"/>
        <v>-20221601.580000006</v>
      </c>
      <c r="N20" s="280">
        <f t="shared" si="8"/>
        <v>-34649941.170000002</v>
      </c>
      <c r="O20" s="332">
        <f t="shared" si="8"/>
        <v>-195717161.55999994</v>
      </c>
      <c r="P20" s="72" t="s">
        <v>250</v>
      </c>
      <c r="Q20" s="154">
        <f t="shared" si="3"/>
        <v>15</v>
      </c>
      <c r="R20" s="231"/>
    </row>
    <row r="21" spans="1:18" ht="15.75">
      <c r="A21" s="153">
        <f t="shared" si="2"/>
        <v>16</v>
      </c>
      <c r="B21" s="392"/>
      <c r="C21" s="161"/>
      <c r="D21" s="17"/>
      <c r="E21" s="17"/>
      <c r="F21" s="179"/>
      <c r="G21" s="199"/>
      <c r="H21" s="17"/>
      <c r="I21" s="37"/>
      <c r="J21" s="276"/>
      <c r="K21" s="172"/>
      <c r="L21" s="17"/>
      <c r="M21" s="17"/>
      <c r="N21" s="276"/>
      <c r="O21" s="56"/>
      <c r="P21" s="72"/>
      <c r="Q21" s="154">
        <f t="shared" si="3"/>
        <v>16</v>
      </c>
      <c r="R21" s="231"/>
    </row>
    <row r="22" spans="1:18" ht="15.75">
      <c r="A22" s="153">
        <f t="shared" si="2"/>
        <v>17</v>
      </c>
      <c r="B22" s="392"/>
      <c r="C22" s="161"/>
      <c r="D22" s="17"/>
      <c r="E22" s="17"/>
      <c r="F22" s="179"/>
      <c r="G22" s="527"/>
      <c r="H22" s="88"/>
      <c r="I22" s="37"/>
      <c r="J22" s="276"/>
      <c r="K22" s="172"/>
      <c r="L22" s="17"/>
      <c r="M22" s="17"/>
      <c r="N22" s="276"/>
      <c r="O22" s="57"/>
      <c r="P22" s="72"/>
      <c r="Q22" s="154">
        <f t="shared" si="3"/>
        <v>17</v>
      </c>
      <c r="R22" s="231"/>
    </row>
    <row r="23" spans="1:18" ht="15.75">
      <c r="A23" s="153">
        <f t="shared" si="2"/>
        <v>18</v>
      </c>
      <c r="B23" s="392" t="s">
        <v>251</v>
      </c>
      <c r="C23" s="194">
        <f t="shared" ref="C23:O23" si="9">-C13+C20</f>
        <v>1944214.8307150118</v>
      </c>
      <c r="D23" s="14">
        <f t="shared" si="9"/>
        <v>5394062.2504940182</v>
      </c>
      <c r="E23" s="14">
        <f t="shared" si="9"/>
        <v>21717117.292506311</v>
      </c>
      <c r="F23" s="186">
        <f t="shared" si="9"/>
        <v>10833293.377587218</v>
      </c>
      <c r="G23" s="528">
        <f t="shared" si="9"/>
        <v>13486518.312211193</v>
      </c>
      <c r="H23" s="89">
        <f t="shared" si="9"/>
        <v>10504567.599863328</v>
      </c>
      <c r="I23" s="217">
        <f t="shared" si="9"/>
        <v>11461636.685677867</v>
      </c>
      <c r="J23" s="282">
        <f t="shared" si="9"/>
        <v>12248873.217380032</v>
      </c>
      <c r="K23" s="297">
        <f t="shared" si="9"/>
        <v>14295156.79491977</v>
      </c>
      <c r="L23" s="14">
        <f t="shared" si="9"/>
        <v>12900852.340583544</v>
      </c>
      <c r="M23" s="14">
        <f t="shared" si="9"/>
        <v>12692341.614633311</v>
      </c>
      <c r="N23" s="282">
        <f t="shared" si="9"/>
        <v>-1920070.9035320282</v>
      </c>
      <c r="O23" s="331">
        <f t="shared" si="9"/>
        <v>125558563.41303962</v>
      </c>
      <c r="P23" s="72" t="s">
        <v>252</v>
      </c>
      <c r="Q23" s="154">
        <f t="shared" si="3"/>
        <v>18</v>
      </c>
      <c r="R23" s="231"/>
    </row>
    <row r="24" spans="1:18" ht="15.75">
      <c r="A24" s="153">
        <f t="shared" si="2"/>
        <v>19</v>
      </c>
      <c r="B24" s="156"/>
      <c r="C24" s="168"/>
      <c r="D24" s="43"/>
      <c r="E24" s="43"/>
      <c r="F24" s="187"/>
      <c r="G24" s="206"/>
      <c r="H24" s="43"/>
      <c r="I24" s="218"/>
      <c r="J24" s="283"/>
      <c r="K24" s="298"/>
      <c r="L24" s="43"/>
      <c r="M24" s="43"/>
      <c r="N24" s="283"/>
      <c r="O24" s="327"/>
      <c r="P24" s="75"/>
      <c r="Q24" s="154">
        <f t="shared" si="3"/>
        <v>19</v>
      </c>
      <c r="R24" s="231"/>
    </row>
    <row r="25" spans="1:18" ht="15.75">
      <c r="A25" s="153">
        <f t="shared" si="2"/>
        <v>20</v>
      </c>
      <c r="B25" s="156" t="s">
        <v>253</v>
      </c>
      <c r="C25" s="168"/>
      <c r="D25" s="43"/>
      <c r="E25" s="43"/>
      <c r="F25" s="187"/>
      <c r="G25" s="206"/>
      <c r="H25" s="43"/>
      <c r="I25" s="218"/>
      <c r="J25" s="283"/>
      <c r="K25" s="298"/>
      <c r="L25" s="43"/>
      <c r="M25" s="43"/>
      <c r="N25" s="283"/>
      <c r="O25" s="327"/>
      <c r="P25" s="75"/>
      <c r="Q25" s="154">
        <f t="shared" si="3"/>
        <v>20</v>
      </c>
      <c r="R25" s="231"/>
    </row>
    <row r="26" spans="1:18" ht="15.75">
      <c r="A26" s="153">
        <f t="shared" si="2"/>
        <v>21</v>
      </c>
      <c r="B26" s="156" t="s">
        <v>254</v>
      </c>
      <c r="C26" s="161">
        <f>C6</f>
        <v>-42457852.909999996</v>
      </c>
      <c r="D26" s="17">
        <f>D6</f>
        <v>-40804038.297747478</v>
      </c>
      <c r="E26" s="17">
        <f>E6</f>
        <v>-35684346.498895466</v>
      </c>
      <c r="F26" s="179">
        <f>F6</f>
        <v>-14136044.563787123</v>
      </c>
      <c r="G26" s="527">
        <f t="shared" ref="G26:N26" si="10">G6</f>
        <v>-3356811.4530248651</v>
      </c>
      <c r="H26" s="88">
        <f t="shared" si="10"/>
        <v>10152734.703567278</v>
      </c>
      <c r="I26" s="37">
        <f t="shared" si="10"/>
        <v>20752813.418152299</v>
      </c>
      <c r="J26" s="276">
        <f t="shared" si="10"/>
        <v>32383945.347100511</v>
      </c>
      <c r="K26" s="172">
        <f t="shared" si="10"/>
        <v>44871570.532606445</v>
      </c>
      <c r="L26" s="17">
        <f t="shared" si="10"/>
        <v>59499649.880678639</v>
      </c>
      <c r="M26" s="17">
        <f t="shared" si="10"/>
        <v>72822582.707988396</v>
      </c>
      <c r="N26" s="276">
        <f t="shared" si="10"/>
        <v>86005770.594416589</v>
      </c>
      <c r="O26" s="327"/>
      <c r="P26" s="75" t="s">
        <v>255</v>
      </c>
      <c r="Q26" s="154">
        <f t="shared" si="3"/>
        <v>21</v>
      </c>
      <c r="R26" s="231"/>
    </row>
    <row r="27" spans="1:18" ht="15.75">
      <c r="A27" s="153">
        <f t="shared" si="2"/>
        <v>22</v>
      </c>
      <c r="B27" s="156" t="s">
        <v>256</v>
      </c>
      <c r="C27" s="603">
        <f>(C23/2)</f>
        <v>972107.4153575059</v>
      </c>
      <c r="D27" s="46">
        <f>(D23/2)</f>
        <v>2697031.1252470091</v>
      </c>
      <c r="E27" s="46">
        <f>(E23/2)</f>
        <v>10858558.646253156</v>
      </c>
      <c r="F27" s="188">
        <f xml:space="preserve"> (F23/2)</f>
        <v>5416646.6887936089</v>
      </c>
      <c r="G27" s="207">
        <f t="shared" ref="G27:N27" si="11" xml:space="preserve"> (G23/2)</f>
        <v>6743259.1561055966</v>
      </c>
      <c r="H27" s="46">
        <f t="shared" si="11"/>
        <v>5252283.799931664</v>
      </c>
      <c r="I27" s="219">
        <f t="shared" si="11"/>
        <v>5730818.3428389337</v>
      </c>
      <c r="J27" s="169">
        <f t="shared" si="11"/>
        <v>6124436.608690016</v>
      </c>
      <c r="K27" s="299">
        <f t="shared" si="11"/>
        <v>7147578.3974598851</v>
      </c>
      <c r="L27" s="46">
        <f t="shared" si="11"/>
        <v>6450426.1702917721</v>
      </c>
      <c r="M27" s="46">
        <f t="shared" si="11"/>
        <v>6346170.8073166553</v>
      </c>
      <c r="N27" s="169">
        <f t="shared" si="11"/>
        <v>-960035.4517660141</v>
      </c>
      <c r="O27" s="333"/>
      <c r="P27" s="75" t="s">
        <v>257</v>
      </c>
      <c r="Q27" s="154">
        <f t="shared" si="3"/>
        <v>22</v>
      </c>
      <c r="R27" s="231"/>
    </row>
    <row r="28" spans="1:18" ht="15.75">
      <c r="A28" s="153">
        <f t="shared" si="2"/>
        <v>23</v>
      </c>
      <c r="B28" s="156" t="s">
        <v>258</v>
      </c>
      <c r="C28" s="168">
        <f t="shared" ref="C28:J28" si="12">C26+C27</f>
        <v>-41485745.494642489</v>
      </c>
      <c r="D28" s="43">
        <f>D26+D27</f>
        <v>-38107007.172500469</v>
      </c>
      <c r="E28" s="43">
        <f t="shared" si="12"/>
        <v>-24825787.852642313</v>
      </c>
      <c r="F28" s="187">
        <f t="shared" si="12"/>
        <v>-8719397.8749935143</v>
      </c>
      <c r="G28" s="206">
        <f t="shared" si="12"/>
        <v>3386447.7030807314</v>
      </c>
      <c r="H28" s="43">
        <f t="shared" si="12"/>
        <v>15405018.503498942</v>
      </c>
      <c r="I28" s="218">
        <f t="shared" si="12"/>
        <v>26483631.760991231</v>
      </c>
      <c r="J28" s="283">
        <f t="shared" si="12"/>
        <v>38508381.955790527</v>
      </c>
      <c r="K28" s="298">
        <f>(K26+K27)</f>
        <v>52019148.930066332</v>
      </c>
      <c r="L28" s="43">
        <f>(L26+L27)</f>
        <v>65950076.050970413</v>
      </c>
      <c r="M28" s="43">
        <f>(M26+M27)</f>
        <v>79168753.515305057</v>
      </c>
      <c r="N28" s="283">
        <f>N26+N27</f>
        <v>85045735.142650574</v>
      </c>
      <c r="O28" s="327"/>
      <c r="P28" s="75" t="s">
        <v>259</v>
      </c>
      <c r="Q28" s="154">
        <f t="shared" si="3"/>
        <v>23</v>
      </c>
      <c r="R28" s="231"/>
    </row>
    <row r="29" spans="1:18" ht="15.75">
      <c r="A29" s="153">
        <f t="shared" si="2"/>
        <v>24</v>
      </c>
      <c r="B29" s="156" t="s">
        <v>260</v>
      </c>
      <c r="C29" s="170">
        <f>C58</f>
        <v>7.0000000000000001E-3</v>
      </c>
      <c r="D29" s="47">
        <f t="shared" ref="D29:N29" si="13">D58</f>
        <v>7.1999999999999998E-3</v>
      </c>
      <c r="E29" s="47">
        <f t="shared" si="13"/>
        <v>6.7999999999999996E-3</v>
      </c>
      <c r="F29" s="189">
        <f t="shared" si="13"/>
        <v>6.1999999999999998E-3</v>
      </c>
      <c r="G29" s="529">
        <f t="shared" si="13"/>
        <v>6.7999999999999996E-3</v>
      </c>
      <c r="H29" s="81">
        <f t="shared" si="13"/>
        <v>6.1999999999999998E-3</v>
      </c>
      <c r="I29" s="220">
        <f t="shared" si="13"/>
        <v>6.4000000000000003E-3</v>
      </c>
      <c r="J29" s="284">
        <f t="shared" si="13"/>
        <v>6.1999999999999998E-3</v>
      </c>
      <c r="K29" s="300">
        <f t="shared" si="13"/>
        <v>6.4000000000000003E-3</v>
      </c>
      <c r="L29" s="47">
        <f t="shared" si="13"/>
        <v>6.4000000000000003E-3</v>
      </c>
      <c r="M29" s="47">
        <f t="shared" si="13"/>
        <v>6.1999999999999998E-3</v>
      </c>
      <c r="N29" s="284">
        <f t="shared" si="13"/>
        <v>6.4000000000000003E-3</v>
      </c>
      <c r="O29" s="333"/>
      <c r="P29" s="75" t="s">
        <v>261</v>
      </c>
      <c r="Q29" s="154">
        <f t="shared" si="3"/>
        <v>24</v>
      </c>
      <c r="R29" s="231"/>
    </row>
    <row r="30" spans="1:18" ht="15.75">
      <c r="A30" s="153">
        <f t="shared" si="2"/>
        <v>25</v>
      </c>
      <c r="B30" s="156" t="s">
        <v>262</v>
      </c>
      <c r="C30" s="166">
        <f>C28*C29</f>
        <v>-290400.2184624974</v>
      </c>
      <c r="D30" s="45">
        <f t="shared" ref="D30:N30" si="14">D28*D29</f>
        <v>-274370.45164200338</v>
      </c>
      <c r="E30" s="45">
        <f t="shared" si="14"/>
        <v>-168815.35739796772</v>
      </c>
      <c r="F30" s="184">
        <f t="shared" si="14"/>
        <v>-54060.266824959785</v>
      </c>
      <c r="G30" s="530">
        <f t="shared" si="14"/>
        <v>23027.844380948973</v>
      </c>
      <c r="H30" s="355">
        <f t="shared" si="14"/>
        <v>95511.114721693433</v>
      </c>
      <c r="I30" s="215">
        <f t="shared" si="14"/>
        <v>169495.2432703439</v>
      </c>
      <c r="J30" s="356">
        <f t="shared" si="14"/>
        <v>238751.96812590127</v>
      </c>
      <c r="K30" s="357">
        <f t="shared" si="14"/>
        <v>332922.55315242452</v>
      </c>
      <c r="L30" s="45">
        <f t="shared" si="14"/>
        <v>422080.48672621069</v>
      </c>
      <c r="M30" s="355">
        <f>M28*M29</f>
        <v>490846.27179489133</v>
      </c>
      <c r="N30" s="356">
        <f t="shared" si="14"/>
        <v>544292.70491296367</v>
      </c>
      <c r="O30" s="332">
        <f>SUM(C30:N30)</f>
        <v>1529281.8927579494</v>
      </c>
      <c r="P30" s="75" t="s">
        <v>263</v>
      </c>
      <c r="Q30" s="154">
        <f t="shared" si="3"/>
        <v>25</v>
      </c>
      <c r="R30" s="231"/>
    </row>
    <row r="31" spans="1:18" ht="15.75">
      <c r="A31" s="153">
        <f t="shared" si="2"/>
        <v>26</v>
      </c>
      <c r="B31" s="156"/>
      <c r="C31" s="161"/>
      <c r="D31" s="17"/>
      <c r="E31" s="17"/>
      <c r="F31" s="179"/>
      <c r="G31" s="527"/>
      <c r="H31" s="88"/>
      <c r="I31" s="37"/>
      <c r="J31" s="353"/>
      <c r="K31" s="354"/>
      <c r="L31" s="17"/>
      <c r="M31" s="88"/>
      <c r="N31" s="353"/>
      <c r="O31" s="56"/>
      <c r="P31" s="75"/>
      <c r="Q31" s="154">
        <f t="shared" si="3"/>
        <v>26</v>
      </c>
      <c r="R31" s="231"/>
    </row>
    <row r="32" spans="1:18" ht="15.75">
      <c r="A32" s="153">
        <f t="shared" si="2"/>
        <v>27</v>
      </c>
      <c r="B32" s="156" t="s">
        <v>264</v>
      </c>
      <c r="C32" s="165">
        <v>0</v>
      </c>
      <c r="D32" s="22">
        <v>0</v>
      </c>
      <c r="E32" s="22">
        <v>0</v>
      </c>
      <c r="F32" s="190">
        <v>0</v>
      </c>
      <c r="G32" s="531">
        <v>0</v>
      </c>
      <c r="H32" s="87">
        <v>0</v>
      </c>
      <c r="I32" s="214">
        <v>0</v>
      </c>
      <c r="J32" s="171">
        <v>0</v>
      </c>
      <c r="K32" s="301">
        <v>0</v>
      </c>
      <c r="L32" s="22">
        <v>0</v>
      </c>
      <c r="M32" s="22">
        <v>0</v>
      </c>
      <c r="N32" s="171">
        <v>1</v>
      </c>
      <c r="O32" s="330">
        <f>SUM(C32:N32)</f>
        <v>1</v>
      </c>
      <c r="P32" s="153" t="s">
        <v>265</v>
      </c>
      <c r="Q32" s="534">
        <f t="shared" si="3"/>
        <v>27</v>
      </c>
      <c r="R32" s="231"/>
    </row>
    <row r="33" spans="1:18" ht="15.75">
      <c r="A33" s="153">
        <f t="shared" si="2"/>
        <v>28</v>
      </c>
      <c r="B33" s="156"/>
      <c r="C33" s="168"/>
      <c r="D33" s="21"/>
      <c r="E33" s="21"/>
      <c r="F33" s="185"/>
      <c r="G33" s="532"/>
      <c r="H33" s="27"/>
      <c r="I33" s="216"/>
      <c r="J33" s="281"/>
      <c r="K33" s="296"/>
      <c r="L33" s="21"/>
      <c r="M33" s="21"/>
      <c r="N33" s="281"/>
      <c r="O33" s="327"/>
      <c r="P33" s="231"/>
      <c r="Q33" s="154">
        <f t="shared" si="3"/>
        <v>28</v>
      </c>
      <c r="R33" s="231"/>
    </row>
    <row r="34" spans="1:18" ht="16.5" thickBot="1">
      <c r="A34" s="153">
        <f t="shared" si="2"/>
        <v>29</v>
      </c>
      <c r="B34" s="393" t="s">
        <v>266</v>
      </c>
      <c r="C34" s="408">
        <f t="shared" ref="C34:O34" si="15">C6+C23+C30+C32</f>
        <v>-40804038.297747478</v>
      </c>
      <c r="D34" s="149">
        <f t="shared" si="15"/>
        <v>-35684346.498895466</v>
      </c>
      <c r="E34" s="149">
        <f t="shared" si="15"/>
        <v>-14136044.563787123</v>
      </c>
      <c r="F34" s="414">
        <f>F6+F23+F30+F32</f>
        <v>-3356811.4530248651</v>
      </c>
      <c r="G34" s="533">
        <f t="shared" si="15"/>
        <v>10152734.703567278</v>
      </c>
      <c r="H34" s="305">
        <f t="shared" si="15"/>
        <v>20752813.418152299</v>
      </c>
      <c r="I34" s="415">
        <f>I6+I23+I30+I32</f>
        <v>32383945.347100511</v>
      </c>
      <c r="J34" s="416">
        <f>J6+J23+J30+J32</f>
        <v>44871570.532606445</v>
      </c>
      <c r="K34" s="424">
        <f t="shared" si="15"/>
        <v>59499649.880678639</v>
      </c>
      <c r="L34" s="149">
        <f t="shared" si="15"/>
        <v>72822582.707988396</v>
      </c>
      <c r="M34" s="149">
        <f t="shared" si="15"/>
        <v>86005770.594416589</v>
      </c>
      <c r="N34" s="416">
        <f t="shared" si="15"/>
        <v>84629993.395797521</v>
      </c>
      <c r="O34" s="426">
        <f t="shared" si="15"/>
        <v>84629993.39579758</v>
      </c>
      <c r="P34" s="72" t="s">
        <v>267</v>
      </c>
      <c r="Q34" s="154">
        <f t="shared" si="3"/>
        <v>29</v>
      </c>
      <c r="R34" s="231"/>
    </row>
    <row r="35" spans="1:18" ht="17.25" thickTop="1" thickBot="1">
      <c r="A35" s="153">
        <f>A34+1</f>
        <v>30</v>
      </c>
      <c r="B35" s="156"/>
      <c r="C35" s="181"/>
      <c r="D35" s="151"/>
      <c r="E35" s="151"/>
      <c r="F35" s="182"/>
      <c r="G35" s="199"/>
      <c r="H35" s="17"/>
      <c r="I35" s="37"/>
      <c r="J35" s="276"/>
      <c r="K35" s="181"/>
      <c r="L35" s="151"/>
      <c r="M35" s="151"/>
      <c r="N35" s="334"/>
      <c r="O35" s="604"/>
      <c r="P35" s="76"/>
      <c r="Q35" s="154">
        <f>Q34+1</f>
        <v>30</v>
      </c>
      <c r="R35" s="231"/>
    </row>
    <row r="36" spans="1:18" ht="17.25">
      <c r="A36" s="157">
        <f>A35+1</f>
        <v>31</v>
      </c>
      <c r="B36" s="394"/>
      <c r="C36" s="173"/>
      <c r="D36" s="70"/>
      <c r="E36" s="70"/>
      <c r="F36" s="174"/>
      <c r="G36" s="285"/>
      <c r="H36" s="70"/>
      <c r="I36" s="221"/>
      <c r="J36" s="286"/>
      <c r="K36" s="173"/>
      <c r="L36" s="70"/>
      <c r="M36" s="70"/>
      <c r="N36" s="286"/>
      <c r="O36" s="325"/>
      <c r="P36" s="77"/>
      <c r="Q36" s="158">
        <f>Q35+1</f>
        <v>31</v>
      </c>
      <c r="R36" s="231"/>
    </row>
    <row r="37" spans="1:18" ht="15.75">
      <c r="A37" s="153">
        <f>A36+1</f>
        <v>32</v>
      </c>
      <c r="B37" s="395" t="s">
        <v>268</v>
      </c>
      <c r="C37" s="191"/>
      <c r="D37" s="67"/>
      <c r="E37" s="16"/>
      <c r="F37" s="273"/>
      <c r="G37" s="155"/>
      <c r="H37" s="16"/>
      <c r="I37" s="20"/>
      <c r="J37" s="156"/>
      <c r="K37" s="139"/>
      <c r="L37" s="36"/>
      <c r="M37" s="16"/>
      <c r="N37" s="156"/>
      <c r="O37" s="54"/>
      <c r="P37" s="76"/>
      <c r="Q37" s="154">
        <f>Q36+1</f>
        <v>32</v>
      </c>
      <c r="R37" s="231"/>
    </row>
    <row r="38" spans="1:18" ht="15.75">
      <c r="A38" s="153">
        <f t="shared" ref="A38:A40" si="16">A37+1</f>
        <v>33</v>
      </c>
      <c r="B38" s="156" t="s">
        <v>269</v>
      </c>
      <c r="C38" s="175">
        <f>F45</f>
        <v>1.0274999999999999E-2</v>
      </c>
      <c r="D38" s="68">
        <f t="shared" ref="D38:N38" si="17">C38</f>
        <v>1.0274999999999999E-2</v>
      </c>
      <c r="E38" s="68">
        <f>F45</f>
        <v>1.0274999999999999E-2</v>
      </c>
      <c r="F38" s="176">
        <f>I45</f>
        <v>1.0207000000000001E-2</v>
      </c>
      <c r="G38" s="180">
        <f t="shared" si="17"/>
        <v>1.0207000000000001E-2</v>
      </c>
      <c r="H38" s="68">
        <f t="shared" si="17"/>
        <v>1.0207000000000001E-2</v>
      </c>
      <c r="I38" s="222">
        <f t="shared" si="17"/>
        <v>1.0207000000000001E-2</v>
      </c>
      <c r="J38" s="287">
        <f t="shared" si="17"/>
        <v>1.0207000000000001E-2</v>
      </c>
      <c r="K38" s="175">
        <f t="shared" si="17"/>
        <v>1.0207000000000001E-2</v>
      </c>
      <c r="L38" s="68">
        <f t="shared" si="17"/>
        <v>1.0207000000000001E-2</v>
      </c>
      <c r="M38" s="68">
        <f t="shared" si="17"/>
        <v>1.0207000000000001E-2</v>
      </c>
      <c r="N38" s="287">
        <f t="shared" si="17"/>
        <v>1.0207000000000001E-2</v>
      </c>
      <c r="O38" s="54"/>
      <c r="P38" s="76"/>
      <c r="Q38" s="154">
        <f t="shared" ref="Q38:Q40" si="18">Q37+1</f>
        <v>33</v>
      </c>
      <c r="R38" s="231"/>
    </row>
    <row r="39" spans="1:18" ht="15.75">
      <c r="A39" s="153">
        <f t="shared" si="16"/>
        <v>34</v>
      </c>
      <c r="B39" s="156" t="s">
        <v>270</v>
      </c>
      <c r="C39" s="177">
        <f>F46</f>
        <v>1.73E-3</v>
      </c>
      <c r="D39" s="123">
        <f>C39</f>
        <v>1.73E-3</v>
      </c>
      <c r="E39" s="123">
        <f>F46</f>
        <v>1.73E-3</v>
      </c>
      <c r="F39" s="178">
        <f>I46</f>
        <v>2.4099999999999998E-3</v>
      </c>
      <c r="G39" s="288">
        <f t="shared" ref="G39:N39" si="19">F39</f>
        <v>2.4099999999999998E-3</v>
      </c>
      <c r="H39" s="123">
        <f t="shared" si="19"/>
        <v>2.4099999999999998E-3</v>
      </c>
      <c r="I39" s="223">
        <f t="shared" si="19"/>
        <v>2.4099999999999998E-3</v>
      </c>
      <c r="J39" s="289">
        <f t="shared" si="19"/>
        <v>2.4099999999999998E-3</v>
      </c>
      <c r="K39" s="177">
        <f t="shared" si="19"/>
        <v>2.4099999999999998E-3</v>
      </c>
      <c r="L39" s="123">
        <f t="shared" si="19"/>
        <v>2.4099999999999998E-3</v>
      </c>
      <c r="M39" s="123">
        <f t="shared" si="19"/>
        <v>2.4099999999999998E-3</v>
      </c>
      <c r="N39" s="289">
        <f t="shared" si="19"/>
        <v>2.4099999999999998E-3</v>
      </c>
      <c r="O39" s="54"/>
      <c r="P39" s="76"/>
      <c r="Q39" s="154">
        <f t="shared" si="18"/>
        <v>34</v>
      </c>
      <c r="R39" s="231"/>
    </row>
    <row r="40" spans="1:18" ht="16.5" thickBot="1">
      <c r="A40" s="159">
        <f t="shared" si="16"/>
        <v>35</v>
      </c>
      <c r="B40" s="230" t="s">
        <v>271</v>
      </c>
      <c r="C40" s="518">
        <f>C38+C39</f>
        <v>1.2005E-2</v>
      </c>
      <c r="D40" s="519">
        <f t="shared" ref="D40:N40" si="20">D38+D39</f>
        <v>1.2005E-2</v>
      </c>
      <c r="E40" s="519">
        <f t="shared" si="20"/>
        <v>1.2005E-2</v>
      </c>
      <c r="F40" s="520">
        <f t="shared" si="20"/>
        <v>1.2617E-2</v>
      </c>
      <c r="G40" s="518">
        <f t="shared" si="20"/>
        <v>1.2617E-2</v>
      </c>
      <c r="H40" s="519">
        <f t="shared" si="20"/>
        <v>1.2617E-2</v>
      </c>
      <c r="I40" s="521">
        <f t="shared" si="20"/>
        <v>1.2617E-2</v>
      </c>
      <c r="J40" s="522">
        <f t="shared" si="20"/>
        <v>1.2617E-2</v>
      </c>
      <c r="K40" s="523">
        <f t="shared" si="20"/>
        <v>1.2617E-2</v>
      </c>
      <c r="L40" s="519">
        <f>SUM(L38:L39)</f>
        <v>1.2617E-2</v>
      </c>
      <c r="M40" s="519">
        <f t="shared" si="20"/>
        <v>1.2617E-2</v>
      </c>
      <c r="N40" s="522">
        <f t="shared" si="20"/>
        <v>1.2617E-2</v>
      </c>
      <c r="O40" s="60"/>
      <c r="P40" s="524" t="s">
        <v>272</v>
      </c>
      <c r="Q40" s="160">
        <f t="shared" si="18"/>
        <v>35</v>
      </c>
      <c r="R40" s="231"/>
    </row>
    <row r="41" spans="1:18" ht="15.75">
      <c r="A41" s="31"/>
      <c r="B41" s="20"/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20"/>
      <c r="P41" s="74"/>
      <c r="Q41" s="31"/>
      <c r="R41" s="231"/>
    </row>
    <row r="42" spans="1:18" ht="63">
      <c r="A42" s="642">
        <v>1</v>
      </c>
      <c r="B42" s="643" t="s">
        <v>273</v>
      </c>
      <c r="C42" s="641"/>
      <c r="D42" s="641"/>
      <c r="E42" s="641"/>
      <c r="F42" s="641"/>
      <c r="G42" s="641"/>
      <c r="H42" s="641"/>
      <c r="I42" s="641"/>
      <c r="J42" s="641"/>
      <c r="K42" s="641"/>
      <c r="L42" s="641"/>
      <c r="M42" s="641"/>
      <c r="N42" s="641"/>
      <c r="O42" s="20"/>
      <c r="P42" s="74"/>
      <c r="Q42" s="31"/>
      <c r="R42" s="231"/>
    </row>
    <row r="43" spans="1:18" ht="20.25">
      <c r="A43" s="48"/>
      <c r="B43" s="49"/>
      <c r="C43" s="50"/>
      <c r="D43" s="50"/>
      <c r="E43" s="20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0"/>
      <c r="Q43" s="20"/>
      <c r="R43" s="231"/>
    </row>
    <row r="44" spans="1:18" ht="19.5">
      <c r="A44" s="83"/>
      <c r="B44" s="412" t="s">
        <v>393</v>
      </c>
      <c r="C44" s="92"/>
      <c r="D44" s="302"/>
      <c r="E44" s="249" t="s">
        <v>396</v>
      </c>
      <c r="F44" s="20"/>
      <c r="G44" s="20"/>
      <c r="H44" s="249" t="s">
        <v>397</v>
      </c>
      <c r="I44" s="20"/>
      <c r="J44" s="20"/>
      <c r="K44" s="20"/>
      <c r="L44" s="20"/>
      <c r="M44" s="20"/>
      <c r="N44" s="122"/>
      <c r="O44" s="51"/>
      <c r="P44" s="20"/>
      <c r="Q44" s="20"/>
      <c r="R44" s="231"/>
    </row>
    <row r="45" spans="1:18" ht="15.75">
      <c r="A45" s="16"/>
      <c r="B45" s="20" t="s">
        <v>394</v>
      </c>
      <c r="C45" s="65">
        <v>-1.6559999999999998E-2</v>
      </c>
      <c r="D45" s="303"/>
      <c r="E45" s="20" t="s">
        <v>274</v>
      </c>
      <c r="F45" s="222">
        <v>1.0274999999999999E-2</v>
      </c>
      <c r="G45" s="20"/>
      <c r="H45" s="20" t="s">
        <v>274</v>
      </c>
      <c r="I45" s="641">
        <v>1.0207000000000001E-2</v>
      </c>
      <c r="J45" s="20"/>
      <c r="K45" s="20"/>
      <c r="L45" s="20"/>
      <c r="M45" s="20"/>
      <c r="N45" s="20"/>
      <c r="O45" s="20"/>
      <c r="P45" s="20"/>
      <c r="Q45" s="20"/>
      <c r="R45" s="231"/>
    </row>
    <row r="46" spans="1:18" ht="15.75">
      <c r="A46" s="16"/>
      <c r="B46" s="20" t="s">
        <v>395</v>
      </c>
      <c r="C46" s="65">
        <v>-2.0230000000000001E-2</v>
      </c>
      <c r="D46" s="303"/>
      <c r="E46" s="20" t="s">
        <v>275</v>
      </c>
      <c r="F46" s="222">
        <v>1.73E-3</v>
      </c>
      <c r="G46" s="698"/>
      <c r="H46" s="20" t="s">
        <v>275</v>
      </c>
      <c r="I46" s="641">
        <v>2.4099999999999998E-3</v>
      </c>
      <c r="J46" s="698"/>
      <c r="K46" s="20"/>
      <c r="L46" s="20"/>
      <c r="M46" s="20"/>
      <c r="N46" s="20"/>
      <c r="O46" s="20"/>
      <c r="P46" s="20"/>
      <c r="Q46" s="20"/>
      <c r="R46" s="231"/>
    </row>
    <row r="47" spans="1:18" ht="16.5" thickBot="1">
      <c r="A47" s="16"/>
      <c r="B47" s="20" t="s">
        <v>276</v>
      </c>
      <c r="C47" s="410">
        <f>C45+C46</f>
        <v>-3.6790000000000003E-2</v>
      </c>
      <c r="D47" s="303"/>
      <c r="E47" s="20" t="s">
        <v>277</v>
      </c>
      <c r="F47" s="413">
        <f>SUM(F45:F46)</f>
        <v>1.2005E-2</v>
      </c>
      <c r="G47" s="20"/>
      <c r="H47" s="20" t="s">
        <v>277</v>
      </c>
      <c r="I47" s="413">
        <f>SUM(I45:I46)</f>
        <v>1.2617E-2</v>
      </c>
      <c r="J47" s="20"/>
      <c r="K47" s="20"/>
      <c r="L47" s="20"/>
      <c r="M47" s="20"/>
      <c r="N47" s="20"/>
      <c r="O47" s="26"/>
      <c r="P47" s="20"/>
      <c r="Q47" s="20"/>
      <c r="R47" s="231"/>
    </row>
    <row r="48" spans="1:18" ht="17.25" thickTop="1" thickBot="1">
      <c r="A48" s="16"/>
      <c r="B48" s="20" t="str">
        <f>B44</f>
        <v>Average TACBAA Rate Calculation for January 2025:</v>
      </c>
      <c r="C48" s="647">
        <f>(C47/2)</f>
        <v>-1.8395000000000002E-2</v>
      </c>
      <c r="D48" s="409"/>
      <c r="E48" s="303"/>
      <c r="F48" s="303"/>
      <c r="G48" s="20"/>
      <c r="H48" s="20"/>
      <c r="I48" s="20"/>
      <c r="J48" s="20"/>
      <c r="K48" s="20"/>
      <c r="L48" s="20"/>
      <c r="M48" s="20"/>
      <c r="N48" s="20"/>
      <c r="O48" s="26"/>
      <c r="P48" s="20"/>
      <c r="Q48" s="20"/>
      <c r="R48" s="231"/>
    </row>
    <row r="49" spans="1:18" ht="17.25" thickTop="1">
      <c r="A49" s="82"/>
      <c r="B49" s="82"/>
      <c r="C49" s="411"/>
      <c r="D49" s="699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  <c r="P49" s="20"/>
      <c r="Q49" s="20"/>
      <c r="R49" s="231"/>
    </row>
    <row r="50" spans="1:18" ht="15.75">
      <c r="A50" s="20"/>
      <c r="B50" s="20"/>
      <c r="C50" s="50"/>
      <c r="D50" s="5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52"/>
      <c r="P50" s="20"/>
      <c r="Q50" s="20"/>
      <c r="R50" s="231"/>
    </row>
    <row r="51" spans="1:18" ht="15.75">
      <c r="A51" s="9"/>
      <c r="B51" s="40"/>
      <c r="C51" s="9" t="str">
        <f t="shared" ref="C51:N51" si="21">C3</f>
        <v>November</v>
      </c>
      <c r="D51" s="9" t="str">
        <f t="shared" si="21"/>
        <v>December</v>
      </c>
      <c r="E51" s="9" t="str">
        <f t="shared" si="21"/>
        <v>January</v>
      </c>
      <c r="F51" s="9" t="str">
        <f t="shared" si="21"/>
        <v>February</v>
      </c>
      <c r="G51" s="9" t="str">
        <f t="shared" si="21"/>
        <v>March</v>
      </c>
      <c r="H51" s="9" t="str">
        <f t="shared" si="21"/>
        <v>April</v>
      </c>
      <c r="I51" s="553" t="str">
        <f t="shared" si="21"/>
        <v>May</v>
      </c>
      <c r="J51" s="9" t="str">
        <f t="shared" si="21"/>
        <v>June</v>
      </c>
      <c r="K51" s="9" t="str">
        <f t="shared" si="21"/>
        <v>July</v>
      </c>
      <c r="L51" s="553" t="str">
        <f t="shared" si="21"/>
        <v>August</v>
      </c>
      <c r="M51" s="9" t="str">
        <f t="shared" si="21"/>
        <v>September</v>
      </c>
      <c r="N51" s="554" t="str">
        <f t="shared" si="21"/>
        <v>October</v>
      </c>
      <c r="O51" s="9"/>
      <c r="P51" s="553"/>
      <c r="Q51" s="9" t="s">
        <v>8</v>
      </c>
      <c r="R51" s="231"/>
    </row>
    <row r="52" spans="1:18" ht="19.5">
      <c r="A52" s="79"/>
      <c r="B52" s="84" t="s">
        <v>278</v>
      </c>
      <c r="C52" s="13">
        <f>C4</f>
        <v>2024</v>
      </c>
      <c r="D52" s="13">
        <f>C52</f>
        <v>2024</v>
      </c>
      <c r="E52" s="13">
        <f>$C52+1</f>
        <v>2025</v>
      </c>
      <c r="F52" s="13">
        <f>$C52+1</f>
        <v>2025</v>
      </c>
      <c r="G52" s="13">
        <f t="shared" ref="G52:N52" si="22">$C52+1</f>
        <v>2025</v>
      </c>
      <c r="H52" s="13">
        <f t="shared" si="22"/>
        <v>2025</v>
      </c>
      <c r="I52" s="64">
        <f t="shared" si="22"/>
        <v>2025</v>
      </c>
      <c r="J52" s="13">
        <f t="shared" si="22"/>
        <v>2025</v>
      </c>
      <c r="K52" s="13">
        <f t="shared" si="22"/>
        <v>2025</v>
      </c>
      <c r="L52" s="64">
        <f t="shared" si="22"/>
        <v>2025</v>
      </c>
      <c r="M52" s="13">
        <f t="shared" si="22"/>
        <v>2025</v>
      </c>
      <c r="N52" s="150">
        <f t="shared" si="22"/>
        <v>2025</v>
      </c>
      <c r="O52" s="13" t="s">
        <v>18</v>
      </c>
      <c r="P52" s="64" t="s">
        <v>16</v>
      </c>
      <c r="Q52" s="13" t="s">
        <v>11</v>
      </c>
      <c r="R52" s="231"/>
    </row>
    <row r="53" spans="1:18" ht="15.75">
      <c r="A53" s="16"/>
      <c r="B53" s="16"/>
      <c r="C53" s="16"/>
      <c r="D53" s="16"/>
      <c r="E53" s="16"/>
      <c r="F53" s="16"/>
      <c r="G53" s="16"/>
      <c r="H53" s="16"/>
      <c r="I53" s="85"/>
      <c r="J53" s="16"/>
      <c r="K53" s="16"/>
      <c r="L53" s="85"/>
      <c r="M53" s="16"/>
      <c r="N53" s="192"/>
      <c r="O53" s="16"/>
      <c r="P53" s="85"/>
      <c r="Q53" s="16"/>
      <c r="R53" s="231"/>
    </row>
    <row r="54" spans="1:18" ht="15.75">
      <c r="A54" s="16"/>
      <c r="B54" s="16" t="s">
        <v>279</v>
      </c>
      <c r="C54" s="66">
        <v>8.5000000000000006E-2</v>
      </c>
      <c r="D54" s="66">
        <f>C54</f>
        <v>8.5000000000000006E-2</v>
      </c>
      <c r="E54" s="66">
        <v>8.0399999999999999E-2</v>
      </c>
      <c r="F54" s="66">
        <f>E54</f>
        <v>8.0399999999999999E-2</v>
      </c>
      <c r="G54" s="80">
        <f>F54</f>
        <v>8.0399999999999999E-2</v>
      </c>
      <c r="H54" s="66">
        <v>7.5499999999999998E-2</v>
      </c>
      <c r="I54" s="196">
        <f>H54</f>
        <v>7.5499999999999998E-2</v>
      </c>
      <c r="J54" s="66">
        <f>H54</f>
        <v>7.5499999999999998E-2</v>
      </c>
      <c r="K54" s="66">
        <v>7.4999999999999997E-2</v>
      </c>
      <c r="L54" s="196">
        <f>K54</f>
        <v>7.4999999999999997E-2</v>
      </c>
      <c r="M54" s="66">
        <f>K54</f>
        <v>7.4999999999999997E-2</v>
      </c>
      <c r="N54" s="417">
        <v>7.4999999999999997E-2</v>
      </c>
      <c r="O54" s="16"/>
      <c r="P54" s="85"/>
      <c r="Q54" s="16"/>
      <c r="R54" s="231"/>
    </row>
    <row r="55" spans="1:18" ht="15.75">
      <c r="A55" s="16"/>
      <c r="B55" s="16" t="s">
        <v>280</v>
      </c>
      <c r="C55" s="16">
        <v>366</v>
      </c>
      <c r="D55" s="16">
        <f>C55</f>
        <v>366</v>
      </c>
      <c r="E55" s="16">
        <v>365</v>
      </c>
      <c r="F55" s="16">
        <f>E55</f>
        <v>365</v>
      </c>
      <c r="G55" s="16">
        <f>E55</f>
        <v>365</v>
      </c>
      <c r="H55" s="16">
        <f>E55</f>
        <v>365</v>
      </c>
      <c r="I55" s="85">
        <f>E55</f>
        <v>365</v>
      </c>
      <c r="J55" s="16">
        <f>E55</f>
        <v>365</v>
      </c>
      <c r="K55" s="16">
        <f>E55</f>
        <v>365</v>
      </c>
      <c r="L55" s="85">
        <f>E55</f>
        <v>365</v>
      </c>
      <c r="M55" s="16">
        <f>E55</f>
        <v>365</v>
      </c>
      <c r="N55" s="192">
        <f>E55</f>
        <v>365</v>
      </c>
      <c r="O55" s="16">
        <f>N55</f>
        <v>365</v>
      </c>
      <c r="P55" s="85"/>
      <c r="Q55" s="16"/>
      <c r="R55" s="231"/>
    </row>
    <row r="56" spans="1:18" ht="15.75">
      <c r="A56" s="16"/>
      <c r="B56" s="16" t="s">
        <v>281</v>
      </c>
      <c r="C56" s="16">
        <v>30</v>
      </c>
      <c r="D56" s="16">
        <v>31</v>
      </c>
      <c r="E56" s="16">
        <v>31</v>
      </c>
      <c r="F56" s="16">
        <v>28</v>
      </c>
      <c r="G56" s="16">
        <v>31</v>
      </c>
      <c r="H56" s="16">
        <v>30</v>
      </c>
      <c r="I56" s="85">
        <v>31</v>
      </c>
      <c r="J56" s="16">
        <v>30</v>
      </c>
      <c r="K56" s="16">
        <v>31</v>
      </c>
      <c r="L56" s="85">
        <v>31</v>
      </c>
      <c r="M56" s="16">
        <v>30</v>
      </c>
      <c r="N56" s="192">
        <v>31</v>
      </c>
      <c r="O56" s="16">
        <f>SUM(C56:N56)</f>
        <v>365</v>
      </c>
      <c r="P56" s="85"/>
      <c r="Q56" s="16"/>
      <c r="R56" s="231"/>
    </row>
    <row r="57" spans="1:18" ht="15.75">
      <c r="A57" s="16"/>
      <c r="B57" s="16" t="s">
        <v>282</v>
      </c>
      <c r="C57" s="66">
        <f>(C54/C55)*C56</f>
        <v>6.9672131147540993E-3</v>
      </c>
      <c r="D57" s="66">
        <f t="shared" ref="D57:N57" si="23">(D54/D55)*D56</f>
        <v>7.1994535519125692E-3</v>
      </c>
      <c r="E57" s="66">
        <f t="shared" si="23"/>
        <v>6.8284931506849313E-3</v>
      </c>
      <c r="F57" s="66">
        <f t="shared" si="23"/>
        <v>6.1676712328767123E-3</v>
      </c>
      <c r="G57" s="66">
        <f t="shared" si="23"/>
        <v>6.8284931506849313E-3</v>
      </c>
      <c r="H57" s="66">
        <f t="shared" si="23"/>
        <v>6.2054794520547945E-3</v>
      </c>
      <c r="I57" s="196">
        <f t="shared" si="23"/>
        <v>6.4123287671232878E-3</v>
      </c>
      <c r="J57" s="66">
        <f t="shared" si="23"/>
        <v>6.2054794520547945E-3</v>
      </c>
      <c r="K57" s="66">
        <f t="shared" si="23"/>
        <v>6.3698630136986298E-3</v>
      </c>
      <c r="L57" s="196">
        <f t="shared" si="23"/>
        <v>6.3698630136986298E-3</v>
      </c>
      <c r="M57" s="66">
        <f t="shared" si="23"/>
        <v>6.1643835616438354E-3</v>
      </c>
      <c r="N57" s="417">
        <f t="shared" si="23"/>
        <v>6.3698630136986298E-3</v>
      </c>
      <c r="O57" s="421">
        <f>SUM(C57:N57)</f>
        <v>7.8088584474885855E-2</v>
      </c>
      <c r="P57" s="85"/>
      <c r="Q57" s="16"/>
      <c r="R57" s="231"/>
    </row>
    <row r="58" spans="1:18" ht="15.75">
      <c r="A58" s="239"/>
      <c r="B58" s="16" t="s">
        <v>283</v>
      </c>
      <c r="C58" s="605">
        <v>7.0000000000000001E-3</v>
      </c>
      <c r="D58" s="605">
        <v>7.1999999999999998E-3</v>
      </c>
      <c r="E58" s="605">
        <v>6.7999999999999996E-3</v>
      </c>
      <c r="F58" s="605">
        <v>6.1999999999999998E-3</v>
      </c>
      <c r="G58" s="606">
        <v>6.7999999999999996E-3</v>
      </c>
      <c r="H58" s="605">
        <v>6.1999999999999998E-3</v>
      </c>
      <c r="I58" s="607">
        <v>6.4000000000000003E-3</v>
      </c>
      <c r="J58" s="605">
        <v>6.1999999999999998E-3</v>
      </c>
      <c r="K58" s="605">
        <v>6.4000000000000003E-3</v>
      </c>
      <c r="L58" s="607">
        <v>6.4000000000000003E-3</v>
      </c>
      <c r="M58" s="605">
        <v>6.1999999999999998E-3</v>
      </c>
      <c r="N58" s="608">
        <v>6.4000000000000003E-3</v>
      </c>
      <c r="O58" s="422">
        <f>SUM(C58:N58)</f>
        <v>7.8200000000000006E-2</v>
      </c>
      <c r="P58" s="609"/>
      <c r="Q58" s="610"/>
      <c r="R58" s="231"/>
    </row>
    <row r="59" spans="1:18" ht="16.5" thickBot="1">
      <c r="A59" s="239"/>
      <c r="B59" s="16" t="s">
        <v>74</v>
      </c>
      <c r="C59" s="418">
        <f>C57-C58</f>
        <v>-3.2786885245900815E-5</v>
      </c>
      <c r="D59" s="418">
        <f t="shared" ref="D59:N59" si="24">D57-D58</f>
        <v>-5.464480874305816E-7</v>
      </c>
      <c r="E59" s="418">
        <f t="shared" si="24"/>
        <v>2.8493150684931641E-5</v>
      </c>
      <c r="F59" s="418">
        <f t="shared" si="24"/>
        <v>-3.2328767123287507E-5</v>
      </c>
      <c r="G59" s="418">
        <f t="shared" si="24"/>
        <v>2.8493150684931641E-5</v>
      </c>
      <c r="H59" s="418">
        <f t="shared" si="24"/>
        <v>5.4794520547947131E-6</v>
      </c>
      <c r="I59" s="419">
        <f t="shared" si="24"/>
        <v>1.2328767123287454E-5</v>
      </c>
      <c r="J59" s="418">
        <f t="shared" si="24"/>
        <v>5.4794520547947131E-6</v>
      </c>
      <c r="K59" s="418">
        <f t="shared" si="24"/>
        <v>-3.0136986301370489E-5</v>
      </c>
      <c r="L59" s="419">
        <f t="shared" si="24"/>
        <v>-3.0136986301370489E-5</v>
      </c>
      <c r="M59" s="418">
        <f t="shared" si="24"/>
        <v>-3.5616438356164334E-5</v>
      </c>
      <c r="N59" s="420">
        <f t="shared" si="24"/>
        <v>-3.0136986301370489E-5</v>
      </c>
      <c r="O59" s="423">
        <f>SUM(C59:N59)</f>
        <v>-1.1141552511415454E-4</v>
      </c>
      <c r="P59" s="609"/>
      <c r="Q59" s="610"/>
      <c r="R59" s="231"/>
    </row>
    <row r="60" spans="1:18" ht="16.5" thickTop="1">
      <c r="A60" s="12"/>
      <c r="B60" s="12"/>
      <c r="C60" s="71"/>
      <c r="D60" s="71"/>
      <c r="E60" s="12"/>
      <c r="F60" s="12"/>
      <c r="G60" s="12"/>
      <c r="H60" s="12"/>
      <c r="I60" s="86"/>
      <c r="J60" s="12"/>
      <c r="K60" s="12"/>
      <c r="L60" s="86"/>
      <c r="M60" s="12"/>
      <c r="N60" s="195"/>
      <c r="O60" s="12"/>
      <c r="P60" s="86"/>
      <c r="Q60" s="12"/>
      <c r="R60" s="231"/>
    </row>
    <row r="61" spans="1:18" ht="15.75">
      <c r="A61" s="20"/>
      <c r="B61" s="20"/>
      <c r="C61" s="50"/>
      <c r="D61" s="5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31"/>
    </row>
    <row r="62" spans="1:18" ht="15.75">
      <c r="A62" s="20"/>
      <c r="B62" s="20"/>
      <c r="C62" s="50"/>
      <c r="D62" s="5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31"/>
    </row>
    <row r="63" spans="1:18" ht="15.75">
      <c r="A63" s="20"/>
      <c r="B63" s="20"/>
      <c r="C63" s="50"/>
      <c r="D63" s="5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75">
      <c r="A64" s="20"/>
      <c r="B64" s="20"/>
      <c r="C64" s="50"/>
      <c r="D64" s="5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75">
      <c r="A65" s="20"/>
      <c r="B65" s="20"/>
      <c r="C65" s="50"/>
      <c r="D65" s="5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75">
      <c r="A66" s="20"/>
      <c r="B66" s="20"/>
      <c r="C66" s="50"/>
      <c r="D66" s="5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75">
      <c r="C67" s="20"/>
    </row>
    <row r="68" spans="1:17" ht="15.75">
      <c r="C68" s="20"/>
    </row>
    <row r="69" spans="1:17" ht="15.75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2025
2026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72"/>
  <sheetViews>
    <sheetView zoomScaleNormal="100" workbookViewId="0">
      <selection activeCell="J35" sqref="J35"/>
    </sheetView>
  </sheetViews>
  <sheetFormatPr defaultRowHeight="12.75"/>
  <cols>
    <col min="1" max="1" width="5.5703125" customWidth="1"/>
    <col min="2" max="2" width="63.5703125" customWidth="1"/>
    <col min="3" max="3" width="15.5703125" customWidth="1"/>
    <col min="4" max="4" width="16.140625" customWidth="1"/>
    <col min="5" max="5" width="16.7109375" customWidth="1"/>
    <col min="6" max="6" width="33.5703125" customWidth="1"/>
    <col min="7" max="7" width="5.5703125" customWidth="1"/>
    <col min="9" max="9" width="12.5703125" bestFit="1" customWidth="1"/>
    <col min="10" max="10" width="14.5703125" bestFit="1" customWidth="1"/>
    <col min="11" max="11" width="12.42578125" bestFit="1" customWidth="1"/>
  </cols>
  <sheetData>
    <row r="1" spans="1:11" ht="15.75">
      <c r="A1" s="20"/>
      <c r="B1" s="38"/>
      <c r="C1" s="39"/>
      <c r="D1" s="39"/>
      <c r="E1" s="39"/>
      <c r="F1" s="39"/>
      <c r="G1" s="20"/>
      <c r="H1" s="231"/>
      <c r="I1" s="231"/>
    </row>
    <row r="2" spans="1:11" ht="16.5" thickBot="1">
      <c r="A2" s="110"/>
      <c r="B2" s="226"/>
      <c r="C2" s="227"/>
      <c r="D2" s="227"/>
      <c r="E2" s="227"/>
      <c r="F2" s="227"/>
      <c r="G2" s="110"/>
      <c r="H2" s="231"/>
      <c r="I2" s="231"/>
    </row>
    <row r="3" spans="1:11" ht="15.75">
      <c r="A3" s="535"/>
      <c r="B3" s="348"/>
      <c r="C3" s="401" t="s">
        <v>284</v>
      </c>
      <c r="D3" s="402" t="s">
        <v>284</v>
      </c>
      <c r="E3" s="400"/>
      <c r="F3" s="348"/>
      <c r="G3" s="536"/>
      <c r="H3" s="231"/>
      <c r="I3" s="231"/>
    </row>
    <row r="4" spans="1:11" ht="15.75">
      <c r="A4" s="274" t="s">
        <v>8</v>
      </c>
      <c r="B4" s="36"/>
      <c r="C4" s="69" t="s">
        <v>223</v>
      </c>
      <c r="D4" s="41" t="s">
        <v>224</v>
      </c>
      <c r="E4" s="41"/>
      <c r="F4" s="69"/>
      <c r="G4" s="275" t="s">
        <v>8</v>
      </c>
      <c r="H4" s="231"/>
      <c r="I4" s="231"/>
    </row>
    <row r="5" spans="1:11" ht="16.5" thickBot="1">
      <c r="A5" s="472" t="s">
        <v>11</v>
      </c>
      <c r="B5" s="473" t="s">
        <v>69</v>
      </c>
      <c r="C5" s="495">
        <v>2025</v>
      </c>
      <c r="D5" s="473">
        <f>C5</f>
        <v>2025</v>
      </c>
      <c r="E5" s="473" t="s">
        <v>18</v>
      </c>
      <c r="F5" s="495" t="s">
        <v>16</v>
      </c>
      <c r="G5" s="475" t="s">
        <v>11</v>
      </c>
      <c r="H5" s="231"/>
      <c r="I5" s="231"/>
    </row>
    <row r="6" spans="1:11" ht="15.75">
      <c r="A6" s="155"/>
      <c r="B6" s="36"/>
      <c r="C6" s="611"/>
      <c r="D6" s="41"/>
      <c r="E6" s="41"/>
      <c r="F6" s="69"/>
      <c r="G6" s="156"/>
      <c r="H6" s="231"/>
      <c r="I6" s="231"/>
    </row>
    <row r="7" spans="1:11" ht="15.75">
      <c r="A7" s="153">
        <v>1</v>
      </c>
      <c r="B7" s="16" t="s">
        <v>232</v>
      </c>
      <c r="C7" s="37">
        <f>'WP 2.1 Monthly TACBAA Balance'!O34</f>
        <v>84629993.39579758</v>
      </c>
      <c r="D7" s="17">
        <f t="shared" ref="D7" si="0">C35</f>
        <v>91247390.177633315</v>
      </c>
      <c r="E7" s="17">
        <f>C7</f>
        <v>84629993.39579758</v>
      </c>
      <c r="F7" s="72" t="s">
        <v>233</v>
      </c>
      <c r="G7" s="154">
        <v>1</v>
      </c>
      <c r="H7" s="231"/>
      <c r="I7" s="231"/>
    </row>
    <row r="8" spans="1:11" ht="15.75">
      <c r="A8" s="153">
        <f t="shared" ref="A8:A35" si="1">A7+1</f>
        <v>2</v>
      </c>
      <c r="B8" s="16"/>
      <c r="C8" s="200"/>
      <c r="D8" s="42"/>
      <c r="E8" s="42"/>
      <c r="F8" s="73"/>
      <c r="G8" s="154">
        <f t="shared" ref="G8:G35" si="2">G7+1</f>
        <v>2</v>
      </c>
      <c r="H8" s="231"/>
      <c r="I8" s="231"/>
    </row>
    <row r="9" spans="1:11" ht="15.75">
      <c r="A9" s="153">
        <f t="shared" si="1"/>
        <v>3</v>
      </c>
      <c r="B9" s="16" t="s">
        <v>234</v>
      </c>
      <c r="C9" s="200"/>
      <c r="D9" s="42"/>
      <c r="E9" s="42"/>
      <c r="F9" s="73"/>
      <c r="G9" s="154">
        <f t="shared" si="2"/>
        <v>3</v>
      </c>
      <c r="H9" s="231"/>
      <c r="I9" s="231"/>
    </row>
    <row r="10" spans="1:11" s="407" customFormat="1" ht="30">
      <c r="A10" s="403">
        <f t="shared" si="1"/>
        <v>4</v>
      </c>
      <c r="B10" s="404" t="s">
        <v>235</v>
      </c>
      <c r="C10" s="693">
        <f>'WP 3.2 2025 Forecast'!M41</f>
        <v>1443063710.7469187</v>
      </c>
      <c r="D10" s="612">
        <f>'WP 3.2 2025 Forecast'!N41</f>
        <v>1558038295.2490001</v>
      </c>
      <c r="E10" s="405">
        <f>SUM(C10:D10)</f>
        <v>3001102005.9959188</v>
      </c>
      <c r="F10" s="613" t="s">
        <v>391</v>
      </c>
      <c r="G10" s="406">
        <f t="shared" si="2"/>
        <v>4</v>
      </c>
      <c r="H10" s="614"/>
      <c r="I10" s="614"/>
    </row>
    <row r="11" spans="1:11" ht="15.75">
      <c r="A11" s="153">
        <f t="shared" si="1"/>
        <v>5</v>
      </c>
      <c r="B11" s="16" t="s">
        <v>237</v>
      </c>
      <c r="C11" s="224">
        <f>'WP 2.1 Monthly TACBAA Balance'!G10</f>
        <v>-2.0230000000000001E-2</v>
      </c>
      <c r="D11" s="93">
        <f>C11</f>
        <v>-2.0230000000000001E-2</v>
      </c>
      <c r="E11" s="44"/>
      <c r="F11" s="615" t="s">
        <v>390</v>
      </c>
      <c r="G11" s="154">
        <f t="shared" si="2"/>
        <v>5</v>
      </c>
      <c r="H11" s="231"/>
      <c r="I11" s="231"/>
    </row>
    <row r="12" spans="1:11" ht="15.75">
      <c r="A12" s="153">
        <f t="shared" si="1"/>
        <v>6</v>
      </c>
      <c r="B12" s="16" t="s">
        <v>238</v>
      </c>
      <c r="C12" s="201">
        <f>C10*C11</f>
        <v>-29193178.868410166</v>
      </c>
      <c r="D12" s="18">
        <f>D10*D11</f>
        <v>-31519114.712887272</v>
      </c>
      <c r="E12" s="18">
        <f>SUM(C12:D12)</f>
        <v>-60712293.581297442</v>
      </c>
      <c r="F12" s="72" t="s">
        <v>239</v>
      </c>
      <c r="G12" s="154">
        <f t="shared" si="2"/>
        <v>6</v>
      </c>
      <c r="H12" s="231"/>
      <c r="I12" s="231"/>
    </row>
    <row r="13" spans="1:11" ht="18.75">
      <c r="A13" s="153">
        <f t="shared" si="1"/>
        <v>7</v>
      </c>
      <c r="B13" s="192" t="s">
        <v>240</v>
      </c>
      <c r="C13" s="22">
        <f>(+C12/(1+C43)*C43)</f>
        <v>-363741.01736661646</v>
      </c>
      <c r="D13" s="22">
        <f>(+D12/(1+D43)*D43)</f>
        <v>-392721.70063557959</v>
      </c>
      <c r="E13" s="22">
        <f>SUM(C13:D13)</f>
        <v>-756462.71800219605</v>
      </c>
      <c r="F13" s="517" t="s">
        <v>285</v>
      </c>
      <c r="G13" s="154">
        <f t="shared" si="2"/>
        <v>7</v>
      </c>
      <c r="H13" s="231"/>
      <c r="I13" s="231"/>
    </row>
    <row r="14" spans="1:11" ht="15.75">
      <c r="A14" s="153">
        <f t="shared" si="1"/>
        <v>8</v>
      </c>
      <c r="B14" s="16" t="s">
        <v>242</v>
      </c>
      <c r="C14" s="203">
        <f>C12-C13</f>
        <v>-28829437.851043548</v>
      </c>
      <c r="D14" s="203">
        <f>D12-D13</f>
        <v>-31126393.012251694</v>
      </c>
      <c r="E14" s="14">
        <f>SUM(C14:D14)</f>
        <v>-59955830.863295242</v>
      </c>
      <c r="F14" s="517" t="s">
        <v>243</v>
      </c>
      <c r="G14" s="154">
        <f t="shared" si="2"/>
        <v>8</v>
      </c>
      <c r="H14" s="231"/>
      <c r="I14" s="616"/>
      <c r="J14" s="237"/>
      <c r="K14" s="232"/>
    </row>
    <row r="15" spans="1:11" ht="15.75">
      <c r="A15" s="153">
        <f t="shared" si="1"/>
        <v>9</v>
      </c>
      <c r="B15" s="16"/>
      <c r="C15" s="200"/>
      <c r="D15" s="42"/>
      <c r="E15" s="42"/>
      <c r="F15" s="73"/>
      <c r="G15" s="154">
        <f t="shared" si="2"/>
        <v>9</v>
      </c>
      <c r="H15" s="231"/>
      <c r="I15" s="231"/>
    </row>
    <row r="16" spans="1:11" ht="15.75">
      <c r="A16" s="153">
        <f t="shared" si="1"/>
        <v>10</v>
      </c>
      <c r="B16" s="16" t="s">
        <v>286</v>
      </c>
      <c r="C16" s="200"/>
      <c r="D16" s="42"/>
      <c r="E16" s="42"/>
      <c r="F16" s="73"/>
      <c r="G16" s="154">
        <f t="shared" si="2"/>
        <v>10</v>
      </c>
      <c r="H16" s="231"/>
      <c r="I16" s="231"/>
    </row>
    <row r="17" spans="1:9" ht="15.75">
      <c r="A17" s="153">
        <f t="shared" si="1"/>
        <v>11</v>
      </c>
      <c r="B17" s="16" t="s">
        <v>245</v>
      </c>
      <c r="C17" s="527">
        <v>24964424</v>
      </c>
      <c r="D17" s="88">
        <v>22329500</v>
      </c>
      <c r="E17" s="17">
        <f>SUM(C17:D17)</f>
        <v>47293924</v>
      </c>
      <c r="F17" s="74" t="s">
        <v>287</v>
      </c>
      <c r="G17" s="154">
        <f t="shared" si="2"/>
        <v>11</v>
      </c>
      <c r="H17" s="231"/>
      <c r="I17" s="231"/>
    </row>
    <row r="18" spans="1:9" ht="15.75">
      <c r="A18" s="153">
        <f t="shared" si="1"/>
        <v>12</v>
      </c>
      <c r="B18" s="16"/>
      <c r="C18" s="633"/>
      <c r="D18" s="17"/>
      <c r="E18" s="17"/>
      <c r="F18" s="74"/>
      <c r="G18" s="154">
        <f t="shared" si="2"/>
        <v>12</v>
      </c>
      <c r="H18" s="231"/>
      <c r="I18" s="231"/>
    </row>
    <row r="19" spans="1:9" ht="15.75">
      <c r="A19" s="153">
        <f t="shared" si="1"/>
        <v>13</v>
      </c>
      <c r="B19" s="16" t="s">
        <v>247</v>
      </c>
      <c r="C19" s="199">
        <v>-47720000</v>
      </c>
      <c r="D19" s="17">
        <v>-42553000</v>
      </c>
      <c r="E19" s="43">
        <f>SUM(C19:D19)</f>
        <v>-90273000</v>
      </c>
      <c r="F19" s="74" t="s">
        <v>288</v>
      </c>
      <c r="G19" s="154">
        <f t="shared" si="2"/>
        <v>13</v>
      </c>
      <c r="H19" s="231"/>
      <c r="I19" s="231"/>
    </row>
    <row r="20" spans="1:9" ht="15.75">
      <c r="A20" s="153">
        <f t="shared" si="1"/>
        <v>14</v>
      </c>
      <c r="B20" s="16"/>
      <c r="C20" s="204"/>
      <c r="D20" s="21"/>
      <c r="E20" s="21"/>
      <c r="F20" s="74"/>
      <c r="G20" s="154">
        <f t="shared" si="2"/>
        <v>14</v>
      </c>
      <c r="H20" s="231"/>
      <c r="I20" s="231"/>
    </row>
    <row r="21" spans="1:9" ht="15.75">
      <c r="A21" s="153">
        <f t="shared" si="1"/>
        <v>15</v>
      </c>
      <c r="B21" s="11" t="s">
        <v>249</v>
      </c>
      <c r="C21" s="203">
        <f t="shared" ref="C21:E21" si="3">SUM(C17:C20)</f>
        <v>-22755576</v>
      </c>
      <c r="D21" s="45">
        <f t="shared" si="3"/>
        <v>-20223500</v>
      </c>
      <c r="E21" s="45">
        <f t="shared" si="3"/>
        <v>-42979076</v>
      </c>
      <c r="F21" s="72" t="s">
        <v>250</v>
      </c>
      <c r="G21" s="154">
        <f t="shared" si="2"/>
        <v>15</v>
      </c>
      <c r="H21" s="231"/>
      <c r="I21" s="231"/>
    </row>
    <row r="22" spans="1:9" ht="15.75">
      <c r="A22" s="153">
        <f t="shared" si="1"/>
        <v>16</v>
      </c>
      <c r="B22" s="11"/>
      <c r="C22" s="199"/>
      <c r="D22" s="17"/>
      <c r="E22" s="17"/>
      <c r="F22" s="72"/>
      <c r="G22" s="154">
        <f t="shared" si="2"/>
        <v>16</v>
      </c>
      <c r="H22" s="231"/>
      <c r="I22" s="231"/>
    </row>
    <row r="23" spans="1:9" ht="15.75">
      <c r="A23" s="153">
        <f t="shared" si="1"/>
        <v>17</v>
      </c>
      <c r="B23" s="11"/>
      <c r="C23" s="199"/>
      <c r="D23" s="17"/>
      <c r="E23" s="21"/>
      <c r="F23" s="72"/>
      <c r="G23" s="154">
        <f t="shared" si="2"/>
        <v>17</v>
      </c>
      <c r="H23" s="231"/>
      <c r="I23" s="231"/>
    </row>
    <row r="24" spans="1:9" ht="15.75">
      <c r="A24" s="153">
        <f t="shared" si="1"/>
        <v>18</v>
      </c>
      <c r="B24" s="11" t="s">
        <v>251</v>
      </c>
      <c r="C24" s="205">
        <f t="shared" ref="C24:E24" si="4">-C14+C21</f>
        <v>6073861.8510435484</v>
      </c>
      <c r="D24" s="14">
        <f t="shared" si="4"/>
        <v>10902893.012251694</v>
      </c>
      <c r="E24" s="14">
        <f t="shared" si="4"/>
        <v>16976754.863295242</v>
      </c>
      <c r="F24" s="72" t="s">
        <v>252</v>
      </c>
      <c r="G24" s="154">
        <f t="shared" si="2"/>
        <v>18</v>
      </c>
      <c r="H24" s="231"/>
      <c r="I24" s="231"/>
    </row>
    <row r="25" spans="1:9" ht="15.75">
      <c r="A25" s="153">
        <f t="shared" si="1"/>
        <v>19</v>
      </c>
      <c r="B25" s="16"/>
      <c r="C25" s="206"/>
      <c r="D25" s="43"/>
      <c r="E25" s="43"/>
      <c r="F25" s="75"/>
      <c r="G25" s="154">
        <f t="shared" si="2"/>
        <v>19</v>
      </c>
      <c r="H25" s="231"/>
      <c r="I25" s="231"/>
    </row>
    <row r="26" spans="1:9" ht="15.75">
      <c r="A26" s="153">
        <f t="shared" si="1"/>
        <v>20</v>
      </c>
      <c r="B26" s="16" t="s">
        <v>253</v>
      </c>
      <c r="C26" s="206"/>
      <c r="D26" s="43"/>
      <c r="E26" s="43"/>
      <c r="F26" s="75"/>
      <c r="G26" s="154">
        <f t="shared" si="2"/>
        <v>20</v>
      </c>
      <c r="H26" s="231"/>
      <c r="I26" s="231"/>
    </row>
    <row r="27" spans="1:9" ht="15.75">
      <c r="A27" s="153">
        <f t="shared" si="1"/>
        <v>21</v>
      </c>
      <c r="B27" s="16" t="s">
        <v>254</v>
      </c>
      <c r="C27" s="199">
        <f>C7</f>
        <v>84629993.39579758</v>
      </c>
      <c r="D27" s="17">
        <f>D7</f>
        <v>91247390.177633315</v>
      </c>
      <c r="E27" s="43"/>
      <c r="F27" s="75" t="s">
        <v>289</v>
      </c>
      <c r="G27" s="154">
        <f t="shared" si="2"/>
        <v>21</v>
      </c>
      <c r="H27" s="231"/>
      <c r="I27" s="231"/>
    </row>
    <row r="28" spans="1:9" ht="15.75">
      <c r="A28" s="153">
        <f t="shared" si="1"/>
        <v>22</v>
      </c>
      <c r="B28" s="16" t="s">
        <v>256</v>
      </c>
      <c r="C28" s="207">
        <f>C24/2</f>
        <v>3036930.9255217742</v>
      </c>
      <c r="D28" s="46">
        <f>D24/2</f>
        <v>5451446.5061258469</v>
      </c>
      <c r="E28" s="46"/>
      <c r="F28" s="75" t="s">
        <v>257</v>
      </c>
      <c r="G28" s="154">
        <f t="shared" si="2"/>
        <v>22</v>
      </c>
      <c r="H28" s="231"/>
      <c r="I28" s="231"/>
    </row>
    <row r="29" spans="1:9" ht="15.75">
      <c r="A29" s="153">
        <f t="shared" si="1"/>
        <v>23</v>
      </c>
      <c r="B29" s="16" t="s">
        <v>258</v>
      </c>
      <c r="C29" s="206">
        <f>C27+C28</f>
        <v>87666924.321319357</v>
      </c>
      <c r="D29" s="43">
        <f t="shared" ref="D29" si="5">D27+D28</f>
        <v>96698836.683759168</v>
      </c>
      <c r="E29" s="43"/>
      <c r="F29" s="75" t="s">
        <v>259</v>
      </c>
      <c r="G29" s="154">
        <f t="shared" si="2"/>
        <v>23</v>
      </c>
      <c r="H29" s="231"/>
      <c r="I29" s="231"/>
    </row>
    <row r="30" spans="1:9" ht="15.75">
      <c r="A30" s="153">
        <f t="shared" si="1"/>
        <v>24</v>
      </c>
      <c r="B30" s="16" t="s">
        <v>260</v>
      </c>
      <c r="C30" s="607">
        <f>C56</f>
        <v>6.1999999999999998E-3</v>
      </c>
      <c r="D30" s="605">
        <f>D56</f>
        <v>6.4000000000000003E-3</v>
      </c>
      <c r="E30" s="46"/>
      <c r="F30" s="75" t="s">
        <v>261</v>
      </c>
      <c r="G30" s="154">
        <f t="shared" si="2"/>
        <v>24</v>
      </c>
      <c r="H30" s="231"/>
      <c r="I30" s="231"/>
    </row>
    <row r="31" spans="1:9" ht="15.75">
      <c r="A31" s="153">
        <f t="shared" si="1"/>
        <v>25</v>
      </c>
      <c r="B31" s="16" t="s">
        <v>262</v>
      </c>
      <c r="C31" s="45">
        <f>C29*C30</f>
        <v>543534.93079218001</v>
      </c>
      <c r="D31" s="45">
        <f>D29*D30</f>
        <v>618872.55477605865</v>
      </c>
      <c r="E31" s="45">
        <f>SUM(C31:D31)</f>
        <v>1162407.4855682387</v>
      </c>
      <c r="F31" s="75" t="s">
        <v>263</v>
      </c>
      <c r="G31" s="154">
        <f t="shared" si="2"/>
        <v>25</v>
      </c>
      <c r="H31" s="231"/>
      <c r="I31" s="231"/>
    </row>
    <row r="32" spans="1:9" ht="15.75">
      <c r="A32" s="153">
        <f t="shared" si="1"/>
        <v>26</v>
      </c>
      <c r="B32" s="16"/>
      <c r="C32" s="199"/>
      <c r="D32" s="17"/>
      <c r="E32" s="17"/>
      <c r="F32" s="75"/>
      <c r="G32" s="154">
        <f t="shared" si="2"/>
        <v>26</v>
      </c>
      <c r="H32" s="231"/>
      <c r="I32" s="231"/>
    </row>
    <row r="33" spans="1:9" ht="15.75">
      <c r="A33" s="153">
        <f t="shared" si="1"/>
        <v>27</v>
      </c>
      <c r="B33" s="16" t="s">
        <v>265</v>
      </c>
      <c r="C33" s="202"/>
      <c r="D33" s="22"/>
      <c r="E33" s="22">
        <f>SUM(C33:D33)</f>
        <v>0</v>
      </c>
      <c r="F33" s="340" t="s">
        <v>265</v>
      </c>
      <c r="G33" s="154">
        <f t="shared" si="2"/>
        <v>27</v>
      </c>
      <c r="H33" s="231"/>
      <c r="I33" s="231"/>
    </row>
    <row r="34" spans="1:9" ht="15.75">
      <c r="A34" s="153">
        <f t="shared" si="1"/>
        <v>28</v>
      </c>
      <c r="B34" s="16"/>
      <c r="C34" s="204"/>
      <c r="D34" s="21"/>
      <c r="E34" s="43"/>
      <c r="F34" s="231"/>
      <c r="G34" s="154">
        <f t="shared" si="2"/>
        <v>28</v>
      </c>
      <c r="H34" s="231"/>
      <c r="I34" s="231"/>
    </row>
    <row r="35" spans="1:9" ht="37.5" customHeight="1" thickBot="1">
      <c r="A35" s="153">
        <f t="shared" si="1"/>
        <v>29</v>
      </c>
      <c r="B35" s="349" t="s">
        <v>290</v>
      </c>
      <c r="C35" s="428">
        <f>C7+C24+C31+C33</f>
        <v>91247390.177633315</v>
      </c>
      <c r="D35" s="645">
        <f>D7+D24+D31+D33</f>
        <v>102769155.74466106</v>
      </c>
      <c r="E35" s="645">
        <f>E7+E24+E31+E33</f>
        <v>102769155.74466106</v>
      </c>
      <c r="F35" s="72" t="s">
        <v>267</v>
      </c>
      <c r="G35" s="154">
        <f t="shared" si="2"/>
        <v>29</v>
      </c>
      <c r="H35" s="231"/>
      <c r="I35" s="231"/>
    </row>
    <row r="36" spans="1:9" ht="16.5" thickTop="1">
      <c r="A36" s="153">
        <f>A35+1</f>
        <v>30</v>
      </c>
      <c r="B36" s="16"/>
      <c r="C36" s="204"/>
      <c r="D36" s="21"/>
      <c r="E36" s="199"/>
      <c r="F36" s="78"/>
      <c r="G36" s="154">
        <f>G35+1</f>
        <v>30</v>
      </c>
      <c r="H36" s="231"/>
      <c r="I36" s="231"/>
    </row>
    <row r="37" spans="1:9" ht="16.5" thickBot="1">
      <c r="A37" s="153">
        <f>A36+1</f>
        <v>31</v>
      </c>
      <c r="B37" s="36" t="s">
        <v>291</v>
      </c>
      <c r="C37" s="304">
        <f>C24+C31</f>
        <v>6617396.7818357283</v>
      </c>
      <c r="D37" s="149">
        <f>D24+D31</f>
        <v>11521765.567027753</v>
      </c>
      <c r="E37" s="305">
        <f>SUM(C37:D37)</f>
        <v>18139162.348863482</v>
      </c>
      <c r="F37" s="78" t="s">
        <v>292</v>
      </c>
      <c r="G37" s="154">
        <f>G36+1</f>
        <v>31</v>
      </c>
      <c r="H37" s="231"/>
      <c r="I37" s="231"/>
    </row>
    <row r="38" spans="1:9" ht="17.25" thickTop="1" thickBot="1">
      <c r="A38" s="153">
        <f>A37+1</f>
        <v>32</v>
      </c>
      <c r="B38" s="16"/>
      <c r="C38" s="199"/>
      <c r="D38" s="17"/>
      <c r="E38" s="617"/>
      <c r="F38" s="76"/>
      <c r="G38" s="154">
        <f>G37+1</f>
        <v>32</v>
      </c>
      <c r="H38" s="231"/>
      <c r="I38" s="231"/>
    </row>
    <row r="39" spans="1:9" ht="17.25">
      <c r="A39" s="157">
        <f>A38+1</f>
        <v>33</v>
      </c>
      <c r="B39" s="350"/>
      <c r="C39" s="208"/>
      <c r="D39" s="70"/>
      <c r="E39" s="70"/>
      <c r="F39" s="77"/>
      <c r="G39" s="158">
        <f>G38+1</f>
        <v>33</v>
      </c>
      <c r="H39" s="231"/>
      <c r="I39" s="231"/>
    </row>
    <row r="40" spans="1:9" ht="15.75">
      <c r="A40" s="153">
        <f>A39+1</f>
        <v>34</v>
      </c>
      <c r="B40" s="351" t="s">
        <v>268</v>
      </c>
      <c r="C40" s="210"/>
      <c r="D40" s="16"/>
      <c r="E40" s="16"/>
      <c r="F40" s="76"/>
      <c r="G40" s="154">
        <f>G39+1</f>
        <v>34</v>
      </c>
      <c r="H40" s="231"/>
      <c r="I40" s="231"/>
    </row>
    <row r="41" spans="1:9" ht="15.75">
      <c r="A41" s="153">
        <f t="shared" ref="A41:A43" si="6">A40+1</f>
        <v>35</v>
      </c>
      <c r="B41" s="16" t="s">
        <v>269</v>
      </c>
      <c r="C41" s="209">
        <v>1.0207000000000001E-2</v>
      </c>
      <c r="D41" s="68">
        <f>C41</f>
        <v>1.0207000000000001E-2</v>
      </c>
      <c r="E41" s="16"/>
      <c r="F41" s="76"/>
      <c r="G41" s="154">
        <f t="shared" ref="G41:G43" si="7">G40+1</f>
        <v>35</v>
      </c>
      <c r="H41" s="231"/>
      <c r="I41" s="231"/>
    </row>
    <row r="42" spans="1:9" ht="15.75">
      <c r="A42" s="108">
        <f t="shared" si="6"/>
        <v>36</v>
      </c>
      <c r="B42" s="16" t="s">
        <v>270</v>
      </c>
      <c r="C42" s="222">
        <v>2.4099999999999998E-3</v>
      </c>
      <c r="D42" s="68">
        <f>C42</f>
        <v>2.4099999999999998E-3</v>
      </c>
      <c r="E42" s="20"/>
      <c r="F42" s="539"/>
      <c r="G42" s="534">
        <f t="shared" si="7"/>
        <v>36</v>
      </c>
      <c r="H42" s="231"/>
      <c r="I42" s="231"/>
    </row>
    <row r="43" spans="1:9" ht="16.5" thickBot="1">
      <c r="A43" s="159">
        <f t="shared" si="6"/>
        <v>37</v>
      </c>
      <c r="B43" s="229" t="s">
        <v>271</v>
      </c>
      <c r="C43" s="537">
        <f t="shared" ref="C43:D43" si="8">C41+C42</f>
        <v>1.2617E-2</v>
      </c>
      <c r="D43" s="538">
        <f t="shared" si="8"/>
        <v>1.2617E-2</v>
      </c>
      <c r="E43" s="229"/>
      <c r="F43" s="524" t="s">
        <v>272</v>
      </c>
      <c r="G43" s="160">
        <f t="shared" si="7"/>
        <v>37</v>
      </c>
      <c r="H43" s="231"/>
      <c r="I43" s="231"/>
    </row>
    <row r="44" spans="1:9" ht="20.25">
      <c r="A44" s="48"/>
      <c r="B44" s="49"/>
      <c r="C44" s="50"/>
      <c r="D44" s="20"/>
      <c r="E44" s="26"/>
      <c r="F44" s="20"/>
      <c r="G44" s="20"/>
      <c r="H44" s="231"/>
      <c r="I44" s="231"/>
    </row>
    <row r="45" spans="1:9" ht="63">
      <c r="A45" s="642">
        <v>1</v>
      </c>
      <c r="B45" s="643" t="s">
        <v>273</v>
      </c>
      <c r="C45" s="50"/>
      <c r="D45" s="20"/>
      <c r="E45" s="26"/>
      <c r="F45" s="20"/>
      <c r="G45" s="20"/>
      <c r="H45" s="231"/>
      <c r="I45" s="231"/>
    </row>
    <row r="46" spans="1:9" ht="20.25">
      <c r="A46" s="48"/>
      <c r="B46" s="343"/>
      <c r="C46" s="50"/>
      <c r="D46" s="20"/>
      <c r="E46" s="26"/>
      <c r="F46" s="20"/>
      <c r="G46" s="20"/>
      <c r="H46" s="231"/>
      <c r="I46" s="231"/>
    </row>
    <row r="47" spans="1:9" ht="15.75">
      <c r="A47" s="20"/>
      <c r="B47" s="85"/>
      <c r="C47" s="50"/>
      <c r="D47" s="20"/>
      <c r="E47" s="52"/>
      <c r="F47" s="20"/>
      <c r="G47" s="20"/>
      <c r="H47" s="231"/>
      <c r="I47" s="231"/>
    </row>
    <row r="48" spans="1:9" ht="15.75">
      <c r="A48" s="7"/>
      <c r="B48" s="7"/>
      <c r="C48" s="62"/>
      <c r="D48" s="7"/>
      <c r="E48" s="7"/>
      <c r="F48" s="62"/>
      <c r="G48" s="7"/>
      <c r="H48" s="231"/>
      <c r="I48" s="231"/>
    </row>
    <row r="49" spans="1:9" ht="15.75">
      <c r="A49" s="10"/>
      <c r="B49" s="36"/>
      <c r="C49" s="63" t="s">
        <v>223</v>
      </c>
      <c r="D49" s="10" t="s">
        <v>224</v>
      </c>
      <c r="E49" s="10"/>
      <c r="F49" s="63"/>
      <c r="G49" s="10" t="s">
        <v>8</v>
      </c>
      <c r="H49" s="231"/>
      <c r="I49" s="231"/>
    </row>
    <row r="50" spans="1:9" ht="19.5">
      <c r="A50" s="79"/>
      <c r="B50" s="84" t="s">
        <v>278</v>
      </c>
      <c r="C50" s="64">
        <f>C5</f>
        <v>2025</v>
      </c>
      <c r="D50" s="13">
        <f>C50</f>
        <v>2025</v>
      </c>
      <c r="E50" s="13" t="s">
        <v>18</v>
      </c>
      <c r="F50" s="64" t="s">
        <v>16</v>
      </c>
      <c r="G50" s="13" t="s">
        <v>11</v>
      </c>
      <c r="H50" s="231"/>
      <c r="I50" s="231"/>
    </row>
    <row r="51" spans="1:9" ht="15.75">
      <c r="A51" s="16"/>
      <c r="B51" s="16"/>
      <c r="C51" s="85"/>
      <c r="D51" s="16"/>
      <c r="E51" s="16"/>
      <c r="F51" s="85"/>
      <c r="G51" s="16"/>
      <c r="H51" s="231"/>
      <c r="I51" s="231"/>
    </row>
    <row r="52" spans="1:9" ht="15.75">
      <c r="A52" s="16"/>
      <c r="B52" s="16" t="s">
        <v>279</v>
      </c>
      <c r="C52" s="196">
        <v>7.4999999999999997E-2</v>
      </c>
      <c r="D52" s="66">
        <f>C52</f>
        <v>7.4999999999999997E-2</v>
      </c>
      <c r="E52" s="16"/>
      <c r="F52" s="85"/>
      <c r="G52" s="16"/>
      <c r="H52" s="231"/>
      <c r="I52" s="231"/>
    </row>
    <row r="53" spans="1:9" ht="15.75">
      <c r="A53" s="16"/>
      <c r="B53" s="16" t="s">
        <v>280</v>
      </c>
      <c r="C53" s="85">
        <v>365</v>
      </c>
      <c r="D53" s="16">
        <f>C53</f>
        <v>365</v>
      </c>
      <c r="E53" s="16">
        <f>D53</f>
        <v>365</v>
      </c>
      <c r="F53" s="85"/>
      <c r="G53" s="16"/>
      <c r="H53" s="231"/>
      <c r="I53" s="231"/>
    </row>
    <row r="54" spans="1:9" ht="15.75">
      <c r="A54" s="16"/>
      <c r="B54" s="16" t="s">
        <v>281</v>
      </c>
      <c r="C54" s="85">
        <v>30</v>
      </c>
      <c r="D54" s="16">
        <v>31</v>
      </c>
      <c r="E54" s="16">
        <f>SUM(C54:D54)</f>
        <v>61</v>
      </c>
      <c r="F54" s="85"/>
      <c r="G54" s="16"/>
      <c r="H54" s="231"/>
      <c r="I54" s="231"/>
    </row>
    <row r="55" spans="1:9" ht="15.75">
      <c r="A55" s="16"/>
      <c r="B55" s="16" t="s">
        <v>282</v>
      </c>
      <c r="C55" s="196">
        <f>(C52/C53)*C54</f>
        <v>6.1643835616438354E-3</v>
      </c>
      <c r="D55" s="66">
        <f>(D52/D53)*D54</f>
        <v>6.3698630136986298E-3</v>
      </c>
      <c r="E55" s="421">
        <f>SUM(C55:D55)</f>
        <v>1.2534246575342465E-2</v>
      </c>
      <c r="F55" s="85"/>
      <c r="G55" s="16"/>
      <c r="H55" s="231"/>
      <c r="I55" s="231"/>
    </row>
    <row r="56" spans="1:9" ht="15.75">
      <c r="A56" s="239"/>
      <c r="B56" s="16" t="s">
        <v>283</v>
      </c>
      <c r="C56" s="607">
        <v>6.1999999999999998E-3</v>
      </c>
      <c r="D56" s="605">
        <v>6.4000000000000003E-3</v>
      </c>
      <c r="E56" s="422">
        <f>SUM(C56:D56)</f>
        <v>1.26E-2</v>
      </c>
      <c r="F56" s="609"/>
      <c r="G56" s="610"/>
      <c r="H56" s="231"/>
      <c r="I56" s="231"/>
    </row>
    <row r="57" spans="1:9" ht="16.5" thickBot="1">
      <c r="A57" s="239"/>
      <c r="B57" s="16" t="s">
        <v>74</v>
      </c>
      <c r="C57" s="419">
        <f t="shared" ref="C57:D57" si="9">C55-C56</f>
        <v>-3.5616438356164334E-5</v>
      </c>
      <c r="D57" s="418">
        <f t="shared" si="9"/>
        <v>-3.0136986301370489E-5</v>
      </c>
      <c r="E57" s="423">
        <f>SUM(C57:D57)</f>
        <v>-6.5753424657534823E-5</v>
      </c>
      <c r="F57" s="609"/>
      <c r="G57" s="610"/>
      <c r="H57" s="231"/>
      <c r="I57" s="231"/>
    </row>
    <row r="58" spans="1:9" ht="16.5" thickTop="1">
      <c r="A58" s="12"/>
      <c r="B58" s="12"/>
      <c r="C58" s="344"/>
      <c r="D58" s="12"/>
      <c r="E58" s="33"/>
      <c r="F58" s="86"/>
      <c r="G58" s="12"/>
      <c r="H58" s="231"/>
      <c r="I58" s="231"/>
    </row>
    <row r="59" spans="1:9" ht="15.75">
      <c r="A59" s="20"/>
      <c r="B59" s="20"/>
      <c r="C59" s="50"/>
      <c r="D59" s="20"/>
      <c r="E59" s="20"/>
      <c r="F59" s="20"/>
      <c r="G59" s="20"/>
      <c r="H59" s="231"/>
      <c r="I59" s="231"/>
    </row>
    <row r="60" spans="1:9" ht="15.75">
      <c r="A60" s="20"/>
      <c r="B60" s="20"/>
      <c r="C60" s="50"/>
      <c r="D60" s="20"/>
      <c r="E60" s="20"/>
      <c r="F60" s="20"/>
      <c r="G60" s="20"/>
      <c r="H60" s="231"/>
      <c r="I60" s="231"/>
    </row>
    <row r="61" spans="1:9" ht="15.75">
      <c r="A61" s="20"/>
      <c r="B61" s="20"/>
      <c r="C61" s="50"/>
      <c r="D61" s="20"/>
      <c r="E61" s="20"/>
      <c r="F61" s="20"/>
      <c r="G61" s="20"/>
      <c r="H61" s="231"/>
      <c r="I61" s="231"/>
    </row>
    <row r="62" spans="1:9" ht="15.75">
      <c r="A62" s="20"/>
      <c r="B62" s="20"/>
      <c r="C62" s="50"/>
      <c r="D62" s="20"/>
      <c r="E62" s="20"/>
      <c r="F62" s="20"/>
      <c r="G62" s="20"/>
      <c r="H62" s="231"/>
      <c r="I62" s="231"/>
    </row>
    <row r="63" spans="1:9" ht="15.75">
      <c r="A63" s="20"/>
      <c r="B63" s="20"/>
      <c r="C63" s="50"/>
      <c r="D63" s="20"/>
      <c r="E63" s="20"/>
      <c r="F63" s="20"/>
      <c r="G63" s="20"/>
      <c r="H63" s="231"/>
      <c r="I63" s="231"/>
    </row>
    <row r="64" spans="1:9" ht="15.75">
      <c r="A64" s="20"/>
      <c r="B64" s="20"/>
      <c r="C64" s="50"/>
      <c r="D64" s="20"/>
      <c r="E64" s="20"/>
      <c r="F64" s="20"/>
      <c r="G64" s="20"/>
      <c r="H64" s="231"/>
      <c r="I64" s="231"/>
    </row>
    <row r="65" spans="1:9" ht="15.75">
      <c r="A65" s="20"/>
      <c r="B65" s="20"/>
      <c r="C65" s="50"/>
      <c r="D65" s="20"/>
      <c r="E65" s="20"/>
      <c r="F65" s="20"/>
      <c r="G65" s="20"/>
      <c r="H65" s="231"/>
      <c r="I65" s="231"/>
    </row>
    <row r="66" spans="1:9" ht="15.75">
      <c r="A66" s="20"/>
      <c r="B66" s="20"/>
      <c r="C66" s="50"/>
      <c r="D66" s="20"/>
      <c r="E66" s="20"/>
      <c r="F66" s="20"/>
      <c r="G66" s="20"/>
      <c r="H66" s="231"/>
      <c r="I66" s="231"/>
    </row>
    <row r="67" spans="1:9" ht="15.75">
      <c r="A67" s="20"/>
      <c r="B67" s="20"/>
      <c r="C67" s="50"/>
      <c r="D67" s="20"/>
      <c r="E67" s="20"/>
      <c r="F67" s="20"/>
      <c r="G67" s="20"/>
      <c r="H67" s="231"/>
      <c r="I67" s="231"/>
    </row>
    <row r="68" spans="1:9" ht="15.75">
      <c r="B68" s="20"/>
      <c r="C68" s="618"/>
      <c r="D68" s="231"/>
      <c r="E68" s="231"/>
      <c r="F68" s="231"/>
      <c r="G68" s="231"/>
      <c r="H68" s="231"/>
      <c r="I68" s="231"/>
    </row>
    <row r="69" spans="1:9" ht="15.75">
      <c r="B69" s="20"/>
      <c r="C69" s="618"/>
      <c r="D69" s="231"/>
      <c r="E69" s="231"/>
      <c r="F69" s="231"/>
      <c r="G69" s="231"/>
      <c r="H69" s="231"/>
      <c r="I69" s="231"/>
    </row>
    <row r="70" spans="1:9" ht="15.75">
      <c r="B70" s="20"/>
      <c r="C70" s="618"/>
      <c r="D70" s="231"/>
      <c r="E70" s="231"/>
      <c r="F70" s="231"/>
      <c r="G70" s="231"/>
      <c r="H70" s="231"/>
      <c r="I70" s="231"/>
    </row>
    <row r="71" spans="1:9" ht="15.75">
      <c r="B71" s="20"/>
      <c r="C71" s="231"/>
      <c r="D71" s="231"/>
      <c r="E71" s="231"/>
      <c r="F71" s="231"/>
      <c r="G71" s="231"/>
      <c r="H71" s="231"/>
      <c r="I71" s="231"/>
    </row>
    <row r="72" spans="1:9" ht="15.75">
      <c r="B72" s="20"/>
    </row>
  </sheetData>
  <printOptions horizontalCentered="1"/>
  <pageMargins left="0.25" right="0.25" top="1" bottom="0.5" header="0.5" footer="0.25"/>
  <pageSetup scale="65" orientation="portrait" r:id="rId1"/>
  <headerFooter alignWithMargins="0">
    <oddHeader>&amp;C&amp;"Times New Roman,Bold"&amp;14San Diego Gas &amp;&amp; Electric Company
2026&amp;K000000 TACBAA Rate Filing
Projected Change for the Remaining Months of the Year (November &amp;&amp; December 2025)</oddHeader>
    <oddFooter>&amp;L&amp;"Times New Roman,Regular"&amp;14&amp;F&amp;C&amp;"Times New Roman,Regular"&amp;14Page 3.1&amp;R&amp;"Times New Roman,Regular"&amp;14&amp;A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9"/>
  <sheetViews>
    <sheetView zoomScaleNormal="100" workbookViewId="0">
      <selection activeCell="T26" sqref="T26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35.5703125" style="95" hidden="1" customWidth="1"/>
    <col min="17" max="17" width="5.5703125" style="95" customWidth="1"/>
    <col min="18" max="18" width="7.7109375" style="95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8" t="s">
        <v>198</v>
      </c>
      <c r="C2" s="729"/>
      <c r="D2" s="729"/>
      <c r="E2" s="729"/>
      <c r="F2" s="729"/>
      <c r="G2" s="729"/>
      <c r="H2" s="729"/>
      <c r="I2" s="729"/>
      <c r="J2" s="729"/>
      <c r="K2" s="729"/>
      <c r="L2" s="729"/>
      <c r="M2" s="729"/>
      <c r="N2" s="729"/>
      <c r="O2" s="730"/>
      <c r="Q2" s="514" t="s">
        <v>8</v>
      </c>
    </row>
    <row r="3" spans="1:17" s="515" customFormat="1" ht="26.25" thickBot="1">
      <c r="A3" s="96" t="s">
        <v>11</v>
      </c>
      <c r="B3" s="731" t="s">
        <v>349</v>
      </c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3"/>
      <c r="P3" s="96" t="s">
        <v>16</v>
      </c>
      <c r="Q3" s="96" t="s">
        <v>11</v>
      </c>
    </row>
    <row r="4" spans="1:17">
      <c r="A4" s="53">
        <v>1</v>
      </c>
      <c r="B4" s="97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2">
        <v>45658</v>
      </c>
      <c r="D5" s="103">
        <v>45689</v>
      </c>
      <c r="E5" s="103">
        <v>45717</v>
      </c>
      <c r="F5" s="103">
        <v>45748</v>
      </c>
      <c r="G5" s="103">
        <v>45778</v>
      </c>
      <c r="H5" s="103">
        <v>45809</v>
      </c>
      <c r="I5" s="103">
        <v>45839</v>
      </c>
      <c r="J5" s="103">
        <v>45870</v>
      </c>
      <c r="K5" s="103">
        <v>45901</v>
      </c>
      <c r="L5" s="103">
        <v>45931</v>
      </c>
      <c r="M5" s="103">
        <v>45962</v>
      </c>
      <c r="N5" s="103">
        <v>45992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4">
        <v>633614.84826131561</v>
      </c>
      <c r="D6" s="125">
        <v>515438.23471526901</v>
      </c>
      <c r="E6" s="125">
        <v>457649.11693538714</v>
      </c>
      <c r="F6" s="125">
        <v>365973.42020850413</v>
      </c>
      <c r="G6" s="125">
        <v>342313.08875184611</v>
      </c>
      <c r="H6" s="125">
        <v>369395.48357729573</v>
      </c>
      <c r="I6" s="125">
        <v>457969.47731707973</v>
      </c>
      <c r="J6" s="125">
        <v>631672.00870622776</v>
      </c>
      <c r="K6" s="125">
        <v>730948.07568545244</v>
      </c>
      <c r="L6" s="125">
        <v>531521.92281533149</v>
      </c>
      <c r="M6" s="125">
        <v>450339.9277139242</v>
      </c>
      <c r="N6" s="125">
        <v>572324.67175000429</v>
      </c>
      <c r="O6" s="126">
        <f>SUM(C6:N6)</f>
        <v>6059160.2764376374</v>
      </c>
      <c r="P6" s="53" t="s">
        <v>219</v>
      </c>
      <c r="Q6" s="53">
        <f>Q5+1</f>
        <v>3</v>
      </c>
    </row>
    <row r="7" spans="1:17">
      <c r="A7" s="53">
        <f t="shared" ref="A7:A23" si="0">A6+1</f>
        <v>4</v>
      </c>
      <c r="B7" s="58" t="s">
        <v>202</v>
      </c>
      <c r="C7" s="124">
        <v>194287.3039717504</v>
      </c>
      <c r="D7" s="125">
        <v>188366.21066135011</v>
      </c>
      <c r="E7" s="125">
        <v>187592.51940328325</v>
      </c>
      <c r="F7" s="125">
        <v>186126.52748780861</v>
      </c>
      <c r="G7" s="125">
        <v>185654.63461696633</v>
      </c>
      <c r="H7" s="125">
        <v>194357.83295760828</v>
      </c>
      <c r="I7" s="125">
        <v>217705.90533345446</v>
      </c>
      <c r="J7" s="125">
        <v>229919.024856437</v>
      </c>
      <c r="K7" s="125">
        <v>241455.99341200775</v>
      </c>
      <c r="L7" s="125">
        <v>214159.40997047324</v>
      </c>
      <c r="M7" s="125">
        <v>197828.25687204243</v>
      </c>
      <c r="N7" s="125">
        <v>190835.62155890607</v>
      </c>
      <c r="O7" s="126">
        <f>SUM(C7:N7)</f>
        <v>2428289.2411020878</v>
      </c>
      <c r="P7" s="53" t="str">
        <f>P6</f>
        <v>Total Deliveries MWH - Work Paper</v>
      </c>
      <c r="Q7" s="53">
        <f t="shared" ref="Q7:Q23" si="1">Q6+1</f>
        <v>4</v>
      </c>
    </row>
    <row r="8" spans="1:17">
      <c r="A8" s="53">
        <f t="shared" si="0"/>
        <v>5</v>
      </c>
      <c r="B8" s="58" t="s">
        <v>203</v>
      </c>
      <c r="C8" s="128">
        <v>751192.25445003656</v>
      </c>
      <c r="D8" s="129">
        <v>713531.3336932211</v>
      </c>
      <c r="E8" s="129">
        <v>714756.6311082578</v>
      </c>
      <c r="F8" s="129">
        <v>718508.29883782356</v>
      </c>
      <c r="G8" s="129">
        <v>724916.88454627106</v>
      </c>
      <c r="H8" s="129">
        <v>760340.00174391037</v>
      </c>
      <c r="I8" s="129">
        <v>838846.18136289914</v>
      </c>
      <c r="J8" s="129">
        <v>875481.60736812791</v>
      </c>
      <c r="K8" s="129">
        <v>915168.82198981917</v>
      </c>
      <c r="L8" s="129">
        <v>830726.29465735017</v>
      </c>
      <c r="M8" s="129">
        <v>757391.54870867194</v>
      </c>
      <c r="N8" s="129">
        <v>759868.65098507213</v>
      </c>
      <c r="O8" s="126">
        <f>SUM(C8:N8)</f>
        <v>9360728.509451462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127" t="s">
        <v>101</v>
      </c>
      <c r="C9" s="128">
        <v>595.72</v>
      </c>
      <c r="D9" s="129">
        <v>724.43</v>
      </c>
      <c r="E9" s="129">
        <v>727.4</v>
      </c>
      <c r="F9" s="129">
        <v>931.38</v>
      </c>
      <c r="G9" s="129">
        <v>258.38</v>
      </c>
      <c r="H9" s="129">
        <v>110.63</v>
      </c>
      <c r="I9" s="129">
        <v>125.9</v>
      </c>
      <c r="J9" s="129">
        <v>0.05</v>
      </c>
      <c r="K9" s="129">
        <v>40.380000000000003</v>
      </c>
      <c r="L9" s="129">
        <v>1332.72</v>
      </c>
      <c r="M9" s="129">
        <v>1353.38</v>
      </c>
      <c r="N9" s="129">
        <v>517.86</v>
      </c>
      <c r="O9" s="126">
        <f>SUM(C9:N9)</f>
        <v>6718.2300000000005</v>
      </c>
      <c r="P9" s="53"/>
      <c r="Q9" s="53">
        <f t="shared" si="1"/>
        <v>6</v>
      </c>
    </row>
    <row r="10" spans="1:17">
      <c r="A10" s="53">
        <f t="shared" si="0"/>
        <v>7</v>
      </c>
      <c r="B10" s="127" t="s">
        <v>214</v>
      </c>
      <c r="C10" s="128">
        <v>5887.7048144613691</v>
      </c>
      <c r="D10" s="129">
        <v>6921.2043635153996</v>
      </c>
      <c r="E10" s="129">
        <v>6343.6370075090954</v>
      </c>
      <c r="F10" s="129">
        <v>7110.2622255102606</v>
      </c>
      <c r="G10" s="129">
        <v>10185.414184797397</v>
      </c>
      <c r="H10" s="129">
        <v>11247.957966117741</v>
      </c>
      <c r="I10" s="129">
        <v>12755.825760813892</v>
      </c>
      <c r="J10" s="129">
        <v>13888.226199353687</v>
      </c>
      <c r="K10" s="129">
        <v>13262.986915300764</v>
      </c>
      <c r="L10" s="129">
        <v>12407.756148358616</v>
      </c>
      <c r="M10" s="129">
        <v>10202.67844471914</v>
      </c>
      <c r="N10" s="129">
        <v>9020.1150758860022</v>
      </c>
      <c r="O10" s="126">
        <f t="shared" ref="O10:O11" si="2">SUM(C10:N10)</f>
        <v>119233.76910634336</v>
      </c>
      <c r="P10" s="53"/>
      <c r="Q10" s="53">
        <f t="shared" si="1"/>
        <v>7</v>
      </c>
    </row>
    <row r="11" spans="1:17">
      <c r="A11" s="53">
        <f t="shared" si="0"/>
        <v>8</v>
      </c>
      <c r="B11" s="127" t="s">
        <v>107</v>
      </c>
      <c r="C11" s="128">
        <v>16898.596174145365</v>
      </c>
      <c r="D11" s="129">
        <v>18281.425836751401</v>
      </c>
      <c r="E11" s="129">
        <v>16418.928256802759</v>
      </c>
      <c r="F11" s="129">
        <v>17288.752517243203</v>
      </c>
      <c r="G11" s="129">
        <v>20061.665198170915</v>
      </c>
      <c r="H11" s="129">
        <v>20603.202325132836</v>
      </c>
      <c r="I11" s="129">
        <v>23004.135715861754</v>
      </c>
      <c r="J11" s="129">
        <v>22863.150521633885</v>
      </c>
      <c r="K11" s="129">
        <v>21957.609857486786</v>
      </c>
      <c r="L11" s="129">
        <v>21563.167661901116</v>
      </c>
      <c r="M11" s="129">
        <v>18985.959067639022</v>
      </c>
      <c r="N11" s="129">
        <v>18145.45705354834</v>
      </c>
      <c r="O11" s="126">
        <f t="shared" si="2"/>
        <v>236072.05018631738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8">
        <v>6804.6811748855589</v>
      </c>
      <c r="D12" s="129">
        <v>6756.0073419802684</v>
      </c>
      <c r="E12" s="129">
        <v>6619.3878228434014</v>
      </c>
      <c r="F12" s="129">
        <v>6515.4914020588558</v>
      </c>
      <c r="G12" s="129">
        <v>6463.0291984564483</v>
      </c>
      <c r="H12" s="129">
        <v>6515.9257018801036</v>
      </c>
      <c r="I12" s="129">
        <v>6492.050284871927</v>
      </c>
      <c r="J12" s="129">
        <v>6710.6086798682181</v>
      </c>
      <c r="K12" s="129">
        <v>6515.1940268120952</v>
      </c>
      <c r="L12" s="129">
        <v>6563.3223021757885</v>
      </c>
      <c r="M12" s="129">
        <v>6961.9599399219014</v>
      </c>
      <c r="N12" s="129">
        <v>7325.9188255832669</v>
      </c>
      <c r="O12" s="126">
        <f>SUM(C12:N12)</f>
        <v>80243.576701337835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7.5635555555555554</v>
      </c>
      <c r="D13" s="148">
        <v>7.5635555555555554</v>
      </c>
      <c r="E13" s="148">
        <v>7.5635555555555554</v>
      </c>
      <c r="F13" s="148">
        <v>7.5635555555555554</v>
      </c>
      <c r="G13" s="148">
        <v>7.5635555555555554</v>
      </c>
      <c r="H13" s="148">
        <v>7.5635555555555554</v>
      </c>
      <c r="I13" s="148">
        <v>7.5635555555555554</v>
      </c>
      <c r="J13" s="148">
        <v>7.5635555555555554</v>
      </c>
      <c r="K13" s="148">
        <v>7.5635555555555554</v>
      </c>
      <c r="L13" s="148">
        <v>7.5635555555555554</v>
      </c>
      <c r="M13" s="148">
        <v>7.5635555555555554</v>
      </c>
      <c r="N13" s="148">
        <v>7.5635555555555554</v>
      </c>
      <c r="O13" s="130">
        <f>SUM(C13:N13)</f>
        <v>90.762666666666647</v>
      </c>
      <c r="P13" s="53" t="str">
        <f>P12</f>
        <v>Total Deliveries MWH - Work Paper</v>
      </c>
      <c r="Q13" s="53">
        <f t="shared" si="1"/>
        <v>10</v>
      </c>
    </row>
    <row r="14" spans="1:17" ht="18.75" thickBot="1">
      <c r="A14" s="53">
        <f t="shared" si="0"/>
        <v>11</v>
      </c>
      <c r="B14" s="106" t="s">
        <v>206</v>
      </c>
      <c r="C14" s="131">
        <f>SUM(C6:C13)</f>
        <v>1609288.6724021505</v>
      </c>
      <c r="D14" s="135">
        <f t="shared" ref="D14:N14" si="3">SUM(D6:D13)</f>
        <v>1450026.4101676429</v>
      </c>
      <c r="E14" s="135">
        <f t="shared" si="3"/>
        <v>1390115.184089639</v>
      </c>
      <c r="F14" s="135">
        <f t="shared" si="3"/>
        <v>1302461.6962345042</v>
      </c>
      <c r="G14" s="135">
        <f t="shared" si="3"/>
        <v>1289860.6600520636</v>
      </c>
      <c r="H14" s="135">
        <f t="shared" si="3"/>
        <v>1362578.5978275007</v>
      </c>
      <c r="I14" s="135">
        <f t="shared" si="3"/>
        <v>1556907.0393305363</v>
      </c>
      <c r="J14" s="135">
        <f t="shared" si="3"/>
        <v>1780542.2398872043</v>
      </c>
      <c r="K14" s="135">
        <f t="shared" si="3"/>
        <v>1929356.6254424346</v>
      </c>
      <c r="L14" s="135">
        <f t="shared" si="3"/>
        <v>1618282.1571111458</v>
      </c>
      <c r="M14" s="135">
        <f t="shared" si="3"/>
        <v>1443071.2743024742</v>
      </c>
      <c r="N14" s="135">
        <f t="shared" si="3"/>
        <v>1558045.8588045558</v>
      </c>
      <c r="O14" s="133">
        <f>SUM(O6:O13)</f>
        <v>18290536.415651854</v>
      </c>
      <c r="P14" s="53" t="s">
        <v>220</v>
      </c>
      <c r="Q14" s="53">
        <f t="shared" si="1"/>
        <v>11</v>
      </c>
    </row>
    <row r="15" spans="1:17" ht="18.75" thickTop="1">
      <c r="A15" s="53">
        <f t="shared" si="0"/>
        <v>12</v>
      </c>
      <c r="B15" s="107"/>
      <c r="C15" s="128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.75" thickBot="1">
      <c r="A16" s="53">
        <f t="shared" si="0"/>
        <v>13</v>
      </c>
      <c r="B16" s="106" t="s">
        <v>207</v>
      </c>
      <c r="C16" s="134">
        <f>SUM(C6:C12)</f>
        <v>1609281.1088465948</v>
      </c>
      <c r="D16" s="135">
        <f>SUM(D6:D12)</f>
        <v>1450018.8466120872</v>
      </c>
      <c r="E16" s="135">
        <f t="shared" ref="E16:O16" si="4">SUM(E6:E12)</f>
        <v>1390107.6205340833</v>
      </c>
      <c r="F16" s="135">
        <f t="shared" si="4"/>
        <v>1302454.1326789486</v>
      </c>
      <c r="G16" s="135">
        <f t="shared" si="4"/>
        <v>1289853.096496508</v>
      </c>
      <c r="H16" s="135">
        <f t="shared" si="4"/>
        <v>1362571.034271945</v>
      </c>
      <c r="I16" s="135">
        <f t="shared" si="4"/>
        <v>1556899.4757749806</v>
      </c>
      <c r="J16" s="135">
        <f t="shared" si="4"/>
        <v>1780534.6763316486</v>
      </c>
      <c r="K16" s="135">
        <f t="shared" si="4"/>
        <v>1929349.0618868789</v>
      </c>
      <c r="L16" s="135">
        <f t="shared" si="4"/>
        <v>1618274.5935555901</v>
      </c>
      <c r="M16" s="135">
        <f t="shared" si="4"/>
        <v>1443063.7107469186</v>
      </c>
      <c r="N16" s="135">
        <f t="shared" si="4"/>
        <v>1558038.2952490002</v>
      </c>
      <c r="O16" s="136">
        <f t="shared" si="4"/>
        <v>18290445.652985189</v>
      </c>
      <c r="P16" s="108"/>
      <c r="Q16" s="53">
        <f t="shared" si="1"/>
        <v>13</v>
      </c>
    </row>
    <row r="17" spans="1:18" ht="19.5" thickTop="1" thickBot="1">
      <c r="A17" s="53">
        <f t="shared" si="0"/>
        <v>14</v>
      </c>
      <c r="B17" s="109"/>
      <c r="C17" s="619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8">
      <c r="A18" s="53">
        <f t="shared" si="0"/>
        <v>15</v>
      </c>
      <c r="B18" s="112" t="s">
        <v>221</v>
      </c>
      <c r="C18" s="102">
        <f>C5</f>
        <v>45658</v>
      </c>
      <c r="D18" s="103">
        <f t="shared" ref="D18:O18" si="5">D5</f>
        <v>45689</v>
      </c>
      <c r="E18" s="103">
        <f t="shared" si="5"/>
        <v>45717</v>
      </c>
      <c r="F18" s="103">
        <f t="shared" si="5"/>
        <v>45748</v>
      </c>
      <c r="G18" s="103">
        <f t="shared" si="5"/>
        <v>45778</v>
      </c>
      <c r="H18" s="103">
        <f t="shared" si="5"/>
        <v>45809</v>
      </c>
      <c r="I18" s="103">
        <f t="shared" si="5"/>
        <v>45839</v>
      </c>
      <c r="J18" s="103">
        <f t="shared" si="5"/>
        <v>45870</v>
      </c>
      <c r="K18" s="103">
        <f t="shared" si="5"/>
        <v>45901</v>
      </c>
      <c r="L18" s="103">
        <f t="shared" si="5"/>
        <v>45931</v>
      </c>
      <c r="M18" s="103">
        <f t="shared" si="5"/>
        <v>45962</v>
      </c>
      <c r="N18" s="103">
        <f t="shared" si="5"/>
        <v>45992</v>
      </c>
      <c r="O18" s="104" t="str">
        <f t="shared" si="5"/>
        <v>Total</v>
      </c>
      <c r="P18" s="113"/>
      <c r="Q18" s="53">
        <f t="shared" si="1"/>
        <v>15</v>
      </c>
    </row>
    <row r="19" spans="1:18" ht="18.75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8">
      <c r="A20" s="53">
        <f t="shared" si="0"/>
        <v>17</v>
      </c>
      <c r="B20" s="54" t="s">
        <v>216</v>
      </c>
      <c r="C20" s="709">
        <v>0</v>
      </c>
      <c r="D20" s="710">
        <v>0</v>
      </c>
      <c r="E20" s="710">
        <v>0</v>
      </c>
      <c r="F20" s="710">
        <v>0</v>
      </c>
      <c r="G20" s="710">
        <v>0</v>
      </c>
      <c r="H20" s="710">
        <v>0</v>
      </c>
      <c r="I20" s="710">
        <v>0</v>
      </c>
      <c r="J20" s="710">
        <v>0</v>
      </c>
      <c r="K20" s="710">
        <v>0</v>
      </c>
      <c r="L20" s="710">
        <v>0</v>
      </c>
      <c r="M20" s="710">
        <v>0</v>
      </c>
      <c r="N20" s="71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8">
      <c r="A21" s="53">
        <f t="shared" si="0"/>
        <v>18</v>
      </c>
      <c r="B21" s="54" t="s">
        <v>217</v>
      </c>
      <c r="C21" s="124">
        <v>665128.40457376174</v>
      </c>
      <c r="D21" s="125">
        <v>638768.16550925153</v>
      </c>
      <c r="E21" s="125">
        <v>634906.37665919401</v>
      </c>
      <c r="F21" s="125">
        <v>634614.63028510415</v>
      </c>
      <c r="G21" s="125">
        <v>642422.3679788115</v>
      </c>
      <c r="H21" s="125">
        <v>674302.30225451861</v>
      </c>
      <c r="I21" s="125">
        <v>739126.30591458536</v>
      </c>
      <c r="J21" s="125">
        <v>777952.89032439666</v>
      </c>
      <c r="K21" s="125">
        <v>818733.95977402898</v>
      </c>
      <c r="L21" s="125">
        <v>743327.39731253241</v>
      </c>
      <c r="M21" s="125">
        <v>671314.98969655018</v>
      </c>
      <c r="N21" s="125">
        <v>657765.56516033004</v>
      </c>
      <c r="O21" s="126">
        <f>SUM(C21:N21)</f>
        <v>8298363.355443066</v>
      </c>
      <c r="P21" s="53" t="str">
        <f>P20</f>
        <v>Total Deliveries MWH - Work Paper</v>
      </c>
      <c r="Q21" s="53">
        <f t="shared" si="1"/>
        <v>18</v>
      </c>
    </row>
    <row r="22" spans="1:18">
      <c r="A22" s="53">
        <f t="shared" si="0"/>
        <v>19</v>
      </c>
      <c r="B22" s="54" t="s">
        <v>218</v>
      </c>
      <c r="C22" s="124">
        <v>86063.849876274791</v>
      </c>
      <c r="D22" s="141">
        <v>74763.168183969552</v>
      </c>
      <c r="E22" s="141">
        <v>79850.254449063767</v>
      </c>
      <c r="F22" s="141">
        <v>83893.668552719435</v>
      </c>
      <c r="G22" s="141">
        <v>82494.516567459548</v>
      </c>
      <c r="H22" s="141">
        <v>86037.699489391714</v>
      </c>
      <c r="I22" s="141">
        <v>99719.875448313775</v>
      </c>
      <c r="J22" s="141">
        <v>97528.717043731289</v>
      </c>
      <c r="K22" s="141">
        <v>96434.86221579017</v>
      </c>
      <c r="L22" s="141">
        <v>87398.897344817757</v>
      </c>
      <c r="M22" s="141">
        <v>86076.559012121768</v>
      </c>
      <c r="N22" s="125">
        <v>102103.08582474214</v>
      </c>
      <c r="O22" s="126">
        <f>SUM(C22:N22)</f>
        <v>1062365.1540083957</v>
      </c>
      <c r="P22" s="53" t="str">
        <f>P21</f>
        <v>Total Deliveries MWH - Work Paper</v>
      </c>
      <c r="Q22" s="53">
        <f t="shared" si="1"/>
        <v>19</v>
      </c>
    </row>
    <row r="23" spans="1:18">
      <c r="A23" s="53">
        <f t="shared" si="0"/>
        <v>20</v>
      </c>
      <c r="B23" s="53" t="s">
        <v>18</v>
      </c>
      <c r="C23" s="145">
        <f>SUM(C20:C22)</f>
        <v>751192.25445003656</v>
      </c>
      <c r="D23" s="141">
        <f t="shared" ref="D23:O23" si="6">SUM(D20:D22)</f>
        <v>713531.3336932211</v>
      </c>
      <c r="E23" s="141">
        <f t="shared" si="6"/>
        <v>714756.6311082578</v>
      </c>
      <c r="F23" s="141">
        <f t="shared" si="6"/>
        <v>718508.29883782356</v>
      </c>
      <c r="G23" s="141">
        <f t="shared" si="6"/>
        <v>724916.88454627106</v>
      </c>
      <c r="H23" s="141">
        <f t="shared" si="6"/>
        <v>760340.00174391037</v>
      </c>
      <c r="I23" s="141">
        <f t="shared" si="6"/>
        <v>838846.18136289914</v>
      </c>
      <c r="J23" s="141">
        <f t="shared" si="6"/>
        <v>875481.60736812791</v>
      </c>
      <c r="K23" s="141">
        <f t="shared" si="6"/>
        <v>915168.82198981917</v>
      </c>
      <c r="L23" s="141">
        <f t="shared" si="6"/>
        <v>830726.29465735017</v>
      </c>
      <c r="M23" s="141">
        <f t="shared" si="6"/>
        <v>757391.54870867194</v>
      </c>
      <c r="N23" s="146">
        <f t="shared" si="6"/>
        <v>759868.65098507213</v>
      </c>
      <c r="O23" s="147">
        <f t="shared" si="6"/>
        <v>9360728.509451462</v>
      </c>
      <c r="P23" s="53" t="s">
        <v>222</v>
      </c>
      <c r="Q23" s="53">
        <f t="shared" si="1"/>
        <v>20</v>
      </c>
    </row>
    <row r="24" spans="1:18" ht="19.5" thickBot="1">
      <c r="A24" s="59">
        <f>A23+1</f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>Q23+1</f>
        <v>21</v>
      </c>
    </row>
    <row r="25" spans="1:18">
      <c r="P25" s="118"/>
    </row>
    <row r="26" spans="1:18" ht="18.75" thickBot="1"/>
    <row r="27" spans="1:18">
      <c r="A27" s="94" t="s">
        <v>8</v>
      </c>
      <c r="B27" s="740" t="str">
        <f>B2</f>
        <v>San Diego Gas &amp; Electric</v>
      </c>
      <c r="C27" s="741"/>
      <c r="D27" s="741"/>
      <c r="E27" s="741"/>
      <c r="F27" s="741"/>
      <c r="G27" s="741"/>
      <c r="H27" s="741"/>
      <c r="I27" s="741"/>
      <c r="J27" s="741"/>
      <c r="K27" s="741"/>
      <c r="L27" s="741"/>
      <c r="M27" s="741"/>
      <c r="N27" s="741"/>
      <c r="O27" s="742"/>
      <c r="Q27" s="94" t="s">
        <v>8</v>
      </c>
    </row>
    <row r="28" spans="1:18" ht="18.75" thickBot="1">
      <c r="A28" s="59" t="s">
        <v>11</v>
      </c>
      <c r="B28" s="743" t="str">
        <f>B3</f>
        <v>Forecast Billing Determinants for the 12-Month Period: January 2025 - December 2025</v>
      </c>
      <c r="C28" s="744"/>
      <c r="D28" s="744"/>
      <c r="E28" s="744"/>
      <c r="F28" s="744"/>
      <c r="G28" s="744"/>
      <c r="H28" s="744"/>
      <c r="I28" s="744"/>
      <c r="J28" s="744"/>
      <c r="K28" s="744"/>
      <c r="L28" s="744"/>
      <c r="M28" s="744"/>
      <c r="N28" s="744"/>
      <c r="O28" s="745"/>
      <c r="P28" s="96" t="s">
        <v>16</v>
      </c>
      <c r="Q28" s="59" t="s">
        <v>11</v>
      </c>
    </row>
    <row r="29" spans="1:18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53">
        <f>Q24+1</f>
        <v>22</v>
      </c>
    </row>
    <row r="30" spans="1:18">
      <c r="A30" s="53">
        <f>A29+1</f>
        <v>23</v>
      </c>
      <c r="B30" s="101" t="s">
        <v>213</v>
      </c>
      <c r="C30" s="102">
        <f t="shared" ref="C30:N30" si="7">C5</f>
        <v>45658</v>
      </c>
      <c r="D30" s="103">
        <f t="shared" si="7"/>
        <v>45689</v>
      </c>
      <c r="E30" s="103">
        <f t="shared" si="7"/>
        <v>45717</v>
      </c>
      <c r="F30" s="103">
        <f t="shared" si="7"/>
        <v>45748</v>
      </c>
      <c r="G30" s="103">
        <f t="shared" si="7"/>
        <v>45778</v>
      </c>
      <c r="H30" s="103">
        <f t="shared" si="7"/>
        <v>45809</v>
      </c>
      <c r="I30" s="103">
        <f t="shared" si="7"/>
        <v>45839</v>
      </c>
      <c r="J30" s="103">
        <f t="shared" si="7"/>
        <v>45870</v>
      </c>
      <c r="K30" s="103">
        <f t="shared" si="7"/>
        <v>45901</v>
      </c>
      <c r="L30" s="103">
        <f t="shared" si="7"/>
        <v>45931</v>
      </c>
      <c r="M30" s="103">
        <f t="shared" si="7"/>
        <v>45962</v>
      </c>
      <c r="N30" s="103">
        <f t="shared" si="7"/>
        <v>45992</v>
      </c>
      <c r="O30" s="104" t="s">
        <v>18</v>
      </c>
      <c r="P30" s="55"/>
      <c r="Q30" s="53">
        <f>Q29+1</f>
        <v>23</v>
      </c>
      <c r="R30" s="620"/>
    </row>
    <row r="31" spans="1:18">
      <c r="A31" s="53">
        <f>A30+1</f>
        <v>24</v>
      </c>
      <c r="B31" s="58" t="s">
        <v>201</v>
      </c>
      <c r="C31" s="124">
        <f t="shared" ref="C31:N31" si="8">C6*1000</f>
        <v>633614848.26131558</v>
      </c>
      <c r="D31" s="125">
        <f t="shared" si="8"/>
        <v>515438234.71526903</v>
      </c>
      <c r="E31" s="125">
        <f t="shared" si="8"/>
        <v>457649116.93538713</v>
      </c>
      <c r="F31" s="125">
        <f t="shared" si="8"/>
        <v>365973420.20850414</v>
      </c>
      <c r="G31" s="125">
        <f t="shared" si="8"/>
        <v>342313088.75184613</v>
      </c>
      <c r="H31" s="125">
        <f t="shared" si="8"/>
        <v>369395483.57729572</v>
      </c>
      <c r="I31" s="125">
        <f t="shared" si="8"/>
        <v>457969477.31707972</v>
      </c>
      <c r="J31" s="125">
        <f t="shared" si="8"/>
        <v>631672008.70622778</v>
      </c>
      <c r="K31" s="125">
        <f t="shared" si="8"/>
        <v>730948075.68545246</v>
      </c>
      <c r="L31" s="125">
        <f t="shared" si="8"/>
        <v>531521922.81533152</v>
      </c>
      <c r="M31" s="125">
        <f t="shared" si="8"/>
        <v>450339927.71392423</v>
      </c>
      <c r="N31" s="125">
        <f t="shared" si="8"/>
        <v>572324671.75000429</v>
      </c>
      <c r="O31" s="126">
        <f>SUM(C31:N31)</f>
        <v>6059160276.4376373</v>
      </c>
      <c r="P31" s="53" t="s">
        <v>219</v>
      </c>
      <c r="Q31" s="53">
        <f>Q30+1</f>
        <v>24</v>
      </c>
      <c r="R31" s="620"/>
    </row>
    <row r="32" spans="1:18">
      <c r="A32" s="53">
        <f t="shared" ref="A32:A48" si="9">A31+1</f>
        <v>25</v>
      </c>
      <c r="B32" s="58" t="s">
        <v>202</v>
      </c>
      <c r="C32" s="124">
        <f t="shared" ref="C32:N32" si="10">C7*1000</f>
        <v>194287303.97175041</v>
      </c>
      <c r="D32" s="125">
        <f t="shared" si="10"/>
        <v>188366210.6613501</v>
      </c>
      <c r="E32" s="125">
        <f t="shared" si="10"/>
        <v>187592519.40328324</v>
      </c>
      <c r="F32" s="125">
        <f t="shared" si="10"/>
        <v>186126527.48780861</v>
      </c>
      <c r="G32" s="125">
        <f t="shared" si="10"/>
        <v>185654634.61696634</v>
      </c>
      <c r="H32" s="125">
        <f t="shared" si="10"/>
        <v>194357832.95760828</v>
      </c>
      <c r="I32" s="125">
        <f t="shared" si="10"/>
        <v>217705905.33345446</v>
      </c>
      <c r="J32" s="125">
        <f t="shared" si="10"/>
        <v>229919024.856437</v>
      </c>
      <c r="K32" s="125">
        <f t="shared" si="10"/>
        <v>241455993.41200775</v>
      </c>
      <c r="L32" s="125">
        <f t="shared" si="10"/>
        <v>214159409.97047323</v>
      </c>
      <c r="M32" s="125">
        <f t="shared" si="10"/>
        <v>197828256.87204242</v>
      </c>
      <c r="N32" s="125">
        <f t="shared" si="10"/>
        <v>190835621.55890608</v>
      </c>
      <c r="O32" s="126">
        <f>SUM(C32:N32)</f>
        <v>2428289241.102088</v>
      </c>
      <c r="P32" s="53" t="str">
        <f>P31</f>
        <v>Total Deliveries MWH - Work Paper</v>
      </c>
      <c r="Q32" s="53">
        <f t="shared" ref="Q32:Q48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751192254.45003653</v>
      </c>
      <c r="D33" s="129">
        <f>D48</f>
        <v>713531333.69322109</v>
      </c>
      <c r="E33" s="129">
        <f t="shared" ref="E33:N33" si="12">E48</f>
        <v>714756631.10825777</v>
      </c>
      <c r="F33" s="129">
        <f t="shared" si="12"/>
        <v>718508298.83782363</v>
      </c>
      <c r="G33" s="129">
        <f t="shared" si="12"/>
        <v>724916884.54627109</v>
      </c>
      <c r="H33" s="129">
        <f t="shared" si="12"/>
        <v>760340001.74391031</v>
      </c>
      <c r="I33" s="129">
        <f t="shared" si="12"/>
        <v>838846181.36289907</v>
      </c>
      <c r="J33" s="129">
        <f t="shared" si="12"/>
        <v>875481607.36812794</v>
      </c>
      <c r="K33" s="129">
        <f t="shared" si="12"/>
        <v>915168821.98981917</v>
      </c>
      <c r="L33" s="129">
        <f t="shared" si="12"/>
        <v>830726294.65735018</v>
      </c>
      <c r="M33" s="129">
        <f t="shared" si="12"/>
        <v>757391548.70867193</v>
      </c>
      <c r="N33" s="129">
        <f t="shared" si="12"/>
        <v>759868650.98507214</v>
      </c>
      <c r="O33" s="126">
        <f>SUM(C33:N33)</f>
        <v>9360728509.4514618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4">
        <f>C9*1000</f>
        <v>595720</v>
      </c>
      <c r="D34" s="129">
        <f t="shared" ref="D34:N34" si="13">D9*1000</f>
        <v>724430</v>
      </c>
      <c r="E34" s="129">
        <f t="shared" si="13"/>
        <v>727400</v>
      </c>
      <c r="F34" s="129">
        <f t="shared" si="13"/>
        <v>931380</v>
      </c>
      <c r="G34" s="129">
        <f t="shared" si="13"/>
        <v>258380</v>
      </c>
      <c r="H34" s="706">
        <f t="shared" si="13"/>
        <v>110630</v>
      </c>
      <c r="I34" s="703">
        <f t="shared" si="13"/>
        <v>125900</v>
      </c>
      <c r="J34" s="703">
        <f t="shared" si="13"/>
        <v>50</v>
      </c>
      <c r="K34" s="703">
        <f t="shared" si="13"/>
        <v>40380</v>
      </c>
      <c r="L34" s="129">
        <f t="shared" si="13"/>
        <v>1332720</v>
      </c>
      <c r="M34" s="129">
        <f t="shared" si="13"/>
        <v>1353380</v>
      </c>
      <c r="N34" s="129">
        <f t="shared" si="13"/>
        <v>517860</v>
      </c>
      <c r="O34" s="126">
        <f>SUM(C34:N34)</f>
        <v>6718230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>C10*1000</f>
        <v>5887704.8144613691</v>
      </c>
      <c r="D35" s="125">
        <f t="shared" ref="D35:N35" si="14">D10*1000</f>
        <v>6921204.3635153994</v>
      </c>
      <c r="E35" s="125">
        <f t="shared" si="14"/>
        <v>6343637.0075090956</v>
      </c>
      <c r="F35" s="125">
        <f t="shared" si="14"/>
        <v>7110262.225510261</v>
      </c>
      <c r="G35" s="125">
        <f t="shared" si="14"/>
        <v>10185414.184797397</v>
      </c>
      <c r="H35" s="125">
        <f t="shared" si="14"/>
        <v>11247957.966117742</v>
      </c>
      <c r="I35" s="125">
        <f t="shared" si="14"/>
        <v>12755825.760813892</v>
      </c>
      <c r="J35" s="125">
        <f t="shared" si="14"/>
        <v>13888226.199353687</v>
      </c>
      <c r="K35" s="125">
        <f t="shared" si="14"/>
        <v>13262986.915300764</v>
      </c>
      <c r="L35" s="125">
        <f t="shared" si="14"/>
        <v>12407756.148358615</v>
      </c>
      <c r="M35" s="125">
        <f t="shared" si="14"/>
        <v>10202678.444719139</v>
      </c>
      <c r="N35" s="125">
        <f t="shared" si="14"/>
        <v>9020115.0758860018</v>
      </c>
      <c r="O35" s="126">
        <f t="shared" ref="O35:O36" si="15">SUM(C35:N35)</f>
        <v>119233769.10634334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>C11*1000</f>
        <v>16898596.174145363</v>
      </c>
      <c r="D36" s="125">
        <f t="shared" ref="D36:N36" si="16">D11*1000</f>
        <v>18281425.836751401</v>
      </c>
      <c r="E36" s="125">
        <f t="shared" si="16"/>
        <v>16418928.25680276</v>
      </c>
      <c r="F36" s="125">
        <f t="shared" si="16"/>
        <v>17288752.517243203</v>
      </c>
      <c r="G36" s="125">
        <f t="shared" si="16"/>
        <v>20061665.198170915</v>
      </c>
      <c r="H36" s="125">
        <f t="shared" si="16"/>
        <v>20603202.325132836</v>
      </c>
      <c r="I36" s="125">
        <f t="shared" si="16"/>
        <v>23004135.715861753</v>
      </c>
      <c r="J36" s="125">
        <f t="shared" si="16"/>
        <v>22863150.521633886</v>
      </c>
      <c r="K36" s="125">
        <f t="shared" si="16"/>
        <v>21957609.857486788</v>
      </c>
      <c r="L36" s="125">
        <f t="shared" si="16"/>
        <v>21563167.661901116</v>
      </c>
      <c r="M36" s="125">
        <f t="shared" si="16"/>
        <v>18985959.067639023</v>
      </c>
      <c r="N36" s="125">
        <f t="shared" si="16"/>
        <v>18145457.05354834</v>
      </c>
      <c r="O36" s="126">
        <f t="shared" si="15"/>
        <v>236072050.18631738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>C12*1000</f>
        <v>6804681.1748855589</v>
      </c>
      <c r="D37" s="125">
        <f t="shared" ref="D37:N37" si="17">D12*1000</f>
        <v>6756007.3419802682</v>
      </c>
      <c r="E37" s="125">
        <f t="shared" si="17"/>
        <v>6619387.8228434017</v>
      </c>
      <c r="F37" s="125">
        <f t="shared" si="17"/>
        <v>6515491.4020588556</v>
      </c>
      <c r="G37" s="125">
        <f t="shared" si="17"/>
        <v>6463029.1984564485</v>
      </c>
      <c r="H37" s="125">
        <f t="shared" si="17"/>
        <v>6515925.7018801039</v>
      </c>
      <c r="I37" s="125">
        <f t="shared" si="17"/>
        <v>6492050.2848719275</v>
      </c>
      <c r="J37" s="125">
        <f t="shared" si="17"/>
        <v>6710608.6798682185</v>
      </c>
      <c r="K37" s="125">
        <f t="shared" si="17"/>
        <v>6515194.0268120952</v>
      </c>
      <c r="L37" s="125">
        <f t="shared" si="17"/>
        <v>6563322.3021757882</v>
      </c>
      <c r="M37" s="125">
        <f t="shared" si="17"/>
        <v>6961959.9399219016</v>
      </c>
      <c r="N37" s="125">
        <f t="shared" si="17"/>
        <v>7325918.825583267</v>
      </c>
      <c r="O37" s="126">
        <f>SUM(C37:N37)</f>
        <v>80243576.701337829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>C13*1000</f>
        <v>7563.5555555555557</v>
      </c>
      <c r="D38" s="125">
        <f t="shared" ref="D38:N38" si="18">D13*1000</f>
        <v>7563.5555555555557</v>
      </c>
      <c r="E38" s="125">
        <f t="shared" si="18"/>
        <v>7563.5555555555557</v>
      </c>
      <c r="F38" s="125">
        <f t="shared" si="18"/>
        <v>7563.5555555555557</v>
      </c>
      <c r="G38" s="125">
        <f t="shared" si="18"/>
        <v>7563.5555555555557</v>
      </c>
      <c r="H38" s="125">
        <f t="shared" si="18"/>
        <v>7563.5555555555557</v>
      </c>
      <c r="I38" s="125">
        <f t="shared" si="18"/>
        <v>7563.5555555555557</v>
      </c>
      <c r="J38" s="125">
        <f t="shared" si="18"/>
        <v>7563.5555555555557</v>
      </c>
      <c r="K38" s="125">
        <f t="shared" si="18"/>
        <v>7563.5555555555557</v>
      </c>
      <c r="L38" s="125">
        <f t="shared" si="18"/>
        <v>7563.5555555555557</v>
      </c>
      <c r="M38" s="125">
        <f t="shared" si="18"/>
        <v>7563.5555555555557</v>
      </c>
      <c r="N38" s="125">
        <f t="shared" si="18"/>
        <v>7563.5555555555557</v>
      </c>
      <c r="O38" s="126">
        <f>SUM(C38:N38)</f>
        <v>90762.666666666686</v>
      </c>
      <c r="P38" s="53" t="str">
        <f>P37</f>
        <v>Total Deliveries MWH - Work Paper</v>
      </c>
      <c r="Q38" s="53">
        <f t="shared" si="11"/>
        <v>31</v>
      </c>
      <c r="R38" s="621"/>
    </row>
    <row r="39" spans="1:18" ht="18.75" thickBot="1">
      <c r="A39" s="53">
        <f t="shared" si="9"/>
        <v>32</v>
      </c>
      <c r="B39" s="106" t="s">
        <v>206</v>
      </c>
      <c r="C39" s="131">
        <f>SUM(C31:C38)</f>
        <v>1609288672.4021506</v>
      </c>
      <c r="D39" s="132">
        <f t="shared" ref="D39:N39" si="19">SUM(D31:D38)</f>
        <v>1450026410.1676428</v>
      </c>
      <c r="E39" s="132">
        <f t="shared" si="19"/>
        <v>1390115184.0896387</v>
      </c>
      <c r="F39" s="132">
        <f t="shared" si="19"/>
        <v>1302461696.2345042</v>
      </c>
      <c r="G39" s="132">
        <f t="shared" si="19"/>
        <v>1289860660.0520637</v>
      </c>
      <c r="H39" s="132">
        <f t="shared" si="19"/>
        <v>1362578597.8275008</v>
      </c>
      <c r="I39" s="132">
        <f t="shared" si="19"/>
        <v>1556907039.3305364</v>
      </c>
      <c r="J39" s="132">
        <f t="shared" si="19"/>
        <v>1780542239.8872042</v>
      </c>
      <c r="K39" s="132">
        <f t="shared" si="19"/>
        <v>1929356625.4424345</v>
      </c>
      <c r="L39" s="132">
        <f t="shared" si="19"/>
        <v>1618282157.111146</v>
      </c>
      <c r="M39" s="132">
        <f t="shared" si="19"/>
        <v>1443071274.3024743</v>
      </c>
      <c r="N39" s="132">
        <f t="shared" si="19"/>
        <v>1558045858.8045557</v>
      </c>
      <c r="O39" s="133">
        <f>SUM(O31:O38)</f>
        <v>18290536415.651855</v>
      </c>
      <c r="P39" s="53" t="s">
        <v>220</v>
      </c>
      <c r="Q39" s="53">
        <f t="shared" si="11"/>
        <v>32</v>
      </c>
      <c r="R39" s="621"/>
    </row>
    <row r="40" spans="1:18" ht="18.75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.75" thickBot="1">
      <c r="A41" s="53">
        <f t="shared" si="9"/>
        <v>34</v>
      </c>
      <c r="B41" s="106" t="s">
        <v>207</v>
      </c>
      <c r="C41" s="134">
        <f>SUM(C31:C37)</f>
        <v>1609281108.846595</v>
      </c>
      <c r="D41" s="135">
        <f>SUM(D31:D37)</f>
        <v>1450018846.6120872</v>
      </c>
      <c r="E41" s="135">
        <f t="shared" ref="E41:O41" si="20">SUM(E31:E37)</f>
        <v>1390107620.5340831</v>
      </c>
      <c r="F41" s="135">
        <f t="shared" si="20"/>
        <v>1302454132.6789486</v>
      </c>
      <c r="G41" s="135">
        <f t="shared" si="20"/>
        <v>1289853096.4965081</v>
      </c>
      <c r="H41" s="135">
        <f t="shared" si="20"/>
        <v>1362571034.2719452</v>
      </c>
      <c r="I41" s="135">
        <f t="shared" si="20"/>
        <v>1556899475.7749808</v>
      </c>
      <c r="J41" s="135">
        <f t="shared" si="20"/>
        <v>1780534676.3316486</v>
      </c>
      <c r="K41" s="135">
        <f t="shared" si="20"/>
        <v>1929349061.886879</v>
      </c>
      <c r="L41" s="135">
        <f t="shared" si="20"/>
        <v>1618274593.5555904</v>
      </c>
      <c r="M41" s="135">
        <f t="shared" si="20"/>
        <v>1443063710.7469187</v>
      </c>
      <c r="N41" s="135">
        <f t="shared" si="20"/>
        <v>1558038295.2490001</v>
      </c>
      <c r="O41" s="136">
        <f t="shared" si="20"/>
        <v>18290445652.985188</v>
      </c>
      <c r="P41" s="108"/>
      <c r="Q41" s="53">
        <f t="shared" si="11"/>
        <v>34</v>
      </c>
      <c r="R41" s="621"/>
    </row>
    <row r="42" spans="1:18" ht="19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513"/>
      <c r="N42" s="622"/>
      <c r="O42" s="138"/>
      <c r="P42" s="111"/>
      <c r="Q42" s="53">
        <f t="shared" si="11"/>
        <v>35</v>
      </c>
    </row>
    <row r="43" spans="1:18">
      <c r="A43" s="53">
        <f t="shared" si="9"/>
        <v>36</v>
      </c>
      <c r="B43" s="112" t="s">
        <v>221</v>
      </c>
      <c r="C43" s="102">
        <f>C30</f>
        <v>45658</v>
      </c>
      <c r="D43" s="103">
        <f t="shared" ref="D43:O43" si="21">D30</f>
        <v>45689</v>
      </c>
      <c r="E43" s="103">
        <f t="shared" si="21"/>
        <v>45717</v>
      </c>
      <c r="F43" s="103">
        <f t="shared" si="21"/>
        <v>45748</v>
      </c>
      <c r="G43" s="103">
        <f t="shared" si="21"/>
        <v>45778</v>
      </c>
      <c r="H43" s="103">
        <f t="shared" si="21"/>
        <v>45809</v>
      </c>
      <c r="I43" s="103">
        <f t="shared" si="21"/>
        <v>45839</v>
      </c>
      <c r="J43" s="103">
        <f t="shared" si="21"/>
        <v>45870</v>
      </c>
      <c r="K43" s="103">
        <f t="shared" si="21"/>
        <v>45901</v>
      </c>
      <c r="L43" s="103">
        <f t="shared" si="21"/>
        <v>45931</v>
      </c>
      <c r="M43" s="103">
        <f t="shared" si="21"/>
        <v>45962</v>
      </c>
      <c r="N43" s="103">
        <f t="shared" si="21"/>
        <v>45992</v>
      </c>
      <c r="O43" s="104" t="str">
        <f t="shared" si="21"/>
        <v>Total</v>
      </c>
      <c r="P43" s="113"/>
      <c r="Q43" s="53">
        <f t="shared" si="11"/>
        <v>36</v>
      </c>
    </row>
    <row r="44" spans="1:18" ht="18.75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665128404.5737617</v>
      </c>
      <c r="D46" s="125">
        <f t="shared" si="23"/>
        <v>638768165.50925148</v>
      </c>
      <c r="E46" s="125">
        <f t="shared" si="23"/>
        <v>634906376.65919399</v>
      </c>
      <c r="F46" s="125">
        <f t="shared" si="23"/>
        <v>634614630.28510416</v>
      </c>
      <c r="G46" s="125">
        <f t="shared" si="23"/>
        <v>642422367.9788115</v>
      </c>
      <c r="H46" s="125">
        <f t="shared" si="23"/>
        <v>674302302.25451863</v>
      </c>
      <c r="I46" s="125">
        <f t="shared" si="23"/>
        <v>739126305.91458535</v>
      </c>
      <c r="J46" s="125">
        <f t="shared" si="23"/>
        <v>777952890.32439661</v>
      </c>
      <c r="K46" s="125">
        <f t="shared" si="23"/>
        <v>818733959.77402902</v>
      </c>
      <c r="L46" s="125">
        <f t="shared" si="23"/>
        <v>743327397.31253242</v>
      </c>
      <c r="M46" s="125">
        <f t="shared" si="23"/>
        <v>671314989.69655013</v>
      </c>
      <c r="N46" s="125">
        <f t="shared" si="23"/>
        <v>657765565.16033006</v>
      </c>
      <c r="O46" s="126">
        <f>SUM(C46:N46)</f>
        <v>8298363355.4430637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86063849.876274794</v>
      </c>
      <c r="D47" s="125">
        <f t="shared" si="24"/>
        <v>74763168.183969557</v>
      </c>
      <c r="E47" s="125">
        <f t="shared" si="24"/>
        <v>79850254.449063763</v>
      </c>
      <c r="F47" s="125">
        <f t="shared" si="24"/>
        <v>83893668.552719429</v>
      </c>
      <c r="G47" s="125">
        <f t="shared" si="24"/>
        <v>82494516.567459553</v>
      </c>
      <c r="H47" s="125">
        <f t="shared" si="24"/>
        <v>86037699.489391714</v>
      </c>
      <c r="I47" s="125">
        <f t="shared" si="24"/>
        <v>99719875.448313773</v>
      </c>
      <c r="J47" s="125">
        <f t="shared" si="24"/>
        <v>97528717.043731287</v>
      </c>
      <c r="K47" s="125">
        <f t="shared" si="24"/>
        <v>96434862.215790167</v>
      </c>
      <c r="L47" s="125">
        <f t="shared" si="24"/>
        <v>87398897.344817758</v>
      </c>
      <c r="M47" s="125">
        <f t="shared" si="24"/>
        <v>86076559.012121767</v>
      </c>
      <c r="N47" s="125">
        <f t="shared" si="24"/>
        <v>102103085.82474214</v>
      </c>
      <c r="O47" s="126">
        <f>SUM(C47:N47)</f>
        <v>1062365154.0083957</v>
      </c>
      <c r="P47" s="53" t="str">
        <f>P46</f>
        <v>Total Deliveries MWH - Work Paper</v>
      </c>
      <c r="Q47" s="53">
        <f t="shared" si="11"/>
        <v>40</v>
      </c>
    </row>
    <row r="48" spans="1:18" ht="18.75" thickBot="1">
      <c r="A48" s="53">
        <f t="shared" si="9"/>
        <v>41</v>
      </c>
      <c r="B48" s="53" t="s">
        <v>18</v>
      </c>
      <c r="C48" s="142">
        <f>SUM(C45:C47)</f>
        <v>751192254.45003653</v>
      </c>
      <c r="D48" s="143">
        <f t="shared" ref="D48:O48" si="25">SUM(D45:D47)</f>
        <v>713531333.69322109</v>
      </c>
      <c r="E48" s="143">
        <f t="shared" si="25"/>
        <v>714756631.10825777</v>
      </c>
      <c r="F48" s="143">
        <f t="shared" si="25"/>
        <v>718508298.83782363</v>
      </c>
      <c r="G48" s="143">
        <f t="shared" si="25"/>
        <v>724916884.54627109</v>
      </c>
      <c r="H48" s="143">
        <f t="shared" si="25"/>
        <v>760340001.74391031</v>
      </c>
      <c r="I48" s="143">
        <f t="shared" si="25"/>
        <v>838846181.36289907</v>
      </c>
      <c r="J48" s="143">
        <f t="shared" si="25"/>
        <v>875481607.36812794</v>
      </c>
      <c r="K48" s="143">
        <f t="shared" si="25"/>
        <v>915168821.98981917</v>
      </c>
      <c r="L48" s="143">
        <f t="shared" si="25"/>
        <v>830726294.65735018</v>
      </c>
      <c r="M48" s="143">
        <f t="shared" si="25"/>
        <v>757391548.70867193</v>
      </c>
      <c r="N48" s="143">
        <f t="shared" si="25"/>
        <v>759868650.98507214</v>
      </c>
      <c r="O48" s="144">
        <f t="shared" si="25"/>
        <v>9360728509.4514599</v>
      </c>
      <c r="P48" s="53" t="s">
        <v>222</v>
      </c>
      <c r="Q48" s="53">
        <f t="shared" si="11"/>
        <v>41</v>
      </c>
    </row>
    <row r="49" spans="1:17" ht="20.25" thickTop="1" thickBot="1">
      <c r="A49" s="59">
        <f>A48+1</f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>Q48+1</f>
        <v>42</v>
      </c>
    </row>
  </sheetData>
  <mergeCells count="4">
    <mergeCell ref="B28:O28"/>
    <mergeCell ref="B27:O27"/>
    <mergeCell ref="B2:O2"/>
    <mergeCell ref="B3:O3"/>
  </mergeCells>
  <printOptions horizontalCentered="1"/>
  <pageMargins left="0.25" right="0.25" top="0.5" bottom="0.5" header="0.25" footer="0.25"/>
  <pageSetup scale="50" orientation="landscape" r:id="rId1"/>
  <headerFooter scaleWithDoc="0">
    <oddFooter>&amp;L&amp;"Times New Roman,Regular"&amp;12&amp;F&amp;C&amp;"Times New Roman,Regular"&amp;12Page 3.2&amp;R&amp;"Times New Roman,Regular"&amp;12&amp;A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Normal="100" workbookViewId="0">
      <selection activeCell="C22" sqref="C22"/>
    </sheetView>
  </sheetViews>
  <sheetFormatPr defaultColWidth="8.5703125" defaultRowHeight="12.75"/>
  <cols>
    <col min="1" max="1" width="5.5703125" style="1" customWidth="1"/>
    <col min="2" max="4" width="20.5703125" style="1" customWidth="1"/>
    <col min="5" max="5" width="23.42578125" style="1" customWidth="1"/>
    <col min="6" max="6" width="40.5703125" style="1" customWidth="1"/>
    <col min="7" max="7" width="5.5703125" style="1" customWidth="1"/>
    <col min="8" max="8" width="8.5703125" style="1" customWidth="1"/>
    <col min="9" max="9" width="12.5703125" style="1" customWidth="1"/>
    <col min="10" max="10" width="8.42578125" style="1" customWidth="1"/>
    <col min="11" max="16384" width="8.570312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2026 -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75">
      <c r="A5" s="5" t="s">
        <v>2</v>
      </c>
      <c r="B5" s="5"/>
      <c r="C5" s="5"/>
      <c r="D5" s="25"/>
      <c r="E5" s="25"/>
      <c r="F5" s="25"/>
      <c r="G5" s="25"/>
    </row>
    <row r="6" spans="1:10" ht="16.5" thickBot="1">
      <c r="A6" s="5"/>
      <c r="B6" s="5"/>
      <c r="C6" s="5"/>
      <c r="D6" s="25"/>
      <c r="E6" s="25"/>
      <c r="F6" s="25"/>
      <c r="G6" s="25"/>
    </row>
    <row r="7" spans="1:10" ht="15.7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.7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.7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9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21</v>
      </c>
      <c r="F10" s="473" t="s">
        <v>16</v>
      </c>
      <c r="G10" s="475" t="s">
        <v>11</v>
      </c>
    </row>
    <row r="11" spans="1:10" ht="15.75">
      <c r="A11" s="153"/>
      <c r="B11" s="580"/>
      <c r="C11" s="120"/>
      <c r="D11" s="10"/>
      <c r="E11" s="120"/>
      <c r="F11" s="582"/>
      <c r="G11" s="154"/>
    </row>
    <row r="12" spans="1:10" ht="15.75">
      <c r="A12" s="153">
        <v>1</v>
      </c>
      <c r="B12" s="581">
        <v>46023</v>
      </c>
      <c r="C12" s="27">
        <f>'WP 1.2 Forecast Sales - KWH'!C$39</f>
        <v>1518216793.1788256</v>
      </c>
      <c r="D12" s="27">
        <f>'WP 1.2 Forecast Sales - KWH'!C$38</f>
        <v>7568.5555555555557</v>
      </c>
      <c r="E12" s="30">
        <f>C12-D12</f>
        <v>1518209224.62327</v>
      </c>
      <c r="F12" s="28" t="s">
        <v>22</v>
      </c>
      <c r="G12" s="154">
        <v>1</v>
      </c>
    </row>
    <row r="13" spans="1:10" ht="15.75">
      <c r="A13" s="153">
        <f t="shared" ref="A13:A26" si="0">A12+1</f>
        <v>2</v>
      </c>
      <c r="B13" s="581">
        <v>46054</v>
      </c>
      <c r="C13" s="27">
        <f>'WP 1.2 Forecast Sales - KWH'!D$39</f>
        <v>1382160782.2211978</v>
      </c>
      <c r="D13" s="27">
        <f>'WP 1.2 Forecast Sales - KWH'!D$38</f>
        <v>7568.5555555555557</v>
      </c>
      <c r="E13" s="30">
        <f>C13-D13</f>
        <v>1382153213.6656423</v>
      </c>
      <c r="F13" s="28" t="s">
        <v>22</v>
      </c>
      <c r="G13" s="154">
        <f t="shared" ref="G13:G26" si="1">G12+1</f>
        <v>2</v>
      </c>
    </row>
    <row r="14" spans="1:10" ht="15.75">
      <c r="A14" s="153">
        <f t="shared" si="0"/>
        <v>3</v>
      </c>
      <c r="B14" s="581">
        <v>46082</v>
      </c>
      <c r="C14" s="27">
        <f>'WP 1.2 Forecast Sales - KWH'!E$39</f>
        <v>1318972925.6639369</v>
      </c>
      <c r="D14" s="27">
        <f>'WP 1.2 Forecast Sales - KWH'!E$38</f>
        <v>7568.5555555555557</v>
      </c>
      <c r="E14" s="30">
        <f>C14-D14</f>
        <v>1318965357.1083813</v>
      </c>
      <c r="F14" s="28" t="s">
        <v>22</v>
      </c>
      <c r="G14" s="154">
        <f t="shared" si="1"/>
        <v>3</v>
      </c>
    </row>
    <row r="15" spans="1:10" ht="15.75">
      <c r="A15" s="153">
        <f t="shared" si="0"/>
        <v>4</v>
      </c>
      <c r="B15" s="581">
        <v>46113</v>
      </c>
      <c r="C15" s="27">
        <f>'WP 1.2 Forecast Sales - KWH'!F$39</f>
        <v>1247204692.4278147</v>
      </c>
      <c r="D15" s="27">
        <f>'WP 1.2 Forecast Sales - KWH'!F$38</f>
        <v>7568.5555555555557</v>
      </c>
      <c r="E15" s="30">
        <f t="shared" ref="E15:E22" si="2">C15-D15</f>
        <v>1247197123.8722591</v>
      </c>
      <c r="F15" s="28" t="s">
        <v>22</v>
      </c>
      <c r="G15" s="154">
        <f t="shared" si="1"/>
        <v>4</v>
      </c>
      <c r="J15" s="4"/>
    </row>
    <row r="16" spans="1:10" ht="15.75">
      <c r="A16" s="153">
        <f t="shared" si="0"/>
        <v>5</v>
      </c>
      <c r="B16" s="581">
        <v>46143</v>
      </c>
      <c r="C16" s="27">
        <f>'WP 1.2 Forecast Sales - KWH'!G$39</f>
        <v>1232791134.1776881</v>
      </c>
      <c r="D16" s="27">
        <f>'WP 1.2 Forecast Sales - KWH'!G$38</f>
        <v>7568.5555555555557</v>
      </c>
      <c r="E16" s="30">
        <f t="shared" si="2"/>
        <v>1232783565.6221325</v>
      </c>
      <c r="F16" s="28" t="s">
        <v>22</v>
      </c>
      <c r="G16" s="154">
        <f t="shared" si="1"/>
        <v>5</v>
      </c>
      <c r="J16" s="4"/>
    </row>
    <row r="17" spans="1:10" ht="15.75">
      <c r="A17" s="153">
        <f t="shared" si="0"/>
        <v>6</v>
      </c>
      <c r="B17" s="581">
        <v>46174</v>
      </c>
      <c r="C17" s="27">
        <f>'WP 1.2 Forecast Sales - KWH'!H$39</f>
        <v>1295474283.9283555</v>
      </c>
      <c r="D17" s="27">
        <f>'WP 1.2 Forecast Sales - KWH'!H$38</f>
        <v>7568.5555555555557</v>
      </c>
      <c r="E17" s="30">
        <f t="shared" si="2"/>
        <v>1295466715.3727999</v>
      </c>
      <c r="F17" s="28" t="s">
        <v>22</v>
      </c>
      <c r="G17" s="154">
        <f t="shared" si="1"/>
        <v>6</v>
      </c>
      <c r="J17" s="4"/>
    </row>
    <row r="18" spans="1:10" ht="15.75">
      <c r="A18" s="153">
        <f t="shared" si="0"/>
        <v>7</v>
      </c>
      <c r="B18" s="581">
        <v>46204</v>
      </c>
      <c r="C18" s="27">
        <f>'WP 1.2 Forecast Sales - KWH'!I$39</f>
        <v>1509254908.0897021</v>
      </c>
      <c r="D18" s="27">
        <f>'WP 1.2 Forecast Sales - KWH'!I$38</f>
        <v>7568.5555555555557</v>
      </c>
      <c r="E18" s="30">
        <f t="shared" si="2"/>
        <v>1509247339.5341465</v>
      </c>
      <c r="F18" s="28" t="s">
        <v>22</v>
      </c>
      <c r="G18" s="154">
        <f t="shared" si="1"/>
        <v>7</v>
      </c>
      <c r="J18" s="4"/>
    </row>
    <row r="19" spans="1:10" ht="15.75">
      <c r="A19" s="153">
        <f t="shared" si="0"/>
        <v>8</v>
      </c>
      <c r="B19" s="581">
        <v>46235</v>
      </c>
      <c r="C19" s="27">
        <f>'WP 1.2 Forecast Sales - KWH'!J$39</f>
        <v>1698745992.2994561</v>
      </c>
      <c r="D19" s="27">
        <f>'WP 1.2 Forecast Sales - KWH'!J$38</f>
        <v>7568.5555555555557</v>
      </c>
      <c r="E19" s="30">
        <f t="shared" si="2"/>
        <v>1698738423.7439005</v>
      </c>
      <c r="F19" s="28" t="s">
        <v>22</v>
      </c>
      <c r="G19" s="154">
        <f t="shared" si="1"/>
        <v>8</v>
      </c>
      <c r="J19" s="4"/>
    </row>
    <row r="20" spans="1:10" ht="15.75">
      <c r="A20" s="153">
        <f t="shared" si="0"/>
        <v>9</v>
      </c>
      <c r="B20" s="581">
        <v>46266</v>
      </c>
      <c r="C20" s="27">
        <f>'WP 1.2 Forecast Sales - KWH'!K$39</f>
        <v>1817181110.9841051</v>
      </c>
      <c r="D20" s="27">
        <f>'WP 1.2 Forecast Sales - KWH'!K$38</f>
        <v>7568.5555555555557</v>
      </c>
      <c r="E20" s="30">
        <f t="shared" si="2"/>
        <v>1817173542.4285495</v>
      </c>
      <c r="F20" s="28" t="s">
        <v>22</v>
      </c>
      <c r="G20" s="154">
        <f t="shared" si="1"/>
        <v>9</v>
      </c>
      <c r="J20" s="4"/>
    </row>
    <row r="21" spans="1:10" ht="15.75">
      <c r="A21" s="153">
        <f t="shared" si="0"/>
        <v>10</v>
      </c>
      <c r="B21" s="581">
        <v>46296</v>
      </c>
      <c r="C21" s="27">
        <f>'WP 1.2 Forecast Sales - KWH'!L$39</f>
        <v>1540390833.402627</v>
      </c>
      <c r="D21" s="27">
        <f>'WP 1.2 Forecast Sales - KWH'!L$38</f>
        <v>7568.5555555555557</v>
      </c>
      <c r="E21" s="30">
        <f t="shared" si="2"/>
        <v>1540383264.8470714</v>
      </c>
      <c r="F21" s="28" t="s">
        <v>22</v>
      </c>
      <c r="G21" s="154">
        <f t="shared" si="1"/>
        <v>10</v>
      </c>
      <c r="J21" s="4"/>
    </row>
    <row r="22" spans="1:10" ht="15.75">
      <c r="A22" s="153">
        <f t="shared" si="0"/>
        <v>11</v>
      </c>
      <c r="B22" s="581">
        <v>46327</v>
      </c>
      <c r="C22" s="27">
        <f>'WP 1.2 Forecast Sales - KWH'!M$39</f>
        <v>1383763589.9495058</v>
      </c>
      <c r="D22" s="27">
        <f>'WP 1.2 Forecast Sales - KWH'!M$38</f>
        <v>7568.5555555555557</v>
      </c>
      <c r="E22" s="30">
        <f t="shared" si="2"/>
        <v>1383756021.3939502</v>
      </c>
      <c r="F22" s="28" t="s">
        <v>22</v>
      </c>
      <c r="G22" s="154">
        <f t="shared" si="1"/>
        <v>11</v>
      </c>
      <c r="J22" s="4"/>
    </row>
    <row r="23" spans="1:10" ht="15.75">
      <c r="A23" s="153">
        <f t="shared" si="0"/>
        <v>12</v>
      </c>
      <c r="B23" s="581">
        <v>46357</v>
      </c>
      <c r="C23" s="27">
        <f>'WP 1.2 Forecast Sales - KWH'!N$39</f>
        <v>1487362612.09184</v>
      </c>
      <c r="D23" s="27">
        <f>'WP 1.2 Forecast Sales - KWH'!N$38</f>
        <v>7568.5555555555557</v>
      </c>
      <c r="E23" s="30">
        <f>C23-D23</f>
        <v>1487355043.5362844</v>
      </c>
      <c r="F23" s="28" t="s">
        <v>22</v>
      </c>
      <c r="G23" s="154">
        <f t="shared" si="1"/>
        <v>12</v>
      </c>
      <c r="J23" s="4"/>
    </row>
    <row r="24" spans="1:10" ht="15.75">
      <c r="A24" s="153">
        <f t="shared" si="0"/>
        <v>13</v>
      </c>
      <c r="B24" s="121"/>
      <c r="C24" s="87"/>
      <c r="D24" s="87"/>
      <c r="E24" s="29"/>
      <c r="F24" s="28"/>
      <c r="G24" s="154">
        <f t="shared" si="1"/>
        <v>13</v>
      </c>
      <c r="J24" s="4"/>
    </row>
    <row r="25" spans="1:10" ht="15.75">
      <c r="A25" s="153">
        <f t="shared" si="0"/>
        <v>14</v>
      </c>
      <c r="B25" s="20"/>
      <c r="C25" s="30"/>
      <c r="D25" s="30"/>
      <c r="E25" s="30"/>
      <c r="F25" s="28"/>
      <c r="G25" s="154">
        <f t="shared" si="1"/>
        <v>14</v>
      </c>
    </row>
    <row r="26" spans="1:10" ht="16.5" thickBot="1">
      <c r="A26" s="153">
        <f t="shared" si="0"/>
        <v>15</v>
      </c>
      <c r="B26" s="91" t="s">
        <v>18</v>
      </c>
      <c r="C26" s="32">
        <f>SUM(C12:C23)</f>
        <v>17431519658.415051</v>
      </c>
      <c r="D26" s="32">
        <f>SUM(D12:D23)</f>
        <v>90822.666666666686</v>
      </c>
      <c r="E26" s="32">
        <f>SUM(E12:E23)</f>
        <v>17431428835.748386</v>
      </c>
      <c r="F26" s="28" t="s">
        <v>19</v>
      </c>
      <c r="G26" s="154">
        <f t="shared" si="1"/>
        <v>15</v>
      </c>
      <c r="I26" s="4"/>
    </row>
    <row r="27" spans="1:10" ht="17.25" thickTop="1" thickBot="1">
      <c r="A27" s="159"/>
      <c r="B27" s="110"/>
      <c r="C27" s="476"/>
      <c r="D27" s="477"/>
      <c r="E27" s="229"/>
      <c r="F27" s="258"/>
      <c r="G27" s="160"/>
    </row>
    <row r="28" spans="1:10" ht="15.75">
      <c r="A28" s="20"/>
      <c r="B28" s="20"/>
      <c r="C28" s="20"/>
      <c r="D28" s="20"/>
      <c r="E28" s="20"/>
      <c r="F28" s="20"/>
      <c r="G28" s="20"/>
    </row>
    <row r="29" spans="1:10" ht="18.75">
      <c r="A29" s="271">
        <v>1</v>
      </c>
      <c r="B29" s="20" t="s">
        <v>23</v>
      </c>
      <c r="C29" s="20"/>
      <c r="D29" s="20"/>
      <c r="E29" s="34"/>
      <c r="F29" s="34"/>
      <c r="G29" s="20"/>
    </row>
    <row r="30" spans="1:10" ht="18.75">
      <c r="A30" s="271">
        <v>2</v>
      </c>
      <c r="B30" s="20" t="s">
        <v>24</v>
      </c>
      <c r="C30" s="20"/>
      <c r="D30" s="20"/>
      <c r="E30" s="34"/>
      <c r="F30" s="34"/>
      <c r="G30" s="20"/>
    </row>
    <row r="31" spans="1:10" ht="15.75">
      <c r="A31" s="20"/>
      <c r="B31" s="20"/>
      <c r="C31" s="20"/>
      <c r="D31" s="20"/>
      <c r="E31" s="34"/>
      <c r="F31" s="34"/>
      <c r="G31" s="20"/>
    </row>
    <row r="32" spans="1:10" ht="15.75">
      <c r="A32" s="20"/>
      <c r="B32" s="20"/>
      <c r="C32" s="20"/>
      <c r="D32" s="20"/>
      <c r="E32" s="34"/>
      <c r="F32" s="34"/>
      <c r="G32" s="20"/>
    </row>
    <row r="33" spans="1:7" ht="15.75">
      <c r="A33" s="20"/>
      <c r="B33" s="20"/>
      <c r="C33" s="20"/>
      <c r="D33" s="20"/>
      <c r="E33" s="20"/>
      <c r="F33" s="20"/>
      <c r="G33" s="20"/>
    </row>
    <row r="34" spans="1:7" ht="15.75">
      <c r="A34" s="20"/>
      <c r="B34" s="20"/>
      <c r="C34" s="20"/>
      <c r="D34" s="20"/>
      <c r="E34" s="20"/>
      <c r="F34" s="20"/>
      <c r="G34" s="20"/>
    </row>
    <row r="35" spans="1:7" ht="15.75">
      <c r="A35" s="20"/>
      <c r="B35" s="20"/>
      <c r="C35" s="20"/>
      <c r="D35" s="20"/>
      <c r="E35" s="20"/>
      <c r="F35" s="20"/>
      <c r="G35" s="20"/>
    </row>
    <row r="36" spans="1:7" ht="15.75">
      <c r="A36" s="20"/>
      <c r="B36" s="20"/>
      <c r="C36" s="20"/>
      <c r="D36" s="20"/>
      <c r="E36" s="20"/>
      <c r="F36" s="20"/>
      <c r="G36" s="20"/>
    </row>
    <row r="37" spans="1:7" ht="15.75">
      <c r="A37" s="20"/>
      <c r="B37" s="20"/>
      <c r="C37" s="20"/>
      <c r="D37" s="20"/>
      <c r="E37" s="20"/>
      <c r="F37" s="20"/>
      <c r="G37" s="20"/>
    </row>
    <row r="38" spans="1:7" ht="15.75">
      <c r="A38" s="20"/>
      <c r="B38" s="20"/>
      <c r="C38" s="20"/>
      <c r="D38" s="20"/>
      <c r="E38" s="20"/>
      <c r="F38" s="20"/>
      <c r="G38" s="20"/>
    </row>
    <row r="39" spans="1:7" ht="15.75">
      <c r="A39" s="20"/>
      <c r="B39" s="20"/>
      <c r="C39" s="20"/>
      <c r="D39" s="20"/>
      <c r="E39" s="20"/>
      <c r="F39" s="20"/>
      <c r="G39" s="20"/>
    </row>
    <row r="40" spans="1:7" ht="15.75">
      <c r="A40" s="20"/>
      <c r="B40" s="20"/>
      <c r="C40" s="20"/>
      <c r="D40" s="20"/>
      <c r="E40" s="20"/>
      <c r="F40" s="20"/>
      <c r="G40" s="20"/>
    </row>
    <row r="41" spans="1:7" ht="15.75">
      <c r="A41" s="20"/>
      <c r="B41" s="20"/>
      <c r="C41" s="20"/>
      <c r="D41" s="20"/>
      <c r="E41" s="20"/>
      <c r="F41" s="20"/>
      <c r="G41" s="20"/>
    </row>
    <row r="42" spans="1:7" ht="15.75">
      <c r="A42" s="20"/>
      <c r="B42" s="20"/>
      <c r="C42" s="20"/>
      <c r="D42" s="20"/>
      <c r="E42" s="20"/>
      <c r="F42" s="20"/>
      <c r="G42" s="20"/>
    </row>
    <row r="43" spans="1:7" ht="15.75">
      <c r="A43" s="20"/>
      <c r="B43" s="20"/>
      <c r="C43" s="20"/>
      <c r="D43" s="20"/>
      <c r="E43" s="20"/>
      <c r="F43" s="20"/>
      <c r="G43" s="20"/>
    </row>
    <row r="44" spans="1:7" ht="15.75">
      <c r="A44" s="20"/>
      <c r="B44" s="20"/>
      <c r="C44" s="20"/>
      <c r="D44" s="20"/>
      <c r="E44" s="20"/>
      <c r="F44" s="20"/>
      <c r="G44" s="20"/>
    </row>
    <row r="45" spans="1:7" ht="15.75">
      <c r="A45" s="20"/>
      <c r="B45" s="20"/>
      <c r="C45" s="20"/>
      <c r="D45" s="20"/>
      <c r="E45" s="20"/>
      <c r="F45" s="20"/>
      <c r="G45" s="20"/>
    </row>
    <row r="46" spans="1:7" ht="15.75">
      <c r="A46" s="20"/>
      <c r="B46" s="20"/>
      <c r="C46" s="20"/>
      <c r="D46" s="20"/>
      <c r="E46" s="20"/>
      <c r="F46" s="20"/>
      <c r="G46" s="20"/>
    </row>
    <row r="47" spans="1:7" ht="15.75">
      <c r="A47" s="20"/>
      <c r="B47" s="20"/>
      <c r="C47" s="20"/>
      <c r="D47" s="20"/>
      <c r="E47" s="20"/>
      <c r="F47" s="20"/>
      <c r="G47" s="20"/>
    </row>
    <row r="48" spans="1:7" ht="15.75">
      <c r="A48" s="20"/>
      <c r="B48" s="20"/>
      <c r="C48" s="20"/>
      <c r="D48" s="20"/>
      <c r="E48" s="20"/>
      <c r="F48" s="20"/>
      <c r="G48" s="20"/>
    </row>
    <row r="49" spans="1:7" ht="15.75">
      <c r="A49" s="20"/>
      <c r="B49" s="20"/>
      <c r="C49" s="20"/>
      <c r="D49" s="20"/>
      <c r="E49" s="20"/>
      <c r="F49" s="20"/>
      <c r="G49" s="20"/>
    </row>
    <row r="50" spans="1:7" ht="15.75">
      <c r="A50" s="20"/>
      <c r="B50" s="20"/>
      <c r="C50" s="20"/>
      <c r="D50" s="20"/>
      <c r="E50" s="20"/>
      <c r="F50" s="20"/>
      <c r="G50" s="20"/>
    </row>
    <row r="51" spans="1:7" ht="15.75">
      <c r="A51" s="20"/>
      <c r="B51" s="20"/>
      <c r="C51" s="20"/>
      <c r="D51" s="20"/>
      <c r="E51" s="20"/>
      <c r="F51" s="20"/>
      <c r="G51" s="20"/>
    </row>
    <row r="52" spans="1:7" ht="15.75">
      <c r="A52" s="20"/>
      <c r="B52" s="20"/>
      <c r="C52" s="20"/>
      <c r="D52" s="20"/>
      <c r="E52" s="20"/>
      <c r="F52" s="20"/>
      <c r="G52" s="20"/>
    </row>
    <row r="53" spans="1:7" ht="15.75">
      <c r="A53" s="20"/>
      <c r="B53" s="20"/>
      <c r="C53" s="20"/>
      <c r="D53" s="20"/>
      <c r="E53" s="20"/>
      <c r="F53" s="20"/>
      <c r="G53" s="20"/>
    </row>
    <row r="54" spans="1:7" ht="15.75">
      <c r="A54" s="20"/>
      <c r="B54" s="20"/>
      <c r="C54" s="20"/>
      <c r="D54" s="20"/>
      <c r="E54" s="20"/>
      <c r="F54" s="20"/>
      <c r="G54" s="20"/>
    </row>
    <row r="55" spans="1:7" ht="15.75">
      <c r="A55" s="20"/>
      <c r="B55" s="20"/>
      <c r="C55" s="20"/>
      <c r="D55" s="20"/>
      <c r="E55" s="20"/>
      <c r="F55" s="20"/>
      <c r="G55" s="20"/>
    </row>
    <row r="56" spans="1:7" ht="15.75">
      <c r="A56" s="20"/>
      <c r="B56" s="20"/>
      <c r="C56" s="20"/>
      <c r="D56" s="20"/>
      <c r="E56" s="20"/>
      <c r="F56" s="20"/>
      <c r="G56" s="20"/>
    </row>
    <row r="57" spans="1:7" ht="15.75">
      <c r="A57" s="20"/>
      <c r="B57" s="20"/>
      <c r="C57" s="20"/>
      <c r="D57" s="20"/>
      <c r="E57" s="20"/>
      <c r="F57" s="20"/>
      <c r="G57" s="20"/>
    </row>
    <row r="58" spans="1:7" ht="15.75">
      <c r="A58" s="20"/>
      <c r="B58" s="20"/>
      <c r="C58" s="20"/>
      <c r="D58" s="20"/>
      <c r="E58" s="20"/>
      <c r="F58" s="20"/>
      <c r="G58" s="20"/>
    </row>
    <row r="59" spans="1:7" ht="15.75">
      <c r="A59" s="20"/>
      <c r="B59" s="20"/>
      <c r="C59" s="20"/>
      <c r="D59" s="20"/>
      <c r="E59" s="20"/>
      <c r="F59" s="20"/>
      <c r="G59" s="20"/>
    </row>
    <row r="60" spans="1:7" ht="15.75">
      <c r="A60" s="20"/>
      <c r="B60" s="20"/>
      <c r="C60" s="20"/>
      <c r="D60" s="20"/>
      <c r="E60" s="20"/>
      <c r="F60" s="20"/>
      <c r="G60" s="20"/>
    </row>
  </sheetData>
  <phoneticPr fontId="12" type="noConversion"/>
  <printOptions horizontalCentered="1"/>
  <pageMargins left="0.25" right="0.25" top="0.5" bottom="0.5" header="0.25" footer="0.25"/>
  <pageSetup scale="97"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8"/>
  <sheetViews>
    <sheetView zoomScaleNormal="100" workbookViewId="0">
      <selection activeCell="R60" sqref="R60"/>
    </sheetView>
  </sheetViews>
  <sheetFormatPr defaultColWidth="8.7109375" defaultRowHeight="12.75"/>
  <cols>
    <col min="1" max="1" width="4.28515625" bestFit="1" customWidth="1"/>
    <col min="2" max="2" width="22.5703125" customWidth="1"/>
    <col min="3" max="3" width="18.5703125" customWidth="1"/>
    <col min="4" max="4" width="24.42578125" bestFit="1" customWidth="1"/>
    <col min="5" max="5" width="17.42578125" bestFit="1" customWidth="1"/>
    <col min="6" max="6" width="16.42578125" bestFit="1" customWidth="1"/>
    <col min="7" max="7" width="22.5703125" customWidth="1"/>
    <col min="8" max="8" width="21.42578125" bestFit="1" customWidth="1"/>
    <col min="9" max="9" width="4.28515625" bestFit="1" customWidth="1"/>
    <col min="10" max="10" width="2.42578125" bestFit="1" customWidth="1"/>
  </cols>
  <sheetData>
    <row r="1" spans="1:10" ht="17.25" thickBot="1">
      <c r="B1" s="746"/>
      <c r="C1" s="746"/>
      <c r="D1" s="746"/>
      <c r="E1" s="746"/>
      <c r="F1" s="746"/>
      <c r="G1" s="746"/>
      <c r="H1" s="746"/>
    </row>
    <row r="2" spans="1:10" ht="15">
      <c r="A2" s="429"/>
      <c r="B2" s="430" t="s">
        <v>293</v>
      </c>
      <c r="C2" s="747" t="s">
        <v>294</v>
      </c>
      <c r="D2" s="749" t="s">
        <v>295</v>
      </c>
      <c r="E2" s="749" t="s">
        <v>296</v>
      </c>
      <c r="F2" s="749" t="s">
        <v>297</v>
      </c>
      <c r="G2" s="751" t="s">
        <v>298</v>
      </c>
      <c r="H2" s="751" t="s">
        <v>299</v>
      </c>
      <c r="I2" s="431"/>
    </row>
    <row r="3" spans="1:10">
      <c r="A3" s="432"/>
      <c r="C3" s="748"/>
      <c r="D3" s="750"/>
      <c r="E3" s="750"/>
      <c r="F3" s="750"/>
      <c r="G3" s="752"/>
      <c r="H3" s="752"/>
      <c r="I3" s="433"/>
    </row>
    <row r="4" spans="1:10" ht="12.75" customHeight="1">
      <c r="A4" s="432"/>
      <c r="C4" s="748"/>
      <c r="D4" s="750"/>
      <c r="E4" s="750"/>
      <c r="F4" s="750"/>
      <c r="G4" s="752"/>
      <c r="H4" s="752"/>
      <c r="I4" s="433"/>
    </row>
    <row r="5" spans="1:10" ht="15">
      <c r="A5" s="432"/>
      <c r="B5" s="434"/>
      <c r="C5" s="748"/>
      <c r="D5" s="750"/>
      <c r="E5" s="750"/>
      <c r="F5" s="750"/>
      <c r="G5" s="752"/>
      <c r="H5" s="752"/>
      <c r="I5" s="433"/>
    </row>
    <row r="6" spans="1:10">
      <c r="A6" s="432"/>
      <c r="C6" s="435" t="s">
        <v>300</v>
      </c>
      <c r="D6" s="250" t="s">
        <v>301</v>
      </c>
      <c r="E6" s="436" t="s">
        <v>302</v>
      </c>
      <c r="F6" s="436" t="s">
        <v>302</v>
      </c>
      <c r="G6" s="437" t="s">
        <v>300</v>
      </c>
      <c r="H6" s="437" t="s">
        <v>300</v>
      </c>
      <c r="I6" s="433"/>
    </row>
    <row r="7" spans="1:10">
      <c r="A7" s="438" t="s">
        <v>8</v>
      </c>
      <c r="B7" s="231"/>
      <c r="C7" s="689">
        <v>1</v>
      </c>
      <c r="D7" s="689">
        <f>C7+1</f>
        <v>2</v>
      </c>
      <c r="E7" s="689">
        <f>D7+1</f>
        <v>3</v>
      </c>
      <c r="F7" s="689">
        <f>E7+1</f>
        <v>4</v>
      </c>
      <c r="G7" s="689">
        <f>F7+1</f>
        <v>5</v>
      </c>
      <c r="H7" s="689">
        <f>G7+1</f>
        <v>6</v>
      </c>
      <c r="I7" s="439" t="s">
        <v>8</v>
      </c>
    </row>
    <row r="8" spans="1:10" ht="15">
      <c r="A8" s="440" t="s">
        <v>303</v>
      </c>
      <c r="B8" s="441"/>
      <c r="C8" s="690"/>
      <c r="D8" s="691"/>
      <c r="E8" s="692" t="str">
        <f>"= ["&amp;C7&amp;"] / ["&amp;D7&amp;"]"</f>
        <v>= [1] / [2]</v>
      </c>
      <c r="F8" s="692" t="str">
        <f>"= total ["&amp;C7&amp;"]/total ["&amp;D7&amp;"]"</f>
        <v>= total [1]/total [2]</v>
      </c>
      <c r="G8" s="692" t="str">
        <f>"= (["&amp;D7&amp;"]) * ["&amp;F7&amp;"]"</f>
        <v>= ([2]) * [4]</v>
      </c>
      <c r="H8" s="692" t="str">
        <f>"= ([5] - [1]"</f>
        <v>= ([5] - [1]</v>
      </c>
      <c r="I8" s="427" t="s">
        <v>303</v>
      </c>
    </row>
    <row r="9" spans="1:10">
      <c r="A9" s="442">
        <v>1</v>
      </c>
      <c r="B9" t="s">
        <v>304</v>
      </c>
      <c r="C9" s="443">
        <f>'WP 5.1 CAISO PTO HVTRR Input'!D10</f>
        <v>843621273</v>
      </c>
      <c r="D9" s="444">
        <f>'WP 5.1 CAISO PTO HVTRR Input'!D12</f>
        <v>90057312.995000005</v>
      </c>
      <c r="E9" s="445">
        <f t="shared" ref="E9:E20" si="0">IF(ISNUMBER(C9/D9),(C9/D9),0)</f>
        <v>9.3676043060138596</v>
      </c>
      <c r="F9" s="445">
        <f>IF(ISNUMBER($C$33/$D$33),($C$33/$D$33))</f>
        <v>15.544648522292489</v>
      </c>
      <c r="G9" s="446">
        <f>D9*F9</f>
        <v>1399909277.369359</v>
      </c>
      <c r="H9" s="447">
        <f>G9-C9</f>
        <v>556288004.36935902</v>
      </c>
      <c r="I9" s="448">
        <f>A9</f>
        <v>1</v>
      </c>
    </row>
    <row r="10" spans="1:10">
      <c r="A10" s="442">
        <f>A9+1</f>
        <v>2</v>
      </c>
      <c r="B10" t="s">
        <v>305</v>
      </c>
      <c r="C10" s="443">
        <f>'WP 5.1 CAISO PTO HVTRR Input'!D20</f>
        <v>1229139100</v>
      </c>
      <c r="D10" s="444">
        <f>'WP 5.1 CAISO PTO HVTRR Input'!D22</f>
        <v>89178800</v>
      </c>
      <c r="E10" s="445">
        <f t="shared" si="0"/>
        <v>13.782862070357529</v>
      </c>
      <c r="F10" s="445">
        <f t="shared" ref="F10:F32" si="1">IF(ISNUMBER($C$33/$D$33),($C$33/$D$33))</f>
        <v>15.544648522292489</v>
      </c>
      <c r="G10" s="446">
        <f t="shared" ref="G10:G27" si="2">D10*F10</f>
        <v>1386253101.6398175</v>
      </c>
      <c r="H10" s="447">
        <f>G10-C10</f>
        <v>157114001.63981748</v>
      </c>
      <c r="I10" s="448">
        <f t="shared" ref="I10:I34" si="3">A10</f>
        <v>2</v>
      </c>
    </row>
    <row r="11" spans="1:10">
      <c r="A11" s="442">
        <f t="shared" ref="A11:A34" si="4">A10+1</f>
        <v>3</v>
      </c>
      <c r="B11" s="635" t="s">
        <v>306</v>
      </c>
      <c r="C11" s="636">
        <f>'WP 5.1 CAISO PTO HVTRR Input'!D30</f>
        <v>547603533</v>
      </c>
      <c r="D11" s="637">
        <f>'WP 5.1 CAISO PTO HVTRR Input'!D32</f>
        <v>18113269</v>
      </c>
      <c r="E11" s="638">
        <f t="shared" si="0"/>
        <v>30.232175815420177</v>
      </c>
      <c r="F11" s="638">
        <f t="shared" si="1"/>
        <v>15.544648522292489</v>
      </c>
      <c r="G11" s="639">
        <f t="shared" si="2"/>
        <v>281564400.19473636</v>
      </c>
      <c r="H11" s="640">
        <f t="shared" ref="H11:H27" si="5">G11-C11</f>
        <v>-266039132.80526364</v>
      </c>
      <c r="I11" s="448">
        <f t="shared" si="3"/>
        <v>3</v>
      </c>
      <c r="J11" s="449"/>
    </row>
    <row r="12" spans="1:10">
      <c r="A12" s="442">
        <f t="shared" si="4"/>
        <v>4</v>
      </c>
      <c r="B12" t="s">
        <v>307</v>
      </c>
      <c r="C12" s="443">
        <f>'WP 5.1 CAISO PTO HVTRR Input'!D50</f>
        <v>31384412</v>
      </c>
      <c r="D12" s="444">
        <f>'WP 5.1 CAISO PTO HVTRR Input'!D52</f>
        <v>2202042</v>
      </c>
      <c r="E12" s="445">
        <f t="shared" si="0"/>
        <v>14.252412987581527</v>
      </c>
      <c r="F12" s="445">
        <f t="shared" si="1"/>
        <v>15.544648522292489</v>
      </c>
      <c r="G12" s="446">
        <f t="shared" si="2"/>
        <v>34229968.921325997</v>
      </c>
      <c r="H12" s="447">
        <f t="shared" si="5"/>
        <v>2845556.9213259965</v>
      </c>
      <c r="I12" s="448">
        <f t="shared" si="3"/>
        <v>4</v>
      </c>
    </row>
    <row r="13" spans="1:10">
      <c r="A13" s="442">
        <f t="shared" si="4"/>
        <v>5</v>
      </c>
      <c r="B13" t="s">
        <v>308</v>
      </c>
      <c r="C13" s="443">
        <f>'WP 5.1 CAISO PTO HVTRR Input'!D60</f>
        <v>1061634</v>
      </c>
      <c r="D13" s="444">
        <f>'WP 5.1 CAISO PTO HVTRR Input'!D62</f>
        <v>257416</v>
      </c>
      <c r="E13" s="445">
        <f t="shared" si="0"/>
        <v>4.1241958541815587</v>
      </c>
      <c r="F13" s="445">
        <f t="shared" si="1"/>
        <v>15.544648522292489</v>
      </c>
      <c r="G13" s="446">
        <f t="shared" si="2"/>
        <v>4001441.2440144434</v>
      </c>
      <c r="H13" s="447">
        <f t="shared" si="5"/>
        <v>2939807.2440144434</v>
      </c>
      <c r="I13" s="448">
        <f t="shared" si="3"/>
        <v>5</v>
      </c>
    </row>
    <row r="14" spans="1:10">
      <c r="A14" s="442">
        <f t="shared" si="4"/>
        <v>6</v>
      </c>
      <c r="B14" t="s">
        <v>309</v>
      </c>
      <c r="C14" s="443">
        <f>'WP 5.1 CAISO PTO HVTRR Input'!D70</f>
        <v>691188</v>
      </c>
      <c r="D14" s="444">
        <f>'WP 5.1 CAISO PTO HVTRR Input'!D72</f>
        <v>144652</v>
      </c>
      <c r="E14" s="445">
        <f t="shared" si="0"/>
        <v>4.7782816691093108</v>
      </c>
      <c r="F14" s="445">
        <f t="shared" si="1"/>
        <v>15.544648522292489</v>
      </c>
      <c r="G14" s="446">
        <f t="shared" si="2"/>
        <v>2248564.4980466529</v>
      </c>
      <c r="H14" s="447">
        <f t="shared" si="5"/>
        <v>1557376.4980466529</v>
      </c>
      <c r="I14" s="448">
        <f t="shared" si="3"/>
        <v>6</v>
      </c>
    </row>
    <row r="15" spans="1:10">
      <c r="A15" s="442">
        <f t="shared" si="4"/>
        <v>7</v>
      </c>
      <c r="B15" t="s">
        <v>310</v>
      </c>
      <c r="C15" s="443">
        <f>'WP 5.1 CAISO PTO HVTRR Input'!D80</f>
        <v>15403546</v>
      </c>
      <c r="D15" s="444">
        <f>'WP 5.1 CAISO PTO HVTRR Input'!D82</f>
        <v>1065579</v>
      </c>
      <c r="E15" s="445">
        <f t="shared" si="0"/>
        <v>14.455564533460212</v>
      </c>
      <c r="F15" s="445">
        <f t="shared" si="1"/>
        <v>15.544648522292489</v>
      </c>
      <c r="G15" s="446">
        <f t="shared" si="2"/>
        <v>16564051.027735908</v>
      </c>
      <c r="H15" s="447">
        <f t="shared" si="5"/>
        <v>1160505.0277359076</v>
      </c>
      <c r="I15" s="448">
        <f t="shared" si="3"/>
        <v>7</v>
      </c>
    </row>
    <row r="16" spans="1:10">
      <c r="A16" s="442">
        <f t="shared" si="4"/>
        <v>8</v>
      </c>
      <c r="B16" t="s">
        <v>311</v>
      </c>
      <c r="C16" s="443">
        <f>'WP 5.1 CAISO PTO HVTRR Input'!D90</f>
        <v>24271266</v>
      </c>
      <c r="D16" s="444">
        <f>'WP 5.1 CAISO PTO HVTRR Input'!D92</f>
        <v>2180985</v>
      </c>
      <c r="E16" s="445">
        <f t="shared" si="0"/>
        <v>11.128579976478518</v>
      </c>
      <c r="F16" s="445">
        <f t="shared" si="1"/>
        <v>15.544648522292489</v>
      </c>
      <c r="G16" s="446">
        <f t="shared" si="2"/>
        <v>33902645.257392086</v>
      </c>
      <c r="H16" s="447">
        <f t="shared" si="5"/>
        <v>9631379.2573920861</v>
      </c>
      <c r="I16" s="448">
        <f t="shared" si="3"/>
        <v>8</v>
      </c>
    </row>
    <row r="17" spans="1:9">
      <c r="A17" s="442">
        <f t="shared" si="4"/>
        <v>9</v>
      </c>
      <c r="B17" t="s">
        <v>312</v>
      </c>
      <c r="C17" s="443">
        <f>'WP 5.1 CAISO PTO HVTRR Input'!D40</f>
        <v>0</v>
      </c>
      <c r="D17" s="444">
        <f>'WP 5.1 CAISO PTO HVTRR Input'!D42</f>
        <v>0</v>
      </c>
      <c r="E17" s="445">
        <f t="shared" si="0"/>
        <v>0</v>
      </c>
      <c r="F17" s="445">
        <f t="shared" si="1"/>
        <v>15.544648522292489</v>
      </c>
      <c r="G17" s="704">
        <f t="shared" si="2"/>
        <v>0</v>
      </c>
      <c r="H17" s="447">
        <f t="shared" si="5"/>
        <v>0</v>
      </c>
      <c r="I17" s="448">
        <f t="shared" si="3"/>
        <v>9</v>
      </c>
    </row>
    <row r="18" spans="1:9">
      <c r="A18" s="442">
        <f t="shared" si="4"/>
        <v>10</v>
      </c>
      <c r="B18" t="s">
        <v>313</v>
      </c>
      <c r="C18" s="443">
        <f>'WP 5.1 CAISO PTO HVTRR Input'!D100</f>
        <v>26450443</v>
      </c>
      <c r="D18" s="444">
        <f>'WP 5.1 CAISO PTO HVTRR Input'!D102</f>
        <v>0</v>
      </c>
      <c r="E18" s="445">
        <f t="shared" si="0"/>
        <v>0</v>
      </c>
      <c r="F18" s="445">
        <f t="shared" si="1"/>
        <v>15.544648522292489</v>
      </c>
      <c r="G18" s="704">
        <f t="shared" si="2"/>
        <v>0</v>
      </c>
      <c r="H18" s="447">
        <f t="shared" si="5"/>
        <v>-26450443</v>
      </c>
      <c r="I18" s="448">
        <f t="shared" si="3"/>
        <v>10</v>
      </c>
    </row>
    <row r="19" spans="1:9">
      <c r="A19" s="442">
        <f t="shared" si="4"/>
        <v>11</v>
      </c>
      <c r="B19" t="s">
        <v>314</v>
      </c>
      <c r="C19" s="443">
        <f>'WP 5.1 CAISO PTO HVTRR Input'!D110</f>
        <v>3954493</v>
      </c>
      <c r="D19" s="444">
        <f>'WP 5.1 CAISO PTO HVTRR Input'!D112</f>
        <v>0</v>
      </c>
      <c r="E19" s="445">
        <f t="shared" si="0"/>
        <v>0</v>
      </c>
      <c r="F19" s="445">
        <f t="shared" si="1"/>
        <v>15.544648522292489</v>
      </c>
      <c r="G19" s="704">
        <f t="shared" si="2"/>
        <v>0</v>
      </c>
      <c r="H19" s="447">
        <f t="shared" si="5"/>
        <v>-3954493</v>
      </c>
      <c r="I19" s="448">
        <f t="shared" si="3"/>
        <v>11</v>
      </c>
    </row>
    <row r="20" spans="1:9">
      <c r="A20" s="442">
        <f t="shared" si="4"/>
        <v>12</v>
      </c>
      <c r="B20" t="s">
        <v>315</v>
      </c>
      <c r="C20" s="443">
        <f>'WP 5.1 CAISO PTO HVTRR Input'!D120</f>
        <v>134119544</v>
      </c>
      <c r="D20" s="444">
        <f>'WP 5.1 CAISO PTO HVTRR Input'!D122</f>
        <v>0</v>
      </c>
      <c r="E20" s="445">
        <f t="shared" si="0"/>
        <v>0</v>
      </c>
      <c r="F20" s="445">
        <f t="shared" si="1"/>
        <v>15.544648522292489</v>
      </c>
      <c r="G20" s="704">
        <f t="shared" si="2"/>
        <v>0</v>
      </c>
      <c r="H20" s="447">
        <f t="shared" si="5"/>
        <v>-134119544</v>
      </c>
      <c r="I20" s="448">
        <f t="shared" si="3"/>
        <v>12</v>
      </c>
    </row>
    <row r="21" spans="1:9">
      <c r="A21" s="442">
        <f t="shared" si="4"/>
        <v>13</v>
      </c>
      <c r="B21" t="s">
        <v>316</v>
      </c>
      <c r="C21" s="443">
        <f>'WP 5.1 CAISO PTO HVTRR Input'!D130</f>
        <v>16177461</v>
      </c>
      <c r="D21" s="444">
        <f>'WP 5.1 CAISO PTO HVTRR Input'!D132</f>
        <v>0</v>
      </c>
      <c r="E21" s="445">
        <f t="shared" ref="E21:E26" si="6">IF(ISNUMBER(C21/D21),(C21/D21),0)</f>
        <v>0</v>
      </c>
      <c r="F21" s="445">
        <f t="shared" si="1"/>
        <v>15.544648522292489</v>
      </c>
      <c r="G21" s="704">
        <f t="shared" si="2"/>
        <v>0</v>
      </c>
      <c r="H21" s="447">
        <f t="shared" si="5"/>
        <v>-16177461</v>
      </c>
      <c r="I21" s="448">
        <f t="shared" si="3"/>
        <v>13</v>
      </c>
    </row>
    <row r="22" spans="1:9">
      <c r="A22" s="442">
        <f t="shared" si="4"/>
        <v>14</v>
      </c>
      <c r="B22" t="s">
        <v>317</v>
      </c>
      <c r="C22" s="443">
        <f>'WP 5.1 CAISO PTO HVTRR Input'!D140</f>
        <v>1130775</v>
      </c>
      <c r="D22" s="444">
        <f>'WP 5.1 CAISO PTO HVTRR Input'!D142</f>
        <v>372179</v>
      </c>
      <c r="E22" s="445">
        <f t="shared" si="6"/>
        <v>3.0382557855225576</v>
      </c>
      <c r="F22" s="445">
        <f t="shared" si="1"/>
        <v>15.544648522292489</v>
      </c>
      <c r="G22" s="446">
        <f t="shared" si="2"/>
        <v>5785391.7423782963</v>
      </c>
      <c r="H22" s="447">
        <f t="shared" si="5"/>
        <v>4654616.7423782963</v>
      </c>
      <c r="I22" s="448">
        <f t="shared" si="3"/>
        <v>14</v>
      </c>
    </row>
    <row r="23" spans="1:9">
      <c r="A23" s="442">
        <f t="shared" si="4"/>
        <v>15</v>
      </c>
      <c r="B23" t="s">
        <v>318</v>
      </c>
      <c r="C23" s="443">
        <f>'WP 5.1 CAISO PTO HVTRR Input'!D150</f>
        <v>0</v>
      </c>
      <c r="D23" s="444">
        <f>'WP 5.1 CAISO PTO HVTRR Input'!D152</f>
        <v>544970</v>
      </c>
      <c r="E23" s="445">
        <f t="shared" si="6"/>
        <v>0</v>
      </c>
      <c r="F23" s="445">
        <f t="shared" si="1"/>
        <v>15.544648522292489</v>
      </c>
      <c r="G23" s="446">
        <f t="shared" si="2"/>
        <v>8471367.1051937379</v>
      </c>
      <c r="H23" s="447">
        <f t="shared" si="5"/>
        <v>8471367.1051937379</v>
      </c>
      <c r="I23" s="448">
        <f t="shared" si="3"/>
        <v>15</v>
      </c>
    </row>
    <row r="24" spans="1:9">
      <c r="A24" s="442">
        <f t="shared" si="4"/>
        <v>16</v>
      </c>
      <c r="B24" t="s">
        <v>319</v>
      </c>
      <c r="C24" s="443">
        <f>'WP 5.1 CAISO PTO HVTRR Input'!D160</f>
        <v>96736548</v>
      </c>
      <c r="D24" s="444">
        <f>'WP 5.1 CAISO PTO HVTRR Input'!D162</f>
        <v>0</v>
      </c>
      <c r="E24" s="445">
        <f t="shared" si="6"/>
        <v>0</v>
      </c>
      <c r="F24" s="445">
        <f t="shared" si="1"/>
        <v>15.544648522292489</v>
      </c>
      <c r="G24" s="704">
        <f t="shared" si="2"/>
        <v>0</v>
      </c>
      <c r="H24" s="447">
        <f t="shared" si="5"/>
        <v>-96736548</v>
      </c>
      <c r="I24" s="448">
        <f t="shared" si="3"/>
        <v>16</v>
      </c>
    </row>
    <row r="25" spans="1:9">
      <c r="A25" s="442">
        <f t="shared" si="4"/>
        <v>17</v>
      </c>
      <c r="B25" t="s">
        <v>320</v>
      </c>
      <c r="C25" s="443">
        <f>'WP 5.1 CAISO PTO HVTRR Input'!D170</f>
        <v>0</v>
      </c>
      <c r="D25" s="444">
        <f>'WP 5.1 CAISO PTO HVTRR Input'!D172</f>
        <v>0</v>
      </c>
      <c r="E25" s="445">
        <f t="shared" si="6"/>
        <v>0</v>
      </c>
      <c r="F25" s="445">
        <f t="shared" si="1"/>
        <v>15.544648522292489</v>
      </c>
      <c r="G25" s="704">
        <f t="shared" si="2"/>
        <v>0</v>
      </c>
      <c r="H25" s="447">
        <f t="shared" si="5"/>
        <v>0</v>
      </c>
      <c r="I25" s="448">
        <f t="shared" si="3"/>
        <v>17</v>
      </c>
    </row>
    <row r="26" spans="1:9">
      <c r="A26" s="442">
        <f t="shared" si="4"/>
        <v>18</v>
      </c>
      <c r="B26" t="s">
        <v>321</v>
      </c>
      <c r="C26" s="443">
        <f>'WP 5.1 CAISO PTO HVTRR Input'!D180</f>
        <v>4604776</v>
      </c>
      <c r="D26" s="444">
        <f>'WP 5.1 CAISO PTO HVTRR Input'!D182</f>
        <v>0</v>
      </c>
      <c r="E26" s="445">
        <f t="shared" si="6"/>
        <v>0</v>
      </c>
      <c r="F26" s="445">
        <f t="shared" si="1"/>
        <v>15.544648522292489</v>
      </c>
      <c r="G26" s="704">
        <f t="shared" si="2"/>
        <v>0</v>
      </c>
      <c r="H26" s="447">
        <f t="shared" si="5"/>
        <v>-4604776</v>
      </c>
      <c r="I26" s="448">
        <f t="shared" si="3"/>
        <v>18</v>
      </c>
    </row>
    <row r="27" spans="1:9">
      <c r="A27" s="442">
        <f t="shared" si="4"/>
        <v>19</v>
      </c>
      <c r="B27" t="s">
        <v>322</v>
      </c>
      <c r="C27" s="443">
        <f>'WP 5.1 CAISO PTO HVTRR Input'!D190</f>
        <v>25912534</v>
      </c>
      <c r="D27" s="444">
        <f>'WP 5.1 CAISO PTO HVTRR Input'!D192</f>
        <v>0</v>
      </c>
      <c r="E27" s="445">
        <f t="shared" ref="E27" si="7">IF(ISNUMBER(C27/D27),(C27/D27),0)</f>
        <v>0</v>
      </c>
      <c r="F27" s="445">
        <f t="shared" si="1"/>
        <v>15.544648522292489</v>
      </c>
      <c r="G27" s="704">
        <f t="shared" si="2"/>
        <v>0</v>
      </c>
      <c r="H27" s="447">
        <f t="shared" si="5"/>
        <v>-25912534</v>
      </c>
      <c r="I27" s="448">
        <f t="shared" si="3"/>
        <v>19</v>
      </c>
    </row>
    <row r="28" spans="1:9">
      <c r="A28" s="442">
        <f t="shared" si="4"/>
        <v>20</v>
      </c>
      <c r="B28" t="s">
        <v>323</v>
      </c>
      <c r="C28" s="443">
        <f>'WP 5.1 CAISO PTO HVTRR Input'!D200</f>
        <v>23464362</v>
      </c>
      <c r="D28" s="444">
        <f>'WP 5.1 CAISO PTO HVTRR Input'!D202</f>
        <v>0</v>
      </c>
      <c r="E28" s="445">
        <f t="shared" ref="E28" si="8">IF(ISNUMBER(C28/D28),(C28/D28),0)</f>
        <v>0</v>
      </c>
      <c r="F28" s="445">
        <f t="shared" si="1"/>
        <v>15.544648522292489</v>
      </c>
      <c r="G28" s="704">
        <f t="shared" ref="G28" si="9">D28*F28</f>
        <v>0</v>
      </c>
      <c r="H28" s="447">
        <f t="shared" ref="H28" si="10">G28-C28</f>
        <v>-23464362</v>
      </c>
      <c r="I28" s="448">
        <f t="shared" si="3"/>
        <v>20</v>
      </c>
    </row>
    <row r="29" spans="1:9">
      <c r="A29" s="442">
        <f t="shared" si="4"/>
        <v>21</v>
      </c>
      <c r="B29" t="s">
        <v>324</v>
      </c>
      <c r="C29" s="443">
        <f>'WP 5.1 CAISO PTO HVTRR Input'!D210</f>
        <v>48058599</v>
      </c>
      <c r="D29" s="444">
        <f>'WP 5.1 CAISO PTO HVTRR Input'!D212</f>
        <v>0</v>
      </c>
      <c r="E29" s="445">
        <f t="shared" ref="E29:E31" si="11">IF(ISNUMBER(C29/D29),(C29/D29),0)</f>
        <v>0</v>
      </c>
      <c r="F29" s="445">
        <f t="shared" si="1"/>
        <v>15.544648522292489</v>
      </c>
      <c r="G29" s="704">
        <f t="shared" ref="G29:G31" si="12">D29*F29</f>
        <v>0</v>
      </c>
      <c r="H29" s="447">
        <f t="shared" ref="H29:H31" si="13">G29-C29</f>
        <v>-48058599</v>
      </c>
      <c r="I29" s="448">
        <f t="shared" si="3"/>
        <v>21</v>
      </c>
    </row>
    <row r="30" spans="1:9">
      <c r="A30" s="442">
        <f t="shared" si="4"/>
        <v>22</v>
      </c>
      <c r="B30" s="231" t="s">
        <v>354</v>
      </c>
      <c r="C30" s="443">
        <f>'WP 5.1 CAISO PTO HVTRR Input'!D220</f>
        <v>80083667</v>
      </c>
      <c r="D30" s="444">
        <f>'WP 5.1 CAISO PTO HVTRR Input'!D222</f>
        <v>0</v>
      </c>
      <c r="E30" s="445">
        <f t="shared" si="11"/>
        <v>0</v>
      </c>
      <c r="F30" s="445">
        <f t="shared" si="1"/>
        <v>15.544648522292489</v>
      </c>
      <c r="G30" s="704">
        <f t="shared" si="12"/>
        <v>0</v>
      </c>
      <c r="H30" s="447">
        <f t="shared" si="13"/>
        <v>-80083667</v>
      </c>
      <c r="I30" s="448">
        <f t="shared" si="3"/>
        <v>22</v>
      </c>
    </row>
    <row r="31" spans="1:9">
      <c r="A31" s="442">
        <f t="shared" si="4"/>
        <v>23</v>
      </c>
      <c r="B31" s="231" t="s">
        <v>356</v>
      </c>
      <c r="C31" s="443">
        <f>'WP 5.1 CAISO PTO HVTRR Input'!D230</f>
        <v>5153116</v>
      </c>
      <c r="D31" s="444">
        <f>'WP 5.1 CAISO PTO HVTRR Input'!D232</f>
        <v>0</v>
      </c>
      <c r="E31" s="445">
        <f t="shared" si="11"/>
        <v>0</v>
      </c>
      <c r="F31" s="445">
        <f t="shared" si="1"/>
        <v>15.544648522292489</v>
      </c>
      <c r="G31" s="704">
        <f t="shared" si="12"/>
        <v>0</v>
      </c>
      <c r="H31" s="447">
        <f t="shared" si="13"/>
        <v>-5153116</v>
      </c>
      <c r="I31" s="448">
        <f t="shared" si="3"/>
        <v>23</v>
      </c>
    </row>
    <row r="32" spans="1:9">
      <c r="A32" s="442">
        <f t="shared" si="4"/>
        <v>24</v>
      </c>
      <c r="B32" s="231" t="s">
        <v>388</v>
      </c>
      <c r="C32" s="443">
        <f>'WP 5.1 CAISO PTO HVTRR Input'!D240</f>
        <v>13907939</v>
      </c>
      <c r="D32" s="444">
        <f>'WP 5.1 CAISO PTO HVTRR Input'!D242</f>
        <v>0</v>
      </c>
      <c r="E32" s="445">
        <f t="shared" ref="E32" si="14">IF(ISNUMBER(C32/D32),(C32/D32),0)</f>
        <v>0</v>
      </c>
      <c r="F32" s="445">
        <f t="shared" si="1"/>
        <v>15.544648522292489</v>
      </c>
      <c r="G32" s="704">
        <f t="shared" ref="G32" si="15">D32*F32</f>
        <v>0</v>
      </c>
      <c r="H32" s="447">
        <f t="shared" ref="H32" si="16">G32-C32</f>
        <v>-13907939</v>
      </c>
      <c r="I32" s="448">
        <f t="shared" si="3"/>
        <v>24</v>
      </c>
    </row>
    <row r="33" spans="1:9" ht="13.5" thickBot="1">
      <c r="A33" s="442">
        <f t="shared" si="4"/>
        <v>25</v>
      </c>
      <c r="B33" s="450" t="s">
        <v>325</v>
      </c>
      <c r="C33" s="451">
        <f>SUM(C9:C32)</f>
        <v>3172930209</v>
      </c>
      <c r="D33" s="452">
        <f>SUM(D9:D32)</f>
        <v>204117204.995</v>
      </c>
      <c r="E33" s="453"/>
      <c r="F33" s="453"/>
      <c r="G33" s="454">
        <f>SUM(G9:G32)</f>
        <v>3172930208.9999995</v>
      </c>
      <c r="H33" s="455">
        <f>SUM(H9:H32)</f>
        <v>-5.9604644775390625E-8</v>
      </c>
      <c r="I33" s="448">
        <f t="shared" si="3"/>
        <v>25</v>
      </c>
    </row>
    <row r="34" spans="1:9" ht="14.25" thickTop="1" thickBot="1">
      <c r="A34" s="456">
        <f t="shared" si="4"/>
        <v>26</v>
      </c>
      <c r="B34" s="457"/>
      <c r="C34" s="457"/>
      <c r="D34" s="457"/>
      <c r="E34" s="457"/>
      <c r="F34" s="457"/>
      <c r="G34" s="457"/>
      <c r="H34" s="457"/>
      <c r="I34" s="458">
        <f t="shared" si="3"/>
        <v>26</v>
      </c>
    </row>
    <row r="36" spans="1:9" ht="20.25">
      <c r="B36" s="459"/>
      <c r="C36" s="459"/>
      <c r="D36" s="459"/>
      <c r="E36" s="459"/>
      <c r="F36" s="459"/>
      <c r="G36" s="459"/>
      <c r="H36" s="459"/>
    </row>
    <row r="38" spans="1:9">
      <c r="B38" s="231"/>
      <c r="C38" s="460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89" orientation="landscape" r:id="rId1"/>
  <headerFooter alignWithMargins="0">
    <oddHeader>&amp;C&amp;"Times New Roman,Bold"&amp;12San Diego Gas &amp;&amp; Electric Co.
January 1, 2026&amp;KFF0000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59"/>
  <sheetViews>
    <sheetView zoomScaleNormal="100" workbookViewId="0">
      <selection activeCell="K15" sqref="K15"/>
    </sheetView>
  </sheetViews>
  <sheetFormatPr defaultColWidth="9.42578125" defaultRowHeight="14.25"/>
  <cols>
    <col min="1" max="1" width="3.28515625" style="233" customWidth="1"/>
    <col min="2" max="2" width="4.28515625" style="324" customWidth="1"/>
    <col min="3" max="3" width="25" style="233" customWidth="1"/>
    <col min="4" max="5" width="17" style="233" bestFit="1" customWidth="1"/>
    <col min="6" max="7" width="20.5703125" style="233" bestFit="1" customWidth="1"/>
    <col min="8" max="8" width="9.42578125" style="233"/>
    <col min="9" max="9" width="12.5703125" style="233" bestFit="1" customWidth="1"/>
    <col min="10" max="10" width="12.42578125" style="233" bestFit="1" customWidth="1"/>
    <col min="11" max="11" width="12.5703125" style="233" bestFit="1" customWidth="1"/>
    <col min="12" max="16384" width="9.42578125" style="233"/>
  </cols>
  <sheetData>
    <row r="2" spans="2:8" ht="18">
      <c r="B2" s="783" t="s">
        <v>326</v>
      </c>
      <c r="C2" s="783"/>
      <c r="D2" s="783"/>
      <c r="E2" s="783"/>
      <c r="F2" s="783"/>
      <c r="H2" s="634"/>
    </row>
    <row r="3" spans="2:8" s="316" customFormat="1" ht="18">
      <c r="B3" s="783" t="s">
        <v>357</v>
      </c>
      <c r="C3" s="783"/>
      <c r="D3" s="783"/>
      <c r="E3" s="783"/>
      <c r="F3" s="783"/>
      <c r="G3" s="317"/>
    </row>
    <row r="4" spans="2:8" s="316" customFormat="1" ht="18.75" thickBot="1">
      <c r="B4" s="644"/>
      <c r="C4" s="644"/>
      <c r="D4" s="644"/>
      <c r="E4" s="644"/>
      <c r="F4" s="644"/>
      <c r="G4" s="317"/>
    </row>
    <row r="5" spans="2:8" s="318" customFormat="1" ht="15.75" thickBot="1">
      <c r="B5" s="784" t="s">
        <v>327</v>
      </c>
      <c r="C5" s="784"/>
      <c r="D5" s="784"/>
      <c r="E5" s="784"/>
      <c r="F5" s="543" t="s">
        <v>328</v>
      </c>
    </row>
    <row r="6" spans="2:8" s="319" customFormat="1" ht="36" customHeight="1">
      <c r="B6" s="544" t="s">
        <v>329</v>
      </c>
      <c r="C6" s="545"/>
      <c r="D6" s="546" t="s">
        <v>330</v>
      </c>
      <c r="E6" s="547" t="s">
        <v>331</v>
      </c>
      <c r="F6" s="548" t="s">
        <v>332</v>
      </c>
    </row>
    <row r="7" spans="2:8" s="320" customFormat="1">
      <c r="B7" s="785" t="s">
        <v>304</v>
      </c>
      <c r="C7" s="321" t="s">
        <v>333</v>
      </c>
      <c r="D7" s="657">
        <v>918998610</v>
      </c>
      <c r="E7" s="658">
        <v>1670340521</v>
      </c>
      <c r="F7" s="659">
        <f>+D7+E7</f>
        <v>2589339131</v>
      </c>
    </row>
    <row r="8" spans="2:8">
      <c r="B8" s="774"/>
      <c r="C8" s="322" t="s">
        <v>334</v>
      </c>
      <c r="D8" s="660">
        <v>-72266228</v>
      </c>
      <c r="E8" s="576">
        <v>-48763800</v>
      </c>
      <c r="F8" s="661">
        <f>+D8+E8</f>
        <v>-121030028</v>
      </c>
    </row>
    <row r="9" spans="2:8">
      <c r="B9" s="774"/>
      <c r="C9" s="322" t="s">
        <v>335</v>
      </c>
      <c r="D9" s="660">
        <v>-3111109</v>
      </c>
      <c r="E9" s="576">
        <v>-5408828</v>
      </c>
      <c r="F9" s="659">
        <f>+D9+E9</f>
        <v>-8519937</v>
      </c>
    </row>
    <row r="10" spans="2:8">
      <c r="B10" s="774"/>
      <c r="C10" s="322" t="s">
        <v>18</v>
      </c>
      <c r="D10" s="660">
        <f>SUM(D7:D9)</f>
        <v>843621273</v>
      </c>
      <c r="E10" s="576">
        <f>SUM(E7:E9)</f>
        <v>1616167893</v>
      </c>
      <c r="F10" s="661">
        <f>+D10+E10</f>
        <v>2459789166</v>
      </c>
    </row>
    <row r="11" spans="2:8">
      <c r="B11" s="774"/>
      <c r="C11" s="322"/>
      <c r="D11" s="322"/>
      <c r="F11" s="662"/>
    </row>
    <row r="12" spans="2:8">
      <c r="B12" s="774"/>
      <c r="C12" s="322" t="s">
        <v>336</v>
      </c>
      <c r="D12" s="660">
        <v>90057312.995000005</v>
      </c>
      <c r="E12" s="576">
        <f>D12</f>
        <v>90057312.995000005</v>
      </c>
      <c r="F12" s="661">
        <f>(+D12+E12)/2</f>
        <v>90057312.995000005</v>
      </c>
    </row>
    <row r="13" spans="2:8">
      <c r="B13" s="774"/>
      <c r="C13" s="322"/>
      <c r="D13" s="322"/>
      <c r="F13" s="662"/>
    </row>
    <row r="14" spans="2:8" ht="28.5">
      <c r="B14" s="774"/>
      <c r="C14" s="323" t="s">
        <v>337</v>
      </c>
      <c r="D14" s="663">
        <f>IF((D10/D12)&gt;0,D10/D12,0)</f>
        <v>9.3676043060138596</v>
      </c>
      <c r="E14" s="664">
        <f>IF((E10/E12)&gt;0,E10/E12,0)</f>
        <v>17.945992826698369</v>
      </c>
      <c r="F14" s="665">
        <f>IF(AND(ISNUMBER(F10/F12),NOT(ISERROR((F10/F12)&gt;0))),F10/F12,0)</f>
        <v>27.313597132712228</v>
      </c>
    </row>
    <row r="15" spans="2:8">
      <c r="B15" s="774"/>
      <c r="C15" s="234" t="s">
        <v>338</v>
      </c>
      <c r="D15" s="787" t="s">
        <v>358</v>
      </c>
      <c r="E15" s="788"/>
      <c r="F15" s="707"/>
    </row>
    <row r="16" spans="2:8" ht="15" thickBot="1">
      <c r="B16" s="775"/>
      <c r="C16" s="541" t="s">
        <v>339</v>
      </c>
      <c r="D16" s="777" t="s">
        <v>359</v>
      </c>
      <c r="E16" s="786"/>
      <c r="F16" s="542"/>
    </row>
    <row r="17" spans="2:6" s="231" customFormat="1">
      <c r="B17" s="760" t="s">
        <v>305</v>
      </c>
      <c r="C17" s="577" t="s">
        <v>333</v>
      </c>
      <c r="D17" s="666">
        <v>1410997143</v>
      </c>
      <c r="E17" s="667">
        <v>64996106</v>
      </c>
      <c r="F17" s="668">
        <f>+D17+E17</f>
        <v>1475993249</v>
      </c>
    </row>
    <row r="18" spans="2:6" s="231" customFormat="1">
      <c r="B18" s="774"/>
      <c r="C18" s="322" t="s">
        <v>334</v>
      </c>
      <c r="D18" s="660">
        <v>-170897388</v>
      </c>
      <c r="E18" s="576">
        <v>-1040797</v>
      </c>
      <c r="F18" s="669">
        <f>+D18+E18</f>
        <v>-171938185</v>
      </c>
    </row>
    <row r="19" spans="2:6" s="231" customFormat="1">
      <c r="B19" s="774"/>
      <c r="C19" s="322" t="s">
        <v>335</v>
      </c>
      <c r="D19" s="660">
        <v>-10960655</v>
      </c>
      <c r="E19" s="576">
        <v>-504891</v>
      </c>
      <c r="F19" s="661">
        <f>+D19+E19</f>
        <v>-11465546</v>
      </c>
    </row>
    <row r="20" spans="2:6" s="231" customFormat="1">
      <c r="B20" s="774"/>
      <c r="C20" s="322" t="s">
        <v>18</v>
      </c>
      <c r="D20" s="660">
        <f>SUM(D17:D19)</f>
        <v>1229139100</v>
      </c>
      <c r="E20" s="576">
        <f>SUM(E17:E19)</f>
        <v>63450418</v>
      </c>
      <c r="F20" s="661">
        <f>+D20+E20</f>
        <v>1292589518</v>
      </c>
    </row>
    <row r="21" spans="2:6" s="231" customFormat="1">
      <c r="B21" s="774"/>
      <c r="C21" s="322"/>
      <c r="D21" s="322"/>
      <c r="E21" s="233"/>
      <c r="F21" s="662"/>
    </row>
    <row r="22" spans="2:6" s="231" customFormat="1">
      <c r="B22" s="774"/>
      <c r="C22" s="322" t="s">
        <v>336</v>
      </c>
      <c r="D22" s="660">
        <v>89178800</v>
      </c>
      <c r="E22" s="576">
        <f>D22</f>
        <v>89178800</v>
      </c>
      <c r="F22" s="661">
        <f>(+D22+E22)/2</f>
        <v>89178800</v>
      </c>
    </row>
    <row r="23" spans="2:6" s="231" customFormat="1">
      <c r="B23" s="774"/>
      <c r="C23" s="322"/>
      <c r="D23" s="322"/>
      <c r="E23" s="233"/>
      <c r="F23" s="662"/>
    </row>
    <row r="24" spans="2:6" s="231" customFormat="1" ht="28.5">
      <c r="B24" s="774"/>
      <c r="C24" s="578" t="s">
        <v>337</v>
      </c>
      <c r="D24" s="663">
        <f>IF((D20/D22)&gt;0,D20/D22,0)</f>
        <v>13.782862070357529</v>
      </c>
      <c r="E24" s="664">
        <f>IF((E20/E22)&gt;0,E20/E22,0)</f>
        <v>0.71149665615594737</v>
      </c>
      <c r="F24" s="665">
        <f>IF(AND(ISNUMBER(F20/F22),NOT(ISERROR((F20/F22)&gt;0))),F20/F22,0)</f>
        <v>14.494358726513477</v>
      </c>
    </row>
    <row r="25" spans="2:6" ht="13.9" customHeight="1">
      <c r="B25" s="774"/>
      <c r="C25" s="234" t="s">
        <v>338</v>
      </c>
      <c r="D25" s="787" t="s">
        <v>360</v>
      </c>
      <c r="E25" s="788"/>
      <c r="F25" s="311"/>
    </row>
    <row r="26" spans="2:6" ht="15" thickBot="1">
      <c r="B26" s="775"/>
      <c r="C26" s="541" t="s">
        <v>339</v>
      </c>
      <c r="D26" s="777" t="s">
        <v>361</v>
      </c>
      <c r="E26" s="778"/>
      <c r="F26" s="542"/>
    </row>
    <row r="27" spans="2:6" s="231" customFormat="1">
      <c r="B27" s="760" t="s">
        <v>306</v>
      </c>
      <c r="C27" s="540" t="s">
        <v>333</v>
      </c>
      <c r="D27" s="666">
        <v>600630733</v>
      </c>
      <c r="E27" s="670">
        <v>715946011</v>
      </c>
      <c r="F27" s="671">
        <f>+D27+E27</f>
        <v>1316576744</v>
      </c>
    </row>
    <row r="28" spans="2:6" s="231" customFormat="1">
      <c r="B28" s="774"/>
      <c r="C28" s="397" t="s">
        <v>334</v>
      </c>
      <c r="D28" s="660">
        <v>-46829826</v>
      </c>
      <c r="E28" s="672">
        <v>-3686431</v>
      </c>
      <c r="F28" s="661">
        <f>+D28+E28</f>
        <v>-50516257</v>
      </c>
    </row>
    <row r="29" spans="2:6" s="231" customFormat="1">
      <c r="B29" s="774"/>
      <c r="C29" s="397" t="s">
        <v>335</v>
      </c>
      <c r="D29" s="660">
        <v>-6197374</v>
      </c>
      <c r="E29" s="672">
        <v>-6599354</v>
      </c>
      <c r="F29" s="661">
        <f>+D29+E29</f>
        <v>-12796728</v>
      </c>
    </row>
    <row r="30" spans="2:6" s="231" customFormat="1">
      <c r="B30" s="774"/>
      <c r="C30" s="397" t="s">
        <v>18</v>
      </c>
      <c r="D30" s="660">
        <f>SUM(D27:D29)</f>
        <v>547603533</v>
      </c>
      <c r="E30" s="576">
        <f>SUM(E27:E29)</f>
        <v>705660226</v>
      </c>
      <c r="F30" s="661">
        <f>+D30+E30</f>
        <v>1253263759</v>
      </c>
    </row>
    <row r="31" spans="2:6" s="231" customFormat="1">
      <c r="B31" s="774"/>
      <c r="C31" s="397"/>
      <c r="D31" s="322"/>
      <c r="E31" s="233"/>
      <c r="F31" s="662"/>
    </row>
    <row r="32" spans="2:6" s="231" customFormat="1">
      <c r="B32" s="774"/>
      <c r="C32" s="397" t="s">
        <v>336</v>
      </c>
      <c r="D32" s="660">
        <v>18113269</v>
      </c>
      <c r="E32" s="576">
        <f>D32</f>
        <v>18113269</v>
      </c>
      <c r="F32" s="661">
        <f>(+D32+E32)/2</f>
        <v>18113269</v>
      </c>
    </row>
    <row r="33" spans="2:11" s="231" customFormat="1">
      <c r="B33" s="774"/>
      <c r="C33" s="397"/>
      <c r="D33" s="322"/>
      <c r="E33" s="233"/>
      <c r="F33" s="662"/>
    </row>
    <row r="34" spans="2:11" s="231" customFormat="1" ht="28.5">
      <c r="B34" s="774"/>
      <c r="C34" s="398" t="s">
        <v>337</v>
      </c>
      <c r="D34" s="663">
        <f>IF((D30/D32)&gt;0,D30/D32,0)</f>
        <v>30.232175815420177</v>
      </c>
      <c r="E34" s="664">
        <f>IF((E30/E32)&gt;0,E30/E32,0)</f>
        <v>38.958192803297955</v>
      </c>
      <c r="F34" s="665">
        <f>IF(AND(ISNUMBER(F30/F32),NOT(ISERROR((F30/F32)&gt;0))),F30/F32,0)</f>
        <v>69.190368618718139</v>
      </c>
    </row>
    <row r="35" spans="2:11">
      <c r="B35" s="774"/>
      <c r="C35" s="234" t="s">
        <v>338</v>
      </c>
      <c r="D35" s="787" t="s">
        <v>360</v>
      </c>
      <c r="E35" s="790"/>
      <c r="F35" s="311"/>
    </row>
    <row r="36" spans="2:11" ht="15" thickBot="1">
      <c r="B36" s="775"/>
      <c r="C36" s="541" t="s">
        <v>339</v>
      </c>
      <c r="D36" s="777" t="s">
        <v>362</v>
      </c>
      <c r="E36" s="789"/>
      <c r="F36" s="542"/>
    </row>
    <row r="37" spans="2:11">
      <c r="B37" s="760" t="s">
        <v>312</v>
      </c>
      <c r="C37" s="540" t="s">
        <v>333</v>
      </c>
      <c r="D37" s="673">
        <v>0</v>
      </c>
      <c r="E37" s="674"/>
      <c r="F37" s="668">
        <f>+D37+E37</f>
        <v>0</v>
      </c>
      <c r="I37" s="576"/>
      <c r="J37" s="576"/>
      <c r="K37" s="576"/>
    </row>
    <row r="38" spans="2:11">
      <c r="B38" s="774"/>
      <c r="C38" s="397" t="s">
        <v>334</v>
      </c>
      <c r="D38" s="675">
        <v>0</v>
      </c>
      <c r="E38" s="676"/>
      <c r="F38" s="661">
        <f>+D38+E38</f>
        <v>0</v>
      </c>
    </row>
    <row r="39" spans="2:11">
      <c r="B39" s="774"/>
      <c r="C39" s="397" t="s">
        <v>335</v>
      </c>
      <c r="D39" s="675">
        <v>0</v>
      </c>
      <c r="E39" s="676"/>
      <c r="F39" s="661">
        <f>+D39+E39</f>
        <v>0</v>
      </c>
    </row>
    <row r="40" spans="2:11">
      <c r="B40" s="774"/>
      <c r="C40" s="397" t="s">
        <v>18</v>
      </c>
      <c r="D40" s="675">
        <f>SUM(D37:D39)</f>
        <v>0</v>
      </c>
      <c r="E40" s="676"/>
      <c r="F40" s="661">
        <f>+D40+E40</f>
        <v>0</v>
      </c>
    </row>
    <row r="41" spans="2:11">
      <c r="B41" s="774"/>
      <c r="C41" s="397"/>
      <c r="D41" s="675"/>
      <c r="E41" s="676"/>
      <c r="F41" s="662"/>
    </row>
    <row r="42" spans="2:11">
      <c r="B42" s="774"/>
      <c r="C42" s="397" t="s">
        <v>336</v>
      </c>
      <c r="D42" s="660">
        <v>0</v>
      </c>
      <c r="E42" s="576"/>
      <c r="F42" s="661">
        <f>+D42</f>
        <v>0</v>
      </c>
    </row>
    <row r="43" spans="2:11">
      <c r="B43" s="774"/>
      <c r="C43" s="397"/>
      <c r="D43" s="322"/>
      <c r="F43" s="662"/>
    </row>
    <row r="44" spans="2:11" ht="28.5">
      <c r="B44" s="774"/>
      <c r="C44" s="398" t="s">
        <v>337</v>
      </c>
      <c r="D44" s="663">
        <f>IFERROR(((D40/D42)&gt;(D40/D42)),0)</f>
        <v>0</v>
      </c>
      <c r="E44" s="664"/>
      <c r="F44" s="665">
        <f>IF(AND(ISNUMBER(F40/F42),NOT(ISERROR((F40/F42)&gt;0))),F40/F42,0)</f>
        <v>0</v>
      </c>
    </row>
    <row r="45" spans="2:11">
      <c r="B45" s="774"/>
      <c r="C45" s="579" t="s">
        <v>338</v>
      </c>
      <c r="D45" s="772" t="s">
        <v>346</v>
      </c>
      <c r="E45" s="773"/>
      <c r="F45" s="311"/>
    </row>
    <row r="46" spans="2:11" ht="15" thickBot="1">
      <c r="B46" s="775"/>
      <c r="C46" s="541" t="s">
        <v>339</v>
      </c>
      <c r="D46" s="777" t="s">
        <v>346</v>
      </c>
      <c r="E46" s="789"/>
      <c r="F46" s="542"/>
    </row>
    <row r="47" spans="2:11">
      <c r="B47" s="760" t="s">
        <v>307</v>
      </c>
      <c r="C47" s="540" t="s">
        <v>333</v>
      </c>
      <c r="D47" s="673">
        <v>32200000</v>
      </c>
      <c r="E47" s="674"/>
      <c r="F47" s="668">
        <f>+D47+E47</f>
        <v>32200000</v>
      </c>
    </row>
    <row r="48" spans="2:11">
      <c r="B48" s="774"/>
      <c r="C48" s="397" t="s">
        <v>334</v>
      </c>
      <c r="D48" s="675">
        <v>-815588</v>
      </c>
      <c r="E48" s="676"/>
      <c r="F48" s="661">
        <f>+D48+E48</f>
        <v>-815588</v>
      </c>
    </row>
    <row r="49" spans="2:6">
      <c r="B49" s="774"/>
      <c r="C49" s="397" t="s">
        <v>335</v>
      </c>
      <c r="D49" s="675">
        <v>0</v>
      </c>
      <c r="E49" s="676"/>
      <c r="F49" s="661">
        <f>+D49+E49</f>
        <v>0</v>
      </c>
    </row>
    <row r="50" spans="2:6">
      <c r="B50" s="774"/>
      <c r="C50" s="397" t="s">
        <v>18</v>
      </c>
      <c r="D50" s="675">
        <f>SUM(D47:D49)</f>
        <v>31384412</v>
      </c>
      <c r="E50" s="676"/>
      <c r="F50" s="661">
        <f>+D50+E50</f>
        <v>31384412</v>
      </c>
    </row>
    <row r="51" spans="2:6">
      <c r="B51" s="774"/>
      <c r="C51" s="397"/>
      <c r="D51" s="675"/>
      <c r="E51" s="676"/>
      <c r="F51" s="662"/>
    </row>
    <row r="52" spans="2:6">
      <c r="B52" s="774"/>
      <c r="C52" s="397" t="s">
        <v>336</v>
      </c>
      <c r="D52" s="660">
        <v>2202042</v>
      </c>
      <c r="E52" s="576"/>
      <c r="F52" s="661">
        <f>+D52</f>
        <v>2202042</v>
      </c>
    </row>
    <row r="53" spans="2:6">
      <c r="B53" s="774"/>
      <c r="C53" s="397"/>
      <c r="D53" s="322"/>
      <c r="F53" s="662"/>
    </row>
    <row r="54" spans="2:6" ht="28.5">
      <c r="B54" s="774"/>
      <c r="C54" s="398" t="s">
        <v>337</v>
      </c>
      <c r="D54" s="663">
        <f>IF((D50/D52)&gt;0,D50/D52,0)</f>
        <v>14.252412987581527</v>
      </c>
      <c r="E54" s="664"/>
      <c r="F54" s="665">
        <f>IF(AND(ISNUMBER(F50/F52),NOT(ISERROR((F50/F52)&gt;0))),F50/F52,0)</f>
        <v>14.252412987581527</v>
      </c>
    </row>
    <row r="55" spans="2:6">
      <c r="B55" s="774"/>
      <c r="C55" s="234" t="s">
        <v>338</v>
      </c>
      <c r="D55" s="772" t="s">
        <v>340</v>
      </c>
      <c r="E55" s="773"/>
      <c r="F55" s="311"/>
    </row>
    <row r="56" spans="2:6" ht="15" thickBot="1">
      <c r="B56" s="775"/>
      <c r="C56" s="541" t="s">
        <v>339</v>
      </c>
      <c r="D56" s="777" t="s">
        <v>363</v>
      </c>
      <c r="E56" s="789"/>
      <c r="F56" s="542"/>
    </row>
    <row r="57" spans="2:6">
      <c r="B57" s="760" t="s">
        <v>308</v>
      </c>
      <c r="C57" s="540" t="s">
        <v>333</v>
      </c>
      <c r="D57" s="701">
        <v>1066676</v>
      </c>
      <c r="E57" s="674"/>
      <c r="F57" s="668">
        <f>+D57+E57</f>
        <v>1066676</v>
      </c>
    </row>
    <row r="58" spans="2:6">
      <c r="B58" s="774"/>
      <c r="C58" s="397" t="s">
        <v>334</v>
      </c>
      <c r="D58" s="677">
        <v>-5042</v>
      </c>
      <c r="E58" s="676"/>
      <c r="F58" s="661">
        <f>+D58+E58</f>
        <v>-5042</v>
      </c>
    </row>
    <row r="59" spans="2:6">
      <c r="B59" s="774"/>
      <c r="C59" s="397" t="s">
        <v>335</v>
      </c>
      <c r="D59" s="675">
        <v>0</v>
      </c>
      <c r="E59" s="676"/>
      <c r="F59" s="661">
        <f>+D59+E59</f>
        <v>0</v>
      </c>
    </row>
    <row r="60" spans="2:6">
      <c r="B60" s="774"/>
      <c r="C60" s="397" t="s">
        <v>18</v>
      </c>
      <c r="D60" s="675">
        <f>SUM(D57:D59)</f>
        <v>1061634</v>
      </c>
      <c r="E60" s="676"/>
      <c r="F60" s="661">
        <f>+D60+E60</f>
        <v>1061634</v>
      </c>
    </row>
    <row r="61" spans="2:6">
      <c r="B61" s="774"/>
      <c r="C61" s="397"/>
      <c r="D61" s="675"/>
      <c r="E61" s="676"/>
      <c r="F61" s="662"/>
    </row>
    <row r="62" spans="2:6">
      <c r="B62" s="774"/>
      <c r="C62" s="397" t="s">
        <v>336</v>
      </c>
      <c r="D62" s="660">
        <v>257416</v>
      </c>
      <c r="E62" s="576"/>
      <c r="F62" s="661">
        <f>+D62</f>
        <v>257416</v>
      </c>
    </row>
    <row r="63" spans="2:6">
      <c r="B63" s="774"/>
      <c r="C63" s="397"/>
      <c r="D63" s="322"/>
      <c r="F63" s="662"/>
    </row>
    <row r="64" spans="2:6" ht="28.5">
      <c r="B64" s="774"/>
      <c r="C64" s="398" t="s">
        <v>337</v>
      </c>
      <c r="D64" s="663">
        <f>IF((D60/D62)&gt;0,D60/D62,0)</f>
        <v>4.1241958541815587</v>
      </c>
      <c r="E64" s="664"/>
      <c r="F64" s="665">
        <f>IF(AND(ISNUMBER(F60/F62),NOT(ISERROR((F60/F62)&gt;0))),F60/F62,0)</f>
        <v>4.1241958541815587</v>
      </c>
    </row>
    <row r="65" spans="2:6">
      <c r="B65" s="774"/>
      <c r="C65" s="234" t="s">
        <v>338</v>
      </c>
      <c r="D65" s="772" t="s">
        <v>364</v>
      </c>
      <c r="E65" s="773"/>
      <c r="F65" s="311"/>
    </row>
    <row r="66" spans="2:6" ht="15" thickBot="1">
      <c r="B66" s="775"/>
      <c r="C66" s="541" t="s">
        <v>339</v>
      </c>
      <c r="D66" s="777" t="s">
        <v>364</v>
      </c>
      <c r="E66" s="789"/>
      <c r="F66" s="542"/>
    </row>
    <row r="67" spans="2:6">
      <c r="B67" s="760" t="s">
        <v>309</v>
      </c>
      <c r="C67" s="540" t="s">
        <v>333</v>
      </c>
      <c r="D67" s="673">
        <v>729511</v>
      </c>
      <c r="E67" s="667">
        <v>0</v>
      </c>
      <c r="F67" s="668">
        <f>+D67+E67</f>
        <v>729511</v>
      </c>
    </row>
    <row r="68" spans="2:6">
      <c r="B68" s="774"/>
      <c r="C68" s="397" t="s">
        <v>334</v>
      </c>
      <c r="D68" s="675">
        <v>-38323</v>
      </c>
      <c r="E68" s="576">
        <v>0</v>
      </c>
      <c r="F68" s="661">
        <f>+D68+E68</f>
        <v>-38323</v>
      </c>
    </row>
    <row r="69" spans="2:6">
      <c r="B69" s="774"/>
      <c r="C69" s="397" t="s">
        <v>335</v>
      </c>
      <c r="D69" s="675">
        <v>0</v>
      </c>
      <c r="E69" s="576">
        <v>0</v>
      </c>
      <c r="F69" s="661">
        <f>+D69+E69</f>
        <v>0</v>
      </c>
    </row>
    <row r="70" spans="2:6">
      <c r="B70" s="774"/>
      <c r="C70" s="397" t="s">
        <v>18</v>
      </c>
      <c r="D70" s="675">
        <f>SUM(D67:D69)</f>
        <v>691188</v>
      </c>
      <c r="E70" s="576">
        <f>SUM(E67:E69)</f>
        <v>0</v>
      </c>
      <c r="F70" s="661">
        <f>+D70+E70</f>
        <v>691188</v>
      </c>
    </row>
    <row r="71" spans="2:6">
      <c r="B71" s="774"/>
      <c r="C71" s="397"/>
      <c r="D71" s="675"/>
      <c r="F71" s="662"/>
    </row>
    <row r="72" spans="2:6">
      <c r="B72" s="774"/>
      <c r="C72" s="397" t="s">
        <v>336</v>
      </c>
      <c r="D72" s="660">
        <v>144652</v>
      </c>
      <c r="E72" s="576">
        <f>D72</f>
        <v>144652</v>
      </c>
      <c r="F72" s="661">
        <f>+D72</f>
        <v>144652</v>
      </c>
    </row>
    <row r="73" spans="2:6">
      <c r="B73" s="774"/>
      <c r="C73" s="397"/>
      <c r="D73" s="322"/>
      <c r="F73" s="662"/>
    </row>
    <row r="74" spans="2:6" ht="28.5">
      <c r="B74" s="774"/>
      <c r="C74" s="398" t="s">
        <v>337</v>
      </c>
      <c r="D74" s="663">
        <f>IF((D70/D72)&gt;0,D70/D72,0)</f>
        <v>4.7782816691093108</v>
      </c>
      <c r="E74" s="664">
        <f>IF((E70/E72)&gt;0,E70/E72,0)</f>
        <v>0</v>
      </c>
      <c r="F74" s="665">
        <f>IF(AND(ISNUMBER(F70/F72),NOT(ISERROR((F70/F72)&gt;0))),F70/F72,0)</f>
        <v>4.7782816691093108</v>
      </c>
    </row>
    <row r="75" spans="2:6">
      <c r="B75" s="774"/>
      <c r="C75" s="234" t="s">
        <v>338</v>
      </c>
      <c r="D75" s="772" t="s">
        <v>365</v>
      </c>
      <c r="E75" s="776"/>
      <c r="F75" s="311"/>
    </row>
    <row r="76" spans="2:6" ht="15" thickBot="1">
      <c r="B76" s="775"/>
      <c r="C76" s="541" t="s">
        <v>339</v>
      </c>
      <c r="D76" s="777" t="s">
        <v>365</v>
      </c>
      <c r="E76" s="778"/>
      <c r="F76" s="542"/>
    </row>
    <row r="77" spans="2:6">
      <c r="B77" s="760" t="s">
        <v>310</v>
      </c>
      <c r="C77" s="540" t="s">
        <v>333</v>
      </c>
      <c r="D77" s="673">
        <v>16138550</v>
      </c>
      <c r="E77" s="674"/>
      <c r="F77" s="668">
        <f>+D77+E77</f>
        <v>16138550</v>
      </c>
    </row>
    <row r="78" spans="2:6">
      <c r="B78" s="774"/>
      <c r="C78" s="397" t="s">
        <v>334</v>
      </c>
      <c r="D78" s="675">
        <v>-735004</v>
      </c>
      <c r="E78" s="676"/>
      <c r="F78" s="661">
        <f>+D78+E78</f>
        <v>-735004</v>
      </c>
    </row>
    <row r="79" spans="2:6">
      <c r="B79" s="774"/>
      <c r="C79" s="397" t="s">
        <v>335</v>
      </c>
      <c r="D79" s="675">
        <v>0</v>
      </c>
      <c r="E79" s="676"/>
      <c r="F79" s="661">
        <f>+D79+E79</f>
        <v>0</v>
      </c>
    </row>
    <row r="80" spans="2:6">
      <c r="B80" s="774"/>
      <c r="C80" s="397" t="s">
        <v>18</v>
      </c>
      <c r="D80" s="675">
        <f>SUM(D77:D79)</f>
        <v>15403546</v>
      </c>
      <c r="E80" s="676"/>
      <c r="F80" s="661">
        <f>+D80+E80</f>
        <v>15403546</v>
      </c>
    </row>
    <row r="81" spans="2:6">
      <c r="B81" s="774"/>
      <c r="C81" s="397"/>
      <c r="D81" s="675"/>
      <c r="E81" s="676"/>
      <c r="F81" s="662"/>
    </row>
    <row r="82" spans="2:6">
      <c r="B82" s="774"/>
      <c r="C82" s="397" t="s">
        <v>336</v>
      </c>
      <c r="D82" s="660">
        <v>1065579</v>
      </c>
      <c r="E82" s="576"/>
      <c r="F82" s="661">
        <f>+D82</f>
        <v>1065579</v>
      </c>
    </row>
    <row r="83" spans="2:6">
      <c r="B83" s="774"/>
      <c r="C83" s="397"/>
      <c r="D83" s="322"/>
      <c r="F83" s="662"/>
    </row>
    <row r="84" spans="2:6" ht="28.5">
      <c r="B84" s="774"/>
      <c r="C84" s="398" t="s">
        <v>337</v>
      </c>
      <c r="D84" s="663">
        <f>IF((D80/D82)&gt;0,D80/D82,0)</f>
        <v>14.455564533460212</v>
      </c>
      <c r="E84" s="664"/>
      <c r="F84" s="665">
        <f>IF(AND(ISNUMBER(F80/F82),NOT(ISERROR((F80/F82)&gt;0))),F80/F82,0)</f>
        <v>14.455564533460212</v>
      </c>
    </row>
    <row r="85" spans="2:6">
      <c r="B85" s="774"/>
      <c r="C85" s="234" t="s">
        <v>338</v>
      </c>
      <c r="D85" s="772" t="s">
        <v>350</v>
      </c>
      <c r="E85" s="776"/>
      <c r="F85" s="311"/>
    </row>
    <row r="86" spans="2:6" ht="15" thickBot="1">
      <c r="B86" s="775"/>
      <c r="C86" s="541" t="s">
        <v>339</v>
      </c>
      <c r="D86" s="777" t="s">
        <v>366</v>
      </c>
      <c r="E86" s="778"/>
      <c r="F86" s="542"/>
    </row>
    <row r="87" spans="2:6">
      <c r="B87" s="760" t="s">
        <v>311</v>
      </c>
      <c r="C87" s="540" t="s">
        <v>333</v>
      </c>
      <c r="D87" s="673">
        <v>25165197</v>
      </c>
      <c r="E87" s="674"/>
      <c r="F87" s="668">
        <f>+D87+E87</f>
        <v>25165197</v>
      </c>
    </row>
    <row r="88" spans="2:6">
      <c r="B88" s="774"/>
      <c r="C88" s="397" t="s">
        <v>334</v>
      </c>
      <c r="D88" s="675">
        <v>-893931</v>
      </c>
      <c r="E88" s="676"/>
      <c r="F88" s="661">
        <f>+D88+E88</f>
        <v>-893931</v>
      </c>
    </row>
    <row r="89" spans="2:6">
      <c r="B89" s="774"/>
      <c r="C89" s="397" t="s">
        <v>335</v>
      </c>
      <c r="D89" s="675">
        <v>0</v>
      </c>
      <c r="E89" s="676"/>
      <c r="F89" s="661">
        <f>+D89+E89</f>
        <v>0</v>
      </c>
    </row>
    <row r="90" spans="2:6">
      <c r="B90" s="774"/>
      <c r="C90" s="397" t="s">
        <v>18</v>
      </c>
      <c r="D90" s="675">
        <f>SUM(D87:D89)</f>
        <v>24271266</v>
      </c>
      <c r="E90" s="676"/>
      <c r="F90" s="661">
        <f>+D90+E90</f>
        <v>24271266</v>
      </c>
    </row>
    <row r="91" spans="2:6">
      <c r="B91" s="774"/>
      <c r="C91" s="397"/>
      <c r="D91" s="675"/>
      <c r="E91" s="676"/>
      <c r="F91" s="662"/>
    </row>
    <row r="92" spans="2:6">
      <c r="B92" s="774"/>
      <c r="C92" s="397" t="s">
        <v>336</v>
      </c>
      <c r="D92" s="660">
        <v>2180985</v>
      </c>
      <c r="E92" s="576"/>
      <c r="F92" s="661">
        <f>+D92</f>
        <v>2180985</v>
      </c>
    </row>
    <row r="93" spans="2:6">
      <c r="B93" s="774"/>
      <c r="C93" s="397"/>
      <c r="D93" s="322"/>
      <c r="F93" s="662"/>
    </row>
    <row r="94" spans="2:6" ht="28.5">
      <c r="B94" s="774"/>
      <c r="C94" s="398" t="s">
        <v>337</v>
      </c>
      <c r="D94" s="663">
        <f>IF((D90/D92)&gt;0,D90/D92,0)</f>
        <v>11.128579976478518</v>
      </c>
      <c r="E94" s="664"/>
      <c r="F94" s="665">
        <f>IF(AND(ISNUMBER(F90/F92),NOT(ISERROR((F90/F92)&gt;0))),F90/F92,0)</f>
        <v>11.128579976478518</v>
      </c>
    </row>
    <row r="95" spans="2:6">
      <c r="B95" s="774"/>
      <c r="C95" s="234" t="s">
        <v>338</v>
      </c>
      <c r="D95" s="772" t="s">
        <v>367</v>
      </c>
      <c r="E95" s="776"/>
      <c r="F95" s="311"/>
    </row>
    <row r="96" spans="2:6" ht="15" thickBot="1">
      <c r="B96" s="775"/>
      <c r="C96" s="541" t="s">
        <v>339</v>
      </c>
      <c r="D96" s="777" t="s">
        <v>367</v>
      </c>
      <c r="E96" s="778"/>
      <c r="F96" s="542"/>
    </row>
    <row r="97" spans="2:6">
      <c r="B97" s="760" t="s">
        <v>368</v>
      </c>
      <c r="C97" s="540" t="s">
        <v>333</v>
      </c>
      <c r="D97" s="673">
        <v>24788905</v>
      </c>
      <c r="E97" s="674"/>
      <c r="F97" s="668">
        <f>+D97+E97</f>
        <v>24788905</v>
      </c>
    </row>
    <row r="98" spans="2:6">
      <c r="B98" s="774"/>
      <c r="C98" s="397" t="s">
        <v>334</v>
      </c>
      <c r="D98" s="675">
        <v>1661538</v>
      </c>
      <c r="E98" s="676"/>
      <c r="F98" s="661">
        <f>+D98+E98</f>
        <v>1661538</v>
      </c>
    </row>
    <row r="99" spans="2:6">
      <c r="B99" s="774"/>
      <c r="C99" s="397" t="s">
        <v>335</v>
      </c>
      <c r="D99" s="675">
        <v>0</v>
      </c>
      <c r="E99" s="676"/>
      <c r="F99" s="661">
        <f>+D99+E99</f>
        <v>0</v>
      </c>
    </row>
    <row r="100" spans="2:6">
      <c r="B100" s="774"/>
      <c r="C100" s="397" t="s">
        <v>18</v>
      </c>
      <c r="D100" s="675">
        <f>SUM(D97:D99)</f>
        <v>26450443</v>
      </c>
      <c r="E100" s="676"/>
      <c r="F100" s="661">
        <f>+D100+E100</f>
        <v>26450443</v>
      </c>
    </row>
    <row r="101" spans="2:6">
      <c r="B101" s="774"/>
      <c r="C101" s="397"/>
      <c r="D101" s="675"/>
      <c r="E101" s="676"/>
      <c r="F101" s="662"/>
    </row>
    <row r="102" spans="2:6">
      <c r="B102" s="774"/>
      <c r="C102" s="397" t="s">
        <v>336</v>
      </c>
      <c r="D102" s="660">
        <v>0</v>
      </c>
      <c r="E102" s="576"/>
      <c r="F102" s="661">
        <f>+D102</f>
        <v>0</v>
      </c>
    </row>
    <row r="103" spans="2:6">
      <c r="B103" s="774"/>
      <c r="C103" s="397"/>
      <c r="D103" s="322"/>
      <c r="F103" s="662"/>
    </row>
    <row r="104" spans="2:6" ht="50.25" customHeight="1">
      <c r="B104" s="774"/>
      <c r="C104" s="398" t="s">
        <v>337</v>
      </c>
      <c r="D104" s="663">
        <f>IF(AND(ISNUMBER(D100/D102),NOT(ISERROR((D100/D102)&gt;0))),D100/D102,0)</f>
        <v>0</v>
      </c>
      <c r="E104" s="664"/>
      <c r="F104" s="665">
        <f>IF(AND(ISNUMBER(F100/F102),NOT(ISERROR((F100/F102)&gt;0))),F100/F102,0)</f>
        <v>0</v>
      </c>
    </row>
    <row r="105" spans="2:6">
      <c r="B105" s="774"/>
      <c r="C105" s="579" t="s">
        <v>338</v>
      </c>
      <c r="D105" s="772" t="s">
        <v>369</v>
      </c>
      <c r="E105" s="773"/>
      <c r="F105" s="311"/>
    </row>
    <row r="106" spans="2:6" ht="15" thickBot="1">
      <c r="B106" s="775"/>
      <c r="C106" s="541" t="s">
        <v>339</v>
      </c>
      <c r="D106" s="758" t="s">
        <v>370</v>
      </c>
      <c r="E106" s="759"/>
      <c r="F106" s="542"/>
    </row>
    <row r="107" spans="2:6">
      <c r="B107" s="760" t="s">
        <v>314</v>
      </c>
      <c r="C107" s="540" t="s">
        <v>333</v>
      </c>
      <c r="D107" s="673">
        <v>3855930</v>
      </c>
      <c r="E107" s="674"/>
      <c r="F107" s="668">
        <f>+D107+E107</f>
        <v>3855930</v>
      </c>
    </row>
    <row r="108" spans="2:6">
      <c r="B108" s="774"/>
      <c r="C108" s="397" t="s">
        <v>334</v>
      </c>
      <c r="D108" s="675">
        <v>98563</v>
      </c>
      <c r="E108" s="676"/>
      <c r="F108" s="661">
        <f>+D108+E108</f>
        <v>98563</v>
      </c>
    </row>
    <row r="109" spans="2:6">
      <c r="B109" s="774"/>
      <c r="C109" s="397" t="s">
        <v>335</v>
      </c>
      <c r="D109" s="675">
        <v>0</v>
      </c>
      <c r="E109" s="676"/>
      <c r="F109" s="661">
        <f>+D109+E109</f>
        <v>0</v>
      </c>
    </row>
    <row r="110" spans="2:6">
      <c r="B110" s="774"/>
      <c r="C110" s="397" t="s">
        <v>18</v>
      </c>
      <c r="D110" s="675">
        <f>SUM(D107:D109)</f>
        <v>3954493</v>
      </c>
      <c r="E110" s="676"/>
      <c r="F110" s="661">
        <f>+D110+E110</f>
        <v>3954493</v>
      </c>
    </row>
    <row r="111" spans="2:6">
      <c r="B111" s="774"/>
      <c r="C111" s="397"/>
      <c r="D111" s="675"/>
      <c r="E111" s="676"/>
      <c r="F111" s="662"/>
    </row>
    <row r="112" spans="2:6">
      <c r="B112" s="774"/>
      <c r="C112" s="397" t="s">
        <v>336</v>
      </c>
      <c r="D112" s="660">
        <v>0</v>
      </c>
      <c r="E112" s="576"/>
      <c r="F112" s="661">
        <f>+D112</f>
        <v>0</v>
      </c>
    </row>
    <row r="113" spans="2:6">
      <c r="B113" s="774"/>
      <c r="C113" s="397"/>
      <c r="D113" s="322"/>
      <c r="F113" s="662"/>
    </row>
    <row r="114" spans="2:6" ht="28.5">
      <c r="B114" s="774"/>
      <c r="C114" s="398" t="s">
        <v>337</v>
      </c>
      <c r="D114" s="663">
        <f>IF(AND(ISNUMBER(D110/D112),NOT(ISERROR((D110/D112)&gt;0))),D110/D112,0)</f>
        <v>0</v>
      </c>
      <c r="E114" s="664"/>
      <c r="F114" s="665">
        <f>IF(AND(ISNUMBER(F110/F112),NOT(ISERROR((F110/F112)&gt;0))),F110/F112,0)</f>
        <v>0</v>
      </c>
    </row>
    <row r="115" spans="2:6">
      <c r="B115" s="774"/>
      <c r="C115" s="234" t="s">
        <v>338</v>
      </c>
      <c r="D115" s="779" t="s">
        <v>371</v>
      </c>
      <c r="E115" s="780"/>
      <c r="F115" s="311"/>
    </row>
    <row r="116" spans="2:6" ht="15" thickBot="1">
      <c r="B116" s="775"/>
      <c r="C116" s="541" t="s">
        <v>339</v>
      </c>
      <c r="D116" s="781" t="s">
        <v>372</v>
      </c>
      <c r="E116" s="782"/>
      <c r="F116" s="542"/>
    </row>
    <row r="117" spans="2:6">
      <c r="B117" s="760" t="s">
        <v>315</v>
      </c>
      <c r="C117" s="540" t="s">
        <v>333</v>
      </c>
      <c r="D117" s="673">
        <v>125415000</v>
      </c>
      <c r="E117" s="674">
        <v>9585000</v>
      </c>
      <c r="F117" s="668">
        <f>+D117+E117</f>
        <v>135000000</v>
      </c>
    </row>
    <row r="118" spans="2:6">
      <c r="B118" s="774"/>
      <c r="C118" s="397" t="s">
        <v>334</v>
      </c>
      <c r="D118" s="675">
        <v>8704544</v>
      </c>
      <c r="E118" s="676">
        <v>2529699</v>
      </c>
      <c r="F118" s="661">
        <f>+D118+E118</f>
        <v>11234243</v>
      </c>
    </row>
    <row r="119" spans="2:6">
      <c r="B119" s="774"/>
      <c r="C119" s="397" t="s">
        <v>335</v>
      </c>
      <c r="D119" s="675">
        <v>0</v>
      </c>
      <c r="E119" s="676">
        <v>0</v>
      </c>
      <c r="F119" s="661">
        <f>+D119+E119</f>
        <v>0</v>
      </c>
    </row>
    <row r="120" spans="2:6">
      <c r="B120" s="774"/>
      <c r="C120" s="397" t="s">
        <v>18</v>
      </c>
      <c r="D120" s="675">
        <f>SUM(D117:D119)</f>
        <v>134119544</v>
      </c>
      <c r="E120" s="676">
        <f>SUM(E117:E119)</f>
        <v>12114699</v>
      </c>
      <c r="F120" s="661">
        <f>+D120+E120</f>
        <v>146234243</v>
      </c>
    </row>
    <row r="121" spans="2:6">
      <c r="B121" s="774"/>
      <c r="C121" s="397"/>
      <c r="D121" s="675"/>
      <c r="E121" s="678"/>
      <c r="F121" s="662"/>
    </row>
    <row r="122" spans="2:6">
      <c r="B122" s="774"/>
      <c r="C122" s="397" t="s">
        <v>336</v>
      </c>
      <c r="D122" s="660">
        <v>0</v>
      </c>
      <c r="E122" s="679">
        <v>0</v>
      </c>
      <c r="F122" s="661">
        <f>+D122</f>
        <v>0</v>
      </c>
    </row>
    <row r="123" spans="2:6">
      <c r="B123" s="774"/>
      <c r="C123" s="397"/>
      <c r="D123" s="322"/>
      <c r="E123" s="678"/>
      <c r="F123" s="662"/>
    </row>
    <row r="124" spans="2:6" ht="28.5">
      <c r="B124" s="774"/>
      <c r="C124" s="398" t="s">
        <v>337</v>
      </c>
      <c r="D124" s="663">
        <f>IF(AND(ISNUMBER(D120/D122),NOT(ISERROR((D120/D122)&gt;0))),D120/D122,0)</f>
        <v>0</v>
      </c>
      <c r="E124" s="664">
        <f>IF(AND(ISNUMBER(E120/E122),NOT(ISERROR((E120/E122)&gt;0))),E120/E122,0)</f>
        <v>0</v>
      </c>
      <c r="F124" s="665">
        <f>IF(AND(ISNUMBER(F120/F122),NOT(ISERROR((F120/F122)&gt;0))),F120/F122,0)</f>
        <v>0</v>
      </c>
    </row>
    <row r="125" spans="2:6">
      <c r="B125" s="774"/>
      <c r="C125" s="234" t="s">
        <v>338</v>
      </c>
      <c r="D125" s="772" t="s">
        <v>341</v>
      </c>
      <c r="E125" s="773"/>
      <c r="F125" s="311"/>
    </row>
    <row r="126" spans="2:6" ht="15" thickBot="1">
      <c r="B126" s="775"/>
      <c r="C126" s="541" t="s">
        <v>339</v>
      </c>
      <c r="D126" s="758" t="s">
        <v>373</v>
      </c>
      <c r="E126" s="759"/>
      <c r="F126" s="542"/>
    </row>
    <row r="127" spans="2:6">
      <c r="B127" s="760" t="s">
        <v>316</v>
      </c>
      <c r="C127" s="540" t="s">
        <v>333</v>
      </c>
      <c r="D127" s="673">
        <v>15352924</v>
      </c>
      <c r="E127" s="674">
        <v>0</v>
      </c>
      <c r="F127" s="668">
        <f>+D127+E127</f>
        <v>15352924</v>
      </c>
    </row>
    <row r="128" spans="2:6">
      <c r="B128" s="774"/>
      <c r="C128" s="397" t="s">
        <v>334</v>
      </c>
      <c r="D128" s="680">
        <v>824537</v>
      </c>
      <c r="E128" s="676">
        <v>0</v>
      </c>
      <c r="F128" s="661">
        <f>+D128+E128</f>
        <v>824537</v>
      </c>
    </row>
    <row r="129" spans="2:6">
      <c r="B129" s="774"/>
      <c r="C129" s="397" t="s">
        <v>335</v>
      </c>
      <c r="D129" s="675">
        <v>0</v>
      </c>
      <c r="E129" s="676">
        <v>0</v>
      </c>
      <c r="F129" s="661">
        <f>+D129+E129</f>
        <v>0</v>
      </c>
    </row>
    <row r="130" spans="2:6">
      <c r="B130" s="774"/>
      <c r="C130" s="397" t="s">
        <v>18</v>
      </c>
      <c r="D130" s="675">
        <f>SUM(D127:D129)</f>
        <v>16177461</v>
      </c>
      <c r="E130" s="676">
        <f>SUM(E127:E129)</f>
        <v>0</v>
      </c>
      <c r="F130" s="661">
        <f>+D130+E130</f>
        <v>16177461</v>
      </c>
    </row>
    <row r="131" spans="2:6">
      <c r="B131" s="774"/>
      <c r="C131" s="397"/>
      <c r="D131" s="675"/>
      <c r="E131" s="676"/>
      <c r="F131" s="662"/>
    </row>
    <row r="132" spans="2:6">
      <c r="B132" s="774"/>
      <c r="C132" s="397" t="s">
        <v>336</v>
      </c>
      <c r="D132" s="660">
        <v>0</v>
      </c>
      <c r="E132" s="576">
        <f>D132</f>
        <v>0</v>
      </c>
      <c r="F132" s="661">
        <f>+D132</f>
        <v>0</v>
      </c>
    </row>
    <row r="133" spans="2:6">
      <c r="B133" s="774"/>
      <c r="C133" s="397"/>
      <c r="D133" s="322"/>
      <c r="F133" s="662"/>
    </row>
    <row r="134" spans="2:6" ht="28.5">
      <c r="B134" s="774"/>
      <c r="C134" s="398" t="s">
        <v>337</v>
      </c>
      <c r="D134" s="663">
        <f>IF(AND(ISNUMBER(D130/D132),NOT(ISERROR((D130/D132)&gt;0))),D130/D132,0)</f>
        <v>0</v>
      </c>
      <c r="E134" s="664">
        <f>IF(AND(ISNUMBER(E130/E132),NOT(ISERROR((E130/E132)&gt;0))),E130/E132,0)</f>
        <v>0</v>
      </c>
      <c r="F134" s="665">
        <f>IF(AND(ISNUMBER(F130/F132),NOT(ISERROR((F130/F132)&gt;0))),F130/F132,0)</f>
        <v>0</v>
      </c>
    </row>
    <row r="135" spans="2:6">
      <c r="B135" s="774"/>
      <c r="C135" s="234" t="s">
        <v>338</v>
      </c>
      <c r="D135" s="772" t="s">
        <v>374</v>
      </c>
      <c r="E135" s="773"/>
      <c r="F135" s="311"/>
    </row>
    <row r="136" spans="2:6" ht="15" thickBot="1">
      <c r="B136" s="775"/>
      <c r="C136" s="541" t="s">
        <v>339</v>
      </c>
      <c r="D136" s="758" t="s">
        <v>375</v>
      </c>
      <c r="E136" s="759"/>
      <c r="F136" s="542"/>
    </row>
    <row r="137" spans="2:6">
      <c r="B137" s="760" t="s">
        <v>317</v>
      </c>
      <c r="C137" s="540" t="s">
        <v>333</v>
      </c>
      <c r="D137" s="673">
        <v>1179618</v>
      </c>
      <c r="E137" s="674">
        <v>0</v>
      </c>
      <c r="F137" s="668">
        <f>+D137+E137</f>
        <v>1179618</v>
      </c>
    </row>
    <row r="138" spans="2:6">
      <c r="B138" s="774"/>
      <c r="C138" s="397" t="s">
        <v>334</v>
      </c>
      <c r="D138" s="675">
        <v>-48843</v>
      </c>
      <c r="E138" s="676">
        <v>0</v>
      </c>
      <c r="F138" s="661">
        <f>+D138+E138</f>
        <v>-48843</v>
      </c>
    </row>
    <row r="139" spans="2:6">
      <c r="B139" s="774"/>
      <c r="C139" s="397" t="s">
        <v>335</v>
      </c>
      <c r="D139" s="675">
        <v>0</v>
      </c>
      <c r="E139" s="676">
        <v>0</v>
      </c>
      <c r="F139" s="661">
        <f>+D139+E139</f>
        <v>0</v>
      </c>
    </row>
    <row r="140" spans="2:6">
      <c r="B140" s="774"/>
      <c r="C140" s="397" t="s">
        <v>18</v>
      </c>
      <c r="D140" s="675">
        <f>SUM(D137:D139)</f>
        <v>1130775</v>
      </c>
      <c r="E140" s="676">
        <f>SUM(E137:E139)</f>
        <v>0</v>
      </c>
      <c r="F140" s="661">
        <f>+D140+E140</f>
        <v>1130775</v>
      </c>
    </row>
    <row r="141" spans="2:6">
      <c r="B141" s="774"/>
      <c r="C141" s="397"/>
      <c r="D141" s="675"/>
      <c r="E141" s="676"/>
      <c r="F141" s="662"/>
    </row>
    <row r="142" spans="2:6">
      <c r="B142" s="774"/>
      <c r="C142" s="397" t="s">
        <v>336</v>
      </c>
      <c r="D142" s="660">
        <v>372179</v>
      </c>
      <c r="E142" s="576">
        <v>0</v>
      </c>
      <c r="F142" s="661">
        <f>+D142</f>
        <v>372179</v>
      </c>
    </row>
    <row r="143" spans="2:6">
      <c r="B143" s="774"/>
      <c r="C143" s="397"/>
      <c r="D143" s="322"/>
      <c r="F143" s="662"/>
    </row>
    <row r="144" spans="2:6" ht="28.5">
      <c r="B144" s="774"/>
      <c r="C144" s="398" t="s">
        <v>337</v>
      </c>
      <c r="D144" s="663">
        <f>IF(AND(ISNUMBER(D140/D142),NOT(ISERROR((D140/D142)&gt;0))),D140/D142,0)</f>
        <v>3.0382557855225576</v>
      </c>
      <c r="E144" s="664">
        <f>IF(AND(ISNUMBER(E140/E142),NOT(ISERROR((E140/E142)&gt;0))),E140/E142,0)</f>
        <v>0</v>
      </c>
      <c r="F144" s="665">
        <f>IF(AND(ISNUMBER(F140/F142),NOT(ISERROR((F140/F142)&gt;0))),F140/F142,0)</f>
        <v>3.0382557855225576</v>
      </c>
    </row>
    <row r="145" spans="2:6">
      <c r="B145" s="774"/>
      <c r="C145" s="234" t="s">
        <v>338</v>
      </c>
      <c r="D145" s="772" t="s">
        <v>376</v>
      </c>
      <c r="E145" s="773"/>
      <c r="F145" s="311"/>
    </row>
    <row r="146" spans="2:6" ht="15" thickBot="1">
      <c r="B146" s="775"/>
      <c r="C146" s="541" t="s">
        <v>339</v>
      </c>
      <c r="D146" s="758" t="s">
        <v>376</v>
      </c>
      <c r="E146" s="759"/>
      <c r="F146" s="542"/>
    </row>
    <row r="147" spans="2:6">
      <c r="B147" s="760" t="s">
        <v>318</v>
      </c>
      <c r="C147" s="540" t="s">
        <v>333</v>
      </c>
      <c r="D147" s="673">
        <v>0</v>
      </c>
      <c r="E147" s="674">
        <v>3413410</v>
      </c>
      <c r="F147" s="668">
        <f>+D147+E147</f>
        <v>3413410</v>
      </c>
    </row>
    <row r="148" spans="2:6">
      <c r="B148" s="774"/>
      <c r="C148" s="397" t="s">
        <v>334</v>
      </c>
      <c r="D148" s="675">
        <v>0</v>
      </c>
      <c r="E148" s="676">
        <v>-34824.959999999999</v>
      </c>
      <c r="F148" s="661">
        <f>+D148+E148</f>
        <v>-34824.959999999999</v>
      </c>
    </row>
    <row r="149" spans="2:6">
      <c r="B149" s="774"/>
      <c r="C149" s="397" t="s">
        <v>335</v>
      </c>
      <c r="D149" s="675">
        <v>0</v>
      </c>
      <c r="E149" s="676">
        <v>0</v>
      </c>
      <c r="F149" s="661">
        <f>+D149+E149</f>
        <v>0</v>
      </c>
    </row>
    <row r="150" spans="2:6">
      <c r="B150" s="774"/>
      <c r="C150" s="397" t="s">
        <v>18</v>
      </c>
      <c r="D150" s="675">
        <f>SUM(D147:D149)</f>
        <v>0</v>
      </c>
      <c r="E150" s="676">
        <f>SUM(E147:E149)</f>
        <v>3378585.04</v>
      </c>
      <c r="F150" s="661">
        <f>+D150+E150</f>
        <v>3378585.04</v>
      </c>
    </row>
    <row r="151" spans="2:6">
      <c r="B151" s="774"/>
      <c r="C151" s="397"/>
      <c r="D151" s="675"/>
      <c r="E151" s="676"/>
      <c r="F151" s="662"/>
    </row>
    <row r="152" spans="2:6">
      <c r="B152" s="774"/>
      <c r="C152" s="397" t="s">
        <v>336</v>
      </c>
      <c r="D152" s="660">
        <v>544970</v>
      </c>
      <c r="E152" s="576">
        <f>D152</f>
        <v>544970</v>
      </c>
      <c r="F152" s="661">
        <f>+D152</f>
        <v>544970</v>
      </c>
    </row>
    <row r="153" spans="2:6">
      <c r="B153" s="774"/>
      <c r="C153" s="397"/>
      <c r="D153" s="322"/>
      <c r="F153" s="662"/>
    </row>
    <row r="154" spans="2:6" ht="28.5">
      <c r="B154" s="774"/>
      <c r="C154" s="398" t="s">
        <v>337</v>
      </c>
      <c r="D154" s="663">
        <f>IF(AND(ISNUMBER(D150/D152),NOT(ISERROR((D150/D152)&gt;0))),D150/D152,0)</f>
        <v>0</v>
      </c>
      <c r="E154" s="664">
        <f>IF(AND(ISNUMBER(E150/E152),NOT(ISERROR((E150/E152)&gt;0))),E150/E152,0)</f>
        <v>6.199579866781658</v>
      </c>
      <c r="F154" s="665">
        <f>IF(AND(ISNUMBER(F150/F152),NOT(ISERROR((F150/F152)&gt;0))),F150/F152,0)</f>
        <v>6.199579866781658</v>
      </c>
    </row>
    <row r="155" spans="2:6">
      <c r="B155" s="774"/>
      <c r="C155" s="234" t="s">
        <v>338</v>
      </c>
      <c r="D155" s="772" t="s">
        <v>342</v>
      </c>
      <c r="E155" s="773"/>
      <c r="F155" s="311"/>
    </row>
    <row r="156" spans="2:6" ht="15" thickBot="1">
      <c r="B156" s="775"/>
      <c r="C156" s="541" t="s">
        <v>339</v>
      </c>
      <c r="D156" s="758" t="s">
        <v>351</v>
      </c>
      <c r="E156" s="759"/>
      <c r="F156" s="542"/>
    </row>
    <row r="157" spans="2:6">
      <c r="B157" s="753" t="s">
        <v>319</v>
      </c>
      <c r="C157" s="549" t="s">
        <v>333</v>
      </c>
      <c r="D157" s="673">
        <v>96121557</v>
      </c>
      <c r="E157" s="674">
        <v>0</v>
      </c>
      <c r="F157" s="668">
        <f>+D157+E157</f>
        <v>96121557</v>
      </c>
    </row>
    <row r="158" spans="2:6">
      <c r="B158" s="754"/>
      <c r="C158" s="233" t="s">
        <v>334</v>
      </c>
      <c r="D158" s="675">
        <v>614991</v>
      </c>
      <c r="E158" s="676">
        <v>0</v>
      </c>
      <c r="F158" s="661">
        <f>+D158+E158</f>
        <v>614991</v>
      </c>
    </row>
    <row r="159" spans="2:6">
      <c r="B159" s="754"/>
      <c r="C159" s="233" t="s">
        <v>335</v>
      </c>
      <c r="D159" s="675">
        <v>0</v>
      </c>
      <c r="E159" s="676">
        <v>0</v>
      </c>
      <c r="F159" s="661">
        <f>+D159+E159</f>
        <v>0</v>
      </c>
    </row>
    <row r="160" spans="2:6">
      <c r="B160" s="754"/>
      <c r="C160" s="233" t="s">
        <v>18</v>
      </c>
      <c r="D160" s="675">
        <f>SUM(D157:D159)</f>
        <v>96736548</v>
      </c>
      <c r="E160" s="676">
        <f>SUM(E157:E159)</f>
        <v>0</v>
      </c>
      <c r="F160" s="661">
        <f>+D160+E160</f>
        <v>96736548</v>
      </c>
    </row>
    <row r="161" spans="2:6">
      <c r="B161" s="754"/>
      <c r="D161" s="675"/>
      <c r="E161" s="676"/>
      <c r="F161" s="662"/>
    </row>
    <row r="162" spans="2:6">
      <c r="B162" s="754"/>
      <c r="C162" s="233" t="s">
        <v>336</v>
      </c>
      <c r="D162" s="660">
        <v>0</v>
      </c>
      <c r="E162" s="576">
        <v>0</v>
      </c>
      <c r="F162" s="661">
        <f>+D162</f>
        <v>0</v>
      </c>
    </row>
    <row r="163" spans="2:6">
      <c r="B163" s="754"/>
      <c r="D163" s="322"/>
      <c r="F163" s="662"/>
    </row>
    <row r="164" spans="2:6" ht="28.5">
      <c r="B164" s="754"/>
      <c r="C164" s="320" t="s">
        <v>337</v>
      </c>
      <c r="D164" s="663">
        <f>IF(AND(ISNUMBER(D160/D162),NOT(ISERROR((D160/D162)&gt;0))),D160/D162,0)</f>
        <v>0</v>
      </c>
      <c r="E164" s="664">
        <f>IF(AND(ISNUMBER(E160/E162),NOT(ISERROR((E160/E162)&gt;0))),E160/E162,0)</f>
        <v>0</v>
      </c>
      <c r="F164" s="665">
        <f>IF(AND(ISNUMBER(F160/F162),NOT(ISERROR((F160/F162)&gt;0))),F160/F162,0)</f>
        <v>0</v>
      </c>
    </row>
    <row r="165" spans="2:6">
      <c r="B165" s="754"/>
      <c r="C165" s="425" t="s">
        <v>338</v>
      </c>
      <c r="D165" s="772" t="s">
        <v>377</v>
      </c>
      <c r="E165" s="773"/>
      <c r="F165" s="311"/>
    </row>
    <row r="166" spans="2:6" ht="15" thickBot="1">
      <c r="B166" s="755"/>
      <c r="C166" s="550" t="s">
        <v>339</v>
      </c>
      <c r="D166" s="758" t="s">
        <v>378</v>
      </c>
      <c r="E166" s="759"/>
      <c r="F166" s="542"/>
    </row>
    <row r="167" spans="2:6">
      <c r="B167" s="753" t="s">
        <v>320</v>
      </c>
      <c r="C167" s="549" t="s">
        <v>333</v>
      </c>
      <c r="D167" s="673">
        <v>0</v>
      </c>
      <c r="E167" s="674">
        <v>0</v>
      </c>
      <c r="F167" s="668">
        <f>+D167+E167</f>
        <v>0</v>
      </c>
    </row>
    <row r="168" spans="2:6">
      <c r="B168" s="754"/>
      <c r="C168" s="233" t="s">
        <v>334</v>
      </c>
      <c r="D168" s="675">
        <v>0</v>
      </c>
      <c r="E168" s="676">
        <v>0</v>
      </c>
      <c r="F168" s="661">
        <f>+D168+E168</f>
        <v>0</v>
      </c>
    </row>
    <row r="169" spans="2:6">
      <c r="B169" s="754"/>
      <c r="C169" s="233" t="s">
        <v>335</v>
      </c>
      <c r="D169" s="675">
        <v>0</v>
      </c>
      <c r="E169" s="676">
        <v>0</v>
      </c>
      <c r="F169" s="661">
        <f>+D169+E169</f>
        <v>0</v>
      </c>
    </row>
    <row r="170" spans="2:6">
      <c r="B170" s="754"/>
      <c r="C170" s="233" t="s">
        <v>18</v>
      </c>
      <c r="D170" s="675">
        <f>SUM(D167:D169)</f>
        <v>0</v>
      </c>
      <c r="E170" s="676">
        <f>SUM(E167:E169)</f>
        <v>0</v>
      </c>
      <c r="F170" s="661">
        <f>+D170+E170</f>
        <v>0</v>
      </c>
    </row>
    <row r="171" spans="2:6">
      <c r="B171" s="754"/>
      <c r="D171" s="675"/>
      <c r="E171" s="676"/>
      <c r="F171" s="662"/>
    </row>
    <row r="172" spans="2:6">
      <c r="B172" s="754"/>
      <c r="C172" s="233" t="s">
        <v>336</v>
      </c>
      <c r="D172" s="660">
        <v>0</v>
      </c>
      <c r="E172" s="576">
        <v>0</v>
      </c>
      <c r="F172" s="661">
        <f>+D172</f>
        <v>0</v>
      </c>
    </row>
    <row r="173" spans="2:6">
      <c r="B173" s="754"/>
      <c r="D173" s="322"/>
      <c r="F173" s="662"/>
    </row>
    <row r="174" spans="2:6" ht="28.5">
      <c r="B174" s="754"/>
      <c r="C174" s="320" t="s">
        <v>337</v>
      </c>
      <c r="D174" s="663">
        <f>IF(AND(ISNUMBER(D170/D172),NOT(ISERROR((D170/D172)&gt;0))),D170/D172,0)</f>
        <v>0</v>
      </c>
      <c r="E174" s="664">
        <f>IF(AND(ISNUMBER(E170/E172),NOT(ISERROR((E170/E172)&gt;0))),E170/E172,0)</f>
        <v>0</v>
      </c>
      <c r="F174" s="665">
        <f>IF(AND(ISNUMBER(F170/F172),NOT(ISERROR((F170/F172)&gt;0))),F170/F172,0)</f>
        <v>0</v>
      </c>
    </row>
    <row r="175" spans="2:6">
      <c r="B175" s="754"/>
      <c r="C175" s="425" t="s">
        <v>338</v>
      </c>
      <c r="D175" s="772" t="s">
        <v>379</v>
      </c>
      <c r="E175" s="773"/>
      <c r="F175" s="311"/>
    </row>
    <row r="176" spans="2:6" ht="15" thickBot="1">
      <c r="B176" s="755"/>
      <c r="C176" s="550" t="s">
        <v>339</v>
      </c>
      <c r="D176" s="758" t="s">
        <v>379</v>
      </c>
      <c r="E176" s="759"/>
      <c r="F176" s="542"/>
    </row>
    <row r="177" spans="2:6">
      <c r="B177" s="753" t="s">
        <v>321</v>
      </c>
      <c r="C177" s="549" t="s">
        <v>333</v>
      </c>
      <c r="D177" s="673">
        <v>4401402</v>
      </c>
      <c r="E177" s="674">
        <v>0</v>
      </c>
      <c r="F177" s="668">
        <f>+D177+E177</f>
        <v>4401402</v>
      </c>
    </row>
    <row r="178" spans="2:6">
      <c r="B178" s="754"/>
      <c r="C178" s="233" t="s">
        <v>334</v>
      </c>
      <c r="D178" s="675">
        <v>203374</v>
      </c>
      <c r="E178" s="676">
        <v>0</v>
      </c>
      <c r="F178" s="661">
        <f>+D178+E178</f>
        <v>203374</v>
      </c>
    </row>
    <row r="179" spans="2:6">
      <c r="B179" s="754"/>
      <c r="C179" s="233" t="s">
        <v>335</v>
      </c>
      <c r="D179" s="675">
        <v>0</v>
      </c>
      <c r="E179" s="676">
        <v>0</v>
      </c>
      <c r="F179" s="661">
        <f>+D179+E179</f>
        <v>0</v>
      </c>
    </row>
    <row r="180" spans="2:6">
      <c r="B180" s="754"/>
      <c r="C180" s="233" t="s">
        <v>18</v>
      </c>
      <c r="D180" s="675">
        <f>SUM(D177:D179)</f>
        <v>4604776</v>
      </c>
      <c r="E180" s="676">
        <f>SUM(E177:E179)</f>
        <v>0</v>
      </c>
      <c r="F180" s="661">
        <f>+D180+E180</f>
        <v>4604776</v>
      </c>
    </row>
    <row r="181" spans="2:6">
      <c r="B181" s="754"/>
      <c r="D181" s="675"/>
      <c r="E181" s="676"/>
      <c r="F181" s="662"/>
    </row>
    <row r="182" spans="2:6">
      <c r="B182" s="754"/>
      <c r="C182" s="233" t="s">
        <v>336</v>
      </c>
      <c r="D182" s="660">
        <v>0</v>
      </c>
      <c r="E182" s="576">
        <v>0</v>
      </c>
      <c r="F182" s="661">
        <f>+D182</f>
        <v>0</v>
      </c>
    </row>
    <row r="183" spans="2:6">
      <c r="B183" s="754"/>
      <c r="D183" s="322"/>
      <c r="F183" s="662"/>
    </row>
    <row r="184" spans="2:6" ht="28.5">
      <c r="B184" s="754"/>
      <c r="C184" s="320" t="s">
        <v>337</v>
      </c>
      <c r="D184" s="663">
        <f>IF(AND(ISNUMBER(D180/D182),NOT(ISERROR((D180/D182)&gt;0))),D180/D182,0)</f>
        <v>0</v>
      </c>
      <c r="E184" s="664">
        <f>IF(AND(ISNUMBER(E180/E182),NOT(ISERROR((E180/E182)&gt;0))),E180/E182,0)</f>
        <v>0</v>
      </c>
      <c r="F184" s="665">
        <f>IF(AND(ISNUMBER(F180/F182),NOT(ISERROR((F180/F182)&gt;0))),F180/F182,0)</f>
        <v>0</v>
      </c>
    </row>
    <row r="185" spans="2:6">
      <c r="B185" s="754"/>
      <c r="C185" s="425" t="s">
        <v>338</v>
      </c>
      <c r="D185" s="756" t="s">
        <v>380</v>
      </c>
      <c r="E185" s="766"/>
      <c r="F185" s="311"/>
    </row>
    <row r="186" spans="2:6" ht="15" thickBot="1">
      <c r="B186" s="755"/>
      <c r="C186" s="550" t="s">
        <v>339</v>
      </c>
      <c r="D186" s="758" t="s">
        <v>381</v>
      </c>
      <c r="E186" s="759"/>
      <c r="F186" s="542"/>
    </row>
    <row r="187" spans="2:6">
      <c r="B187" s="753" t="s">
        <v>322</v>
      </c>
      <c r="C187" s="549" t="s">
        <v>333</v>
      </c>
      <c r="D187" s="673">
        <v>20822975</v>
      </c>
      <c r="E187" s="674">
        <v>0</v>
      </c>
      <c r="F187" s="668">
        <f>+D187+E187</f>
        <v>20822975</v>
      </c>
    </row>
    <row r="188" spans="2:6">
      <c r="B188" s="754"/>
      <c r="C188" s="233" t="s">
        <v>334</v>
      </c>
      <c r="D188" s="675">
        <v>5089559</v>
      </c>
      <c r="E188" s="676">
        <v>0</v>
      </c>
      <c r="F188" s="661">
        <f>+D188+E188</f>
        <v>5089559</v>
      </c>
    </row>
    <row r="189" spans="2:6">
      <c r="B189" s="754"/>
      <c r="C189" s="233" t="s">
        <v>335</v>
      </c>
      <c r="D189" s="675">
        <v>0</v>
      </c>
      <c r="E189" s="676">
        <v>0</v>
      </c>
      <c r="F189" s="661">
        <f>+D189+E189</f>
        <v>0</v>
      </c>
    </row>
    <row r="190" spans="2:6">
      <c r="B190" s="754"/>
      <c r="C190" s="233" t="s">
        <v>18</v>
      </c>
      <c r="D190" s="675">
        <f>SUM(D187:D189)</f>
        <v>25912534</v>
      </c>
      <c r="E190" s="676">
        <f>SUM(E187:E189)</f>
        <v>0</v>
      </c>
      <c r="F190" s="661">
        <f>+D190+E190</f>
        <v>25912534</v>
      </c>
    </row>
    <row r="191" spans="2:6">
      <c r="B191" s="754"/>
      <c r="D191" s="675"/>
      <c r="E191" s="676"/>
      <c r="F191" s="662"/>
    </row>
    <row r="192" spans="2:6">
      <c r="B192" s="754"/>
      <c r="C192" s="233" t="s">
        <v>336</v>
      </c>
      <c r="D192" s="660">
        <v>0</v>
      </c>
      <c r="E192" s="576">
        <v>0</v>
      </c>
      <c r="F192" s="661">
        <f>+D192</f>
        <v>0</v>
      </c>
    </row>
    <row r="193" spans="2:6">
      <c r="B193" s="754"/>
      <c r="D193" s="322"/>
      <c r="F193" s="662"/>
    </row>
    <row r="194" spans="2:6" ht="28.5">
      <c r="B194" s="754"/>
      <c r="C194" s="320" t="s">
        <v>337</v>
      </c>
      <c r="D194" s="663">
        <f>IF(AND(ISNUMBER(D190/D192),NOT(ISERROR((D190/D192)&gt;0))),D190/D192,0)</f>
        <v>0</v>
      </c>
      <c r="E194" s="664">
        <f>IF(AND(ISNUMBER(E190/E192),NOT(ISERROR((E190/E192)&gt;0))),E190/E192,0)</f>
        <v>0</v>
      </c>
      <c r="F194" s="665">
        <f>IF(AND(ISNUMBER(F190/F192),NOT(ISERROR((F190/F192)&gt;0))),F190/F192,0)</f>
        <v>0</v>
      </c>
    </row>
    <row r="195" spans="2:6">
      <c r="B195" s="754"/>
      <c r="C195" s="425" t="s">
        <v>338</v>
      </c>
      <c r="D195" s="756" t="s">
        <v>382</v>
      </c>
      <c r="E195" s="766"/>
      <c r="F195" s="311"/>
    </row>
    <row r="196" spans="2:6" ht="15" thickBot="1">
      <c r="B196" s="755"/>
      <c r="C196" s="550" t="s">
        <v>339</v>
      </c>
      <c r="D196" s="758" t="s">
        <v>383</v>
      </c>
      <c r="E196" s="759"/>
      <c r="F196" s="542"/>
    </row>
    <row r="197" spans="2:6" ht="14.1" customHeight="1">
      <c r="B197" s="753" t="s">
        <v>323</v>
      </c>
      <c r="C197" s="549" t="s">
        <v>333</v>
      </c>
      <c r="D197" s="673">
        <v>22105352</v>
      </c>
      <c r="E197" s="674">
        <v>0</v>
      </c>
      <c r="F197" s="668">
        <f>+D197+E197</f>
        <v>22105352</v>
      </c>
    </row>
    <row r="198" spans="2:6">
      <c r="B198" s="754"/>
      <c r="C198" s="233" t="s">
        <v>334</v>
      </c>
      <c r="D198" s="675">
        <v>1359010</v>
      </c>
      <c r="E198" s="676">
        <v>0</v>
      </c>
      <c r="F198" s="661">
        <f>+D198+E198</f>
        <v>1359010</v>
      </c>
    </row>
    <row r="199" spans="2:6">
      <c r="B199" s="754"/>
      <c r="C199" s="233" t="s">
        <v>335</v>
      </c>
      <c r="D199" s="675">
        <v>0</v>
      </c>
      <c r="E199" s="676">
        <v>0</v>
      </c>
      <c r="F199" s="661">
        <f>+D199+E199</f>
        <v>0</v>
      </c>
    </row>
    <row r="200" spans="2:6">
      <c r="B200" s="754"/>
      <c r="C200" s="233" t="s">
        <v>18</v>
      </c>
      <c r="D200" s="675">
        <f>SUM(D197:D199)</f>
        <v>23464362</v>
      </c>
      <c r="E200" s="676">
        <f>SUM(E197:E199)</f>
        <v>0</v>
      </c>
      <c r="F200" s="661">
        <f>+D200+E200</f>
        <v>23464362</v>
      </c>
    </row>
    <row r="201" spans="2:6">
      <c r="B201" s="754"/>
      <c r="D201" s="675"/>
      <c r="E201" s="676"/>
      <c r="F201" s="662"/>
    </row>
    <row r="202" spans="2:6">
      <c r="B202" s="754"/>
      <c r="C202" s="233" t="s">
        <v>336</v>
      </c>
      <c r="D202" s="660">
        <v>0</v>
      </c>
      <c r="E202" s="576">
        <v>0</v>
      </c>
      <c r="F202" s="661">
        <f>+D202</f>
        <v>0</v>
      </c>
    </row>
    <row r="203" spans="2:6">
      <c r="B203" s="754"/>
      <c r="D203" s="322"/>
      <c r="F203" s="662"/>
    </row>
    <row r="204" spans="2:6" ht="28.5">
      <c r="B204" s="754"/>
      <c r="C204" s="320" t="s">
        <v>337</v>
      </c>
      <c r="D204" s="663">
        <f>IF(AND(ISNUMBER(D200/D202),NOT(ISERROR((D200/D202)&gt;0))),D200/D202,0)</f>
        <v>0</v>
      </c>
      <c r="E204" s="664">
        <f>IF(AND(ISNUMBER(E200/E202),NOT(ISERROR((E200/E202)&gt;0))),E200/E202,0)</f>
        <v>0</v>
      </c>
      <c r="F204" s="665">
        <f>IF(AND(ISNUMBER(F200/F202),NOT(ISERROR((F200/F202)&gt;0))),F200/F202,0)</f>
        <v>0</v>
      </c>
    </row>
    <row r="205" spans="2:6">
      <c r="B205" s="754"/>
      <c r="C205" s="425" t="s">
        <v>338</v>
      </c>
      <c r="D205" s="756" t="s">
        <v>384</v>
      </c>
      <c r="E205" s="757"/>
      <c r="F205" s="311"/>
    </row>
    <row r="206" spans="2:6" ht="15" thickBot="1">
      <c r="B206" s="755"/>
      <c r="C206" s="550" t="s">
        <v>339</v>
      </c>
      <c r="D206" s="758" t="s">
        <v>384</v>
      </c>
      <c r="E206" s="759"/>
      <c r="F206" s="542"/>
    </row>
    <row r="207" spans="2:6" ht="14.1" customHeight="1">
      <c r="B207" s="753" t="s">
        <v>324</v>
      </c>
      <c r="C207" s="549" t="s">
        <v>333</v>
      </c>
      <c r="D207" s="673">
        <v>45850589</v>
      </c>
      <c r="E207" s="674">
        <v>0</v>
      </c>
      <c r="F207" s="668">
        <f>+D207+E207</f>
        <v>45850589</v>
      </c>
    </row>
    <row r="208" spans="2:6">
      <c r="B208" s="754"/>
      <c r="C208" s="233" t="s">
        <v>334</v>
      </c>
      <c r="D208" s="675">
        <v>2208010</v>
      </c>
      <c r="E208" s="676">
        <v>0</v>
      </c>
      <c r="F208" s="661">
        <f>+D208+E208</f>
        <v>2208010</v>
      </c>
    </row>
    <row r="209" spans="2:6">
      <c r="B209" s="754"/>
      <c r="C209" s="233" t="s">
        <v>335</v>
      </c>
      <c r="D209" s="675">
        <v>0</v>
      </c>
      <c r="E209" s="676">
        <v>0</v>
      </c>
      <c r="F209" s="661">
        <f>+D209+E209</f>
        <v>0</v>
      </c>
    </row>
    <row r="210" spans="2:6">
      <c r="B210" s="754"/>
      <c r="C210" s="233" t="s">
        <v>18</v>
      </c>
      <c r="D210" s="675">
        <f>SUM(D207:D209)</f>
        <v>48058599</v>
      </c>
      <c r="E210" s="676">
        <f>SUM(E207:E209)</f>
        <v>0</v>
      </c>
      <c r="F210" s="661">
        <f>+D210+E210</f>
        <v>48058599</v>
      </c>
    </row>
    <row r="211" spans="2:6">
      <c r="B211" s="754"/>
      <c r="D211" s="675"/>
      <c r="E211" s="676"/>
      <c r="F211" s="662"/>
    </row>
    <row r="212" spans="2:6">
      <c r="B212" s="754"/>
      <c r="C212" s="233" t="s">
        <v>336</v>
      </c>
      <c r="D212" s="660">
        <v>0</v>
      </c>
      <c r="E212" s="576">
        <v>0</v>
      </c>
      <c r="F212" s="661">
        <f>+D212</f>
        <v>0</v>
      </c>
    </row>
    <row r="213" spans="2:6">
      <c r="B213" s="754"/>
      <c r="D213" s="322"/>
      <c r="F213" s="662"/>
    </row>
    <row r="214" spans="2:6" ht="28.5">
      <c r="B214" s="754"/>
      <c r="C214" s="320" t="s">
        <v>337</v>
      </c>
      <c r="D214" s="663">
        <f>IF(AND(ISNUMBER(D210/D212),NOT(ISERROR((D210/D212)&gt;0))),D210/D212,0)</f>
        <v>0</v>
      </c>
      <c r="E214" s="664">
        <f>IF(AND(ISNUMBER(E210/E212),NOT(ISERROR((E210/E212)&gt;0))),E210/E212,0)</f>
        <v>0</v>
      </c>
      <c r="F214" s="665">
        <f>IF(AND(ISNUMBER(F210/F212),NOT(ISERROR((F210/F212)&gt;0))),F210/F212,0)</f>
        <v>0</v>
      </c>
    </row>
    <row r="215" spans="2:6">
      <c r="B215" s="754"/>
      <c r="C215" s="425" t="s">
        <v>338</v>
      </c>
      <c r="D215" s="756" t="s">
        <v>352</v>
      </c>
      <c r="E215" s="757"/>
      <c r="F215" s="311"/>
    </row>
    <row r="216" spans="2:6" ht="15" thickBot="1">
      <c r="B216" s="755"/>
      <c r="C216" s="550" t="s">
        <v>339</v>
      </c>
      <c r="D216" s="758" t="s">
        <v>353</v>
      </c>
      <c r="E216" s="759"/>
      <c r="F216" s="542"/>
    </row>
    <row r="217" spans="2:6">
      <c r="B217" s="753" t="s">
        <v>354</v>
      </c>
      <c r="C217" s="549" t="s">
        <v>333</v>
      </c>
      <c r="D217" s="711">
        <v>83370655</v>
      </c>
      <c r="E217" s="674">
        <v>0</v>
      </c>
      <c r="F217" s="668">
        <f>+D217+E217</f>
        <v>83370655</v>
      </c>
    </row>
    <row r="218" spans="2:6">
      <c r="B218" s="754"/>
      <c r="C218" s="233" t="s">
        <v>334</v>
      </c>
      <c r="D218" s="712">
        <v>-3286988</v>
      </c>
      <c r="E218" s="713">
        <v>0</v>
      </c>
      <c r="F218" s="661">
        <f>+D218+E218</f>
        <v>-3286988</v>
      </c>
    </row>
    <row r="219" spans="2:6">
      <c r="B219" s="754"/>
      <c r="C219" s="233" t="s">
        <v>335</v>
      </c>
      <c r="D219" s="712">
        <v>0</v>
      </c>
      <c r="E219" s="713">
        <v>0</v>
      </c>
      <c r="F219" s="661">
        <f>+D219+E219</f>
        <v>0</v>
      </c>
    </row>
    <row r="220" spans="2:6">
      <c r="B220" s="754"/>
      <c r="C220" s="233" t="s">
        <v>18</v>
      </c>
      <c r="D220" s="712">
        <f>SUM(D217:D219)</f>
        <v>80083667</v>
      </c>
      <c r="E220" s="713">
        <f>SUM(E217:E219)</f>
        <v>0</v>
      </c>
      <c r="F220" s="661">
        <f>+D220+E220</f>
        <v>80083667</v>
      </c>
    </row>
    <row r="221" spans="2:6">
      <c r="B221" s="754"/>
      <c r="D221" s="712"/>
      <c r="E221" s="713"/>
      <c r="F221" s="662"/>
    </row>
    <row r="222" spans="2:6">
      <c r="B222" s="754"/>
      <c r="C222" s="233" t="s">
        <v>336</v>
      </c>
      <c r="D222" s="714">
        <v>0</v>
      </c>
      <c r="E222" s="576">
        <v>0</v>
      </c>
      <c r="F222" s="661">
        <f>+D222</f>
        <v>0</v>
      </c>
    </row>
    <row r="223" spans="2:6">
      <c r="B223" s="754"/>
      <c r="D223" s="397"/>
      <c r="F223" s="662"/>
    </row>
    <row r="224" spans="2:6" ht="28.5">
      <c r="B224" s="754"/>
      <c r="C224" s="320" t="s">
        <v>337</v>
      </c>
      <c r="D224" s="715">
        <f>IF(AND(ISNUMBER(D220/D222),NOT(ISERROR((D220/D222)&gt;0))),D220/D222,0)</f>
        <v>0</v>
      </c>
      <c r="E224" s="664">
        <f>IF(AND(ISNUMBER(E220/E222),NOT(ISERROR((E220/E222)&gt;0))),E220/E222,0)</f>
        <v>0</v>
      </c>
      <c r="F224" s="665">
        <f>IF(AND(ISNUMBER(F220/F222),NOT(ISERROR((F220/F222)&gt;0))),F220/F222,0)</f>
        <v>0</v>
      </c>
    </row>
    <row r="225" spans="2:6">
      <c r="B225" s="754"/>
      <c r="C225" s="425" t="s">
        <v>338</v>
      </c>
      <c r="D225" s="756" t="s">
        <v>355</v>
      </c>
      <c r="E225" s="766"/>
      <c r="F225" s="311"/>
    </row>
    <row r="226" spans="2:6" ht="15" thickBot="1">
      <c r="B226" s="755"/>
      <c r="C226" s="550" t="s">
        <v>339</v>
      </c>
      <c r="D226" s="758" t="s">
        <v>385</v>
      </c>
      <c r="E226" s="759"/>
      <c r="F226" s="542"/>
    </row>
    <row r="227" spans="2:6">
      <c r="B227" s="767" t="s">
        <v>356</v>
      </c>
      <c r="C227" s="549" t="s">
        <v>333</v>
      </c>
      <c r="D227" s="711">
        <v>5086920</v>
      </c>
      <c r="E227" s="674">
        <v>0</v>
      </c>
      <c r="F227" s="668">
        <f>+D227+E227</f>
        <v>5086920</v>
      </c>
    </row>
    <row r="228" spans="2:6">
      <c r="B228" s="768"/>
      <c r="C228" s="233" t="s">
        <v>334</v>
      </c>
      <c r="D228" s="712">
        <v>66196</v>
      </c>
      <c r="E228" s="713">
        <v>0</v>
      </c>
      <c r="F228" s="661">
        <f>+D228+E228</f>
        <v>66196</v>
      </c>
    </row>
    <row r="229" spans="2:6">
      <c r="B229" s="768"/>
      <c r="C229" s="233" t="s">
        <v>335</v>
      </c>
      <c r="D229" s="712">
        <v>0</v>
      </c>
      <c r="E229" s="713">
        <v>0</v>
      </c>
      <c r="F229" s="661">
        <f>+D229+E229</f>
        <v>0</v>
      </c>
    </row>
    <row r="230" spans="2:6">
      <c r="B230" s="768"/>
      <c r="C230" s="233" t="s">
        <v>18</v>
      </c>
      <c r="D230" s="712">
        <f>SUM(D227:D229)</f>
        <v>5153116</v>
      </c>
      <c r="E230" s="713">
        <f>SUM(E227:E229)</f>
        <v>0</v>
      </c>
      <c r="F230" s="661">
        <f>+D230+E230</f>
        <v>5153116</v>
      </c>
    </row>
    <row r="231" spans="2:6">
      <c r="B231" s="768"/>
      <c r="D231" s="712"/>
      <c r="E231" s="713"/>
      <c r="F231" s="662"/>
    </row>
    <row r="232" spans="2:6">
      <c r="B232" s="768"/>
      <c r="C232" s="233" t="s">
        <v>336</v>
      </c>
      <c r="D232" s="714">
        <v>0</v>
      </c>
      <c r="E232" s="576">
        <v>0</v>
      </c>
      <c r="F232" s="661">
        <f>+D232</f>
        <v>0</v>
      </c>
    </row>
    <row r="233" spans="2:6">
      <c r="B233" s="768"/>
      <c r="D233" s="397"/>
      <c r="F233" s="662"/>
    </row>
    <row r="234" spans="2:6" ht="28.5">
      <c r="B234" s="768"/>
      <c r="C234" s="320" t="s">
        <v>337</v>
      </c>
      <c r="D234" s="715">
        <f>IF(AND(ISNUMBER(D230/D232),NOT(ISERROR((D230/D232)&gt;0))),D230/D232,0)</f>
        <v>0</v>
      </c>
      <c r="E234" s="664">
        <f>IF(AND(ISNUMBER(E230/E232),NOT(ISERROR((E230/E232)&gt;0))),E230/E232,0)</f>
        <v>0</v>
      </c>
      <c r="F234" s="665">
        <f>IF(AND(ISNUMBER(F230/F232),NOT(ISERROR((F230/F232)&gt;0))),F230/F232,0)</f>
        <v>0</v>
      </c>
    </row>
    <row r="235" spans="2:6">
      <c r="B235" s="768"/>
      <c r="C235" s="425" t="s">
        <v>338</v>
      </c>
      <c r="D235" s="756" t="s">
        <v>386</v>
      </c>
      <c r="E235" s="766"/>
      <c r="F235" s="311"/>
    </row>
    <row r="236" spans="2:6" ht="15" thickBot="1">
      <c r="B236" s="769"/>
      <c r="C236" s="550" t="s">
        <v>339</v>
      </c>
      <c r="D236" s="758" t="s">
        <v>387</v>
      </c>
      <c r="E236" s="759"/>
      <c r="F236" s="542"/>
    </row>
    <row r="237" spans="2:6">
      <c r="B237" s="767" t="s">
        <v>388</v>
      </c>
      <c r="C237" s="717" t="s">
        <v>333</v>
      </c>
      <c r="D237" s="711">
        <v>13907939</v>
      </c>
      <c r="E237" s="674">
        <v>0</v>
      </c>
      <c r="F237" s="668">
        <f>+D237+E237</f>
        <v>13907939</v>
      </c>
    </row>
    <row r="238" spans="2:6">
      <c r="B238" s="768"/>
      <c r="C238" s="718" t="s">
        <v>334</v>
      </c>
      <c r="D238" s="712"/>
      <c r="E238" s="713">
        <v>0</v>
      </c>
      <c r="F238" s="661">
        <f>+D238+E238</f>
        <v>0</v>
      </c>
    </row>
    <row r="239" spans="2:6">
      <c r="B239" s="768"/>
      <c r="C239" s="718" t="s">
        <v>335</v>
      </c>
      <c r="D239" s="712">
        <v>0</v>
      </c>
      <c r="E239" s="713">
        <v>0</v>
      </c>
      <c r="F239" s="661">
        <f>+D239+E239</f>
        <v>0</v>
      </c>
    </row>
    <row r="240" spans="2:6">
      <c r="B240" s="768"/>
      <c r="C240" s="718" t="s">
        <v>18</v>
      </c>
      <c r="D240" s="712">
        <f>SUM(D237:D239)</f>
        <v>13907939</v>
      </c>
      <c r="E240" s="713">
        <f>SUM(E237:E239)</f>
        <v>0</v>
      </c>
      <c r="F240" s="661">
        <f>+D240+E240</f>
        <v>13907939</v>
      </c>
    </row>
    <row r="241" spans="2:6">
      <c r="B241" s="768"/>
      <c r="C241" s="718"/>
      <c r="D241" s="716"/>
      <c r="E241" s="716"/>
      <c r="F241" s="662"/>
    </row>
    <row r="242" spans="2:6">
      <c r="B242" s="768"/>
      <c r="C242" s="718" t="s">
        <v>336</v>
      </c>
      <c r="D242" s="714">
        <v>0</v>
      </c>
      <c r="E242" s="576">
        <v>0</v>
      </c>
      <c r="F242" s="661">
        <f>+D242</f>
        <v>0</v>
      </c>
    </row>
    <row r="243" spans="2:6">
      <c r="B243" s="768"/>
      <c r="C243" s="718"/>
      <c r="D243" s="716"/>
      <c r="E243" s="716"/>
      <c r="F243" s="662"/>
    </row>
    <row r="244" spans="2:6" ht="28.5">
      <c r="B244" s="768"/>
      <c r="C244" s="719" t="s">
        <v>337</v>
      </c>
      <c r="D244" s="720">
        <f>IF(AND(ISNUMBER(D240/D242),NOT(ISERROR((D240/D242)&gt;0))),D240/D242,0)</f>
        <v>0</v>
      </c>
      <c r="E244" s="721">
        <f>IF(AND(ISNUMBER(E240/E242),NOT(ISERROR((E240/E242)&gt;0))),E240/E242,0)</f>
        <v>0</v>
      </c>
      <c r="F244" s="722">
        <f>IF(AND(ISNUMBER(F240/F242),NOT(ISERROR((F240/F242)&gt;0))),F240/F242,0)</f>
        <v>0</v>
      </c>
    </row>
    <row r="245" spans="2:6">
      <c r="B245" s="768"/>
      <c r="C245" s="425" t="s">
        <v>338</v>
      </c>
      <c r="D245" s="770" t="s">
        <v>389</v>
      </c>
      <c r="E245" s="771"/>
      <c r="F245" s="311"/>
    </row>
    <row r="246" spans="2:6" ht="15" thickBot="1">
      <c r="B246" s="769"/>
      <c r="C246" s="550" t="s">
        <v>339</v>
      </c>
      <c r="D246" s="716"/>
      <c r="E246" s="716"/>
      <c r="F246" s="542"/>
    </row>
    <row r="247" spans="2:6">
      <c r="B247" s="760" t="s">
        <v>343</v>
      </c>
      <c r="C247" s="763" t="s">
        <v>344</v>
      </c>
      <c r="D247" s="764"/>
      <c r="E247" s="764"/>
      <c r="F247" s="765"/>
    </row>
    <row r="248" spans="2:6">
      <c r="B248" s="761"/>
      <c r="C248" s="321" t="s">
        <v>333</v>
      </c>
      <c r="D248" s="657">
        <f>SUM(D7,D17,D27,D37,D47,D57,D67,D77,D87,D97,D107,D117,D127,D137,D147,D157,D167,D177,D187,D197,D207, D217, D227,D237)</f>
        <v>3468186186</v>
      </c>
      <c r="E248" s="681">
        <f>SUM(E7,E17,E27,E37,E47,E57,E67,E77,E87,E97,E107,E117,E127,E137,E147,E157, E167, E177, E187,E197,E207, E217, E227,E237)</f>
        <v>2464281048</v>
      </c>
      <c r="F248" s="682">
        <f>+D248+E248</f>
        <v>5932467234</v>
      </c>
    </row>
    <row r="249" spans="2:6">
      <c r="B249" s="761"/>
      <c r="C249" s="322" t="s">
        <v>345</v>
      </c>
      <c r="D249" s="660">
        <f>SUM(D8,D18,D28,D38,D48,D58,D68,D78,D88,D98,D108,D118,D128,D138,D148,D158, D168, D178,D188,D198,D208, D218, D228,D238)</f>
        <v>-274986839</v>
      </c>
      <c r="E249" s="683">
        <f>SUM(E8,E18,E28,E38,E48,E58,E68,E78,E88,E98,E108,E118,E128,E138,E148,E158, E168, E178, E188, E198, E208, E218, E228,E238)</f>
        <v>-50996153.960000001</v>
      </c>
      <c r="F249" s="684">
        <f>+D249+E249</f>
        <v>-325982992.95999998</v>
      </c>
    </row>
    <row r="250" spans="2:6">
      <c r="B250" s="761"/>
      <c r="C250" s="322" t="s">
        <v>335</v>
      </c>
      <c r="D250" s="660">
        <f>SUM(D9,D19,D29,D39,D49,D59,D69,D79,D89,D99,D109,D119,D129,D139,D149,D159, D169, D179,D189,D199,D209, D219, D229,D239)</f>
        <v>-20269138</v>
      </c>
      <c r="E250" s="683">
        <f>SUM(E9,E19,E29,E39,E49,E59,E69,E79,E89,E99,E109,E119,E129,E139,E149,E159, E169, E179, E189, E199, E209, E219, E229,E239)</f>
        <v>-12513073</v>
      </c>
      <c r="F250" s="684">
        <f>+D250+E250</f>
        <v>-32782211</v>
      </c>
    </row>
    <row r="251" spans="2:6">
      <c r="B251" s="761"/>
      <c r="C251" s="322" t="s">
        <v>18</v>
      </c>
      <c r="D251" s="675">
        <f>SUM(D248:D250)</f>
        <v>3172930209</v>
      </c>
      <c r="E251" s="685">
        <f>SUM(E248:E250)</f>
        <v>2400771821.04</v>
      </c>
      <c r="F251" s="684">
        <f>+D251+E251</f>
        <v>5573702030.04</v>
      </c>
    </row>
    <row r="252" spans="2:6">
      <c r="B252" s="761"/>
      <c r="C252" s="322"/>
      <c r="D252" s="660"/>
      <c r="E252" s="683"/>
      <c r="F252" s="672"/>
    </row>
    <row r="253" spans="2:6">
      <c r="B253" s="761"/>
      <c r="C253" s="322" t="s">
        <v>336</v>
      </c>
      <c r="D253" s="660">
        <f>SUM(D12,D22,D32,D42,D52,D62,D72,D82,D92,D102, D112, D122, D132,D142,D152, D162, D172, D182,D192,D202,D212, D222, D232,D242)</f>
        <v>204117204.995</v>
      </c>
      <c r="E253" s="685"/>
      <c r="F253" s="684"/>
    </row>
    <row r="254" spans="2:6">
      <c r="B254" s="761"/>
      <c r="C254" s="322"/>
      <c r="D254" s="660"/>
      <c r="E254" s="683"/>
      <c r="F254" s="672"/>
    </row>
    <row r="255" spans="2:6" ht="28.5">
      <c r="B255" s="761"/>
      <c r="C255" s="323" t="s">
        <v>337</v>
      </c>
      <c r="D255" s="686">
        <f>IF((D251/D253)&gt;0,D251/D253,0)</f>
        <v>15.544648522292489</v>
      </c>
      <c r="E255" s="687"/>
      <c r="F255" s="688"/>
    </row>
    <row r="256" spans="2:6" ht="15" thickBot="1">
      <c r="B256" s="762"/>
      <c r="C256" s="399"/>
      <c r="D256" s="312"/>
      <c r="E256" s="312"/>
      <c r="F256" s="313"/>
    </row>
    <row r="258" spans="3:4">
      <c r="C258" s="231"/>
      <c r="D258" s="314"/>
    </row>
    <row r="259" spans="3:4">
      <c r="D259" s="315"/>
    </row>
  </sheetData>
  <mergeCells count="76">
    <mergeCell ref="B47:B56"/>
    <mergeCell ref="D55:E55"/>
    <mergeCell ref="D56:E56"/>
    <mergeCell ref="B57:B66"/>
    <mergeCell ref="D65:E65"/>
    <mergeCell ref="D66:E66"/>
    <mergeCell ref="B37:B46"/>
    <mergeCell ref="D45:E45"/>
    <mergeCell ref="D46:E46"/>
    <mergeCell ref="B17:B26"/>
    <mergeCell ref="D26:E26"/>
    <mergeCell ref="B27:B36"/>
    <mergeCell ref="D35:E35"/>
    <mergeCell ref="D36:E36"/>
    <mergeCell ref="D25:E25"/>
    <mergeCell ref="B2:F2"/>
    <mergeCell ref="B3:F3"/>
    <mergeCell ref="B5:E5"/>
    <mergeCell ref="B7:B16"/>
    <mergeCell ref="D16:E16"/>
    <mergeCell ref="D15:E15"/>
    <mergeCell ref="B67:B76"/>
    <mergeCell ref="D75:E75"/>
    <mergeCell ref="D76:E76"/>
    <mergeCell ref="B77:B86"/>
    <mergeCell ref="D85:E85"/>
    <mergeCell ref="D86:E86"/>
    <mergeCell ref="B107:B116"/>
    <mergeCell ref="B117:B126"/>
    <mergeCell ref="D125:E125"/>
    <mergeCell ref="D126:E126"/>
    <mergeCell ref="D115:E115"/>
    <mergeCell ref="D116:E116"/>
    <mergeCell ref="D95:E95"/>
    <mergeCell ref="D96:E96"/>
    <mergeCell ref="B97:B106"/>
    <mergeCell ref="D105:E105"/>
    <mergeCell ref="D106:E106"/>
    <mergeCell ref="B87:B96"/>
    <mergeCell ref="B197:B206"/>
    <mergeCell ref="D205:E205"/>
    <mergeCell ref="D206:E20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D155:E155"/>
    <mergeCell ref="D156:E156"/>
    <mergeCell ref="B187:B196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207:B216"/>
    <mergeCell ref="D215:E215"/>
    <mergeCell ref="D216:E216"/>
    <mergeCell ref="B247:B256"/>
    <mergeCell ref="C247:F247"/>
    <mergeCell ref="B217:B226"/>
    <mergeCell ref="D225:E225"/>
    <mergeCell ref="D226:E226"/>
    <mergeCell ref="B227:B236"/>
    <mergeCell ref="D235:E235"/>
    <mergeCell ref="D236:E236"/>
    <mergeCell ref="B237:B246"/>
    <mergeCell ref="D245:E245"/>
  </mergeCells>
  <printOptions horizontalCentered="1"/>
  <pageMargins left="0" right="0" top="0.5" bottom="0.5" header="0.25" footer="0.25"/>
  <pageSetup scale="80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4" manualBreakCount="4">
    <brk id="56" min="1" max="5" man="1"/>
    <brk id="106" min="1" max="5" man="1"/>
    <brk id="156" min="1" max="5" man="1"/>
    <brk id="206" min="1" max="5" man="1"/>
  </rowBreaks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Normal="100" workbookViewId="0">
      <selection activeCell="F13" sqref="F13"/>
    </sheetView>
  </sheetViews>
  <sheetFormatPr defaultColWidth="8.5703125" defaultRowHeight="12.75"/>
  <cols>
    <col min="1" max="1" width="5.5703125" style="1" customWidth="1"/>
    <col min="2" max="2" width="28.5703125" style="1" customWidth="1"/>
    <col min="3" max="3" width="22.5703125" style="1" customWidth="1"/>
    <col min="4" max="4" width="18.5703125" style="1" bestFit="1" customWidth="1"/>
    <col min="5" max="5" width="20.5703125" style="1" customWidth="1"/>
    <col min="6" max="6" width="26.28515625" style="1" bestFit="1" customWidth="1"/>
    <col min="7" max="7" width="46.42578125" style="1" bestFit="1" customWidth="1"/>
    <col min="8" max="8" width="5.5703125" style="1" customWidth="1"/>
    <col min="9" max="9" width="8.5703125" style="1" customWidth="1"/>
    <col min="10" max="10" width="12.5703125" style="1" customWidth="1"/>
    <col min="11" max="11" width="12.5703125" style="1" bestFit="1" customWidth="1"/>
    <col min="12" max="16384" width="8.5703125" style="1"/>
  </cols>
  <sheetData>
    <row r="2" spans="1:11" s="3" customFormat="1" ht="18" customHeight="1">
      <c r="A2" s="5" t="s">
        <v>0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1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2026 -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401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75">
      <c r="A6" s="5" t="s">
        <v>25</v>
      </c>
      <c r="B6" s="5"/>
      <c r="C6" s="5"/>
      <c r="D6" s="5"/>
      <c r="E6" s="5"/>
      <c r="F6" s="25"/>
      <c r="G6" s="25"/>
      <c r="H6" s="25"/>
    </row>
    <row r="7" spans="1:11" ht="16.5" thickBot="1">
      <c r="A7" s="20"/>
      <c r="B7" s="20"/>
      <c r="C7" s="20"/>
      <c r="D7" s="20"/>
      <c r="E7" s="20"/>
      <c r="F7" s="20"/>
      <c r="G7" s="20"/>
      <c r="H7" s="20"/>
    </row>
    <row r="8" spans="1:11" ht="15.75">
      <c r="A8" s="467"/>
      <c r="B8" s="468"/>
      <c r="C8" s="478" t="s">
        <v>3</v>
      </c>
      <c r="D8" s="479" t="s">
        <v>26</v>
      </c>
      <c r="E8" s="470" t="s">
        <v>5</v>
      </c>
      <c r="F8" s="470" t="s">
        <v>27</v>
      </c>
      <c r="G8" s="480"/>
      <c r="H8" s="391"/>
    </row>
    <row r="9" spans="1:11" ht="15.75">
      <c r="A9" s="471"/>
      <c r="B9" s="36"/>
      <c r="C9" s="36"/>
      <c r="D9" s="36"/>
      <c r="E9" s="41" t="s">
        <v>28</v>
      </c>
      <c r="F9" s="41" t="s">
        <v>29</v>
      </c>
      <c r="G9" s="41"/>
      <c r="H9" s="393"/>
    </row>
    <row r="10" spans="1:11" ht="15.75">
      <c r="A10" s="274" t="s">
        <v>8</v>
      </c>
      <c r="B10" s="41"/>
      <c r="C10" s="41" t="s">
        <v>18</v>
      </c>
      <c r="D10" s="41" t="s">
        <v>7</v>
      </c>
      <c r="E10" s="466" t="s">
        <v>30</v>
      </c>
      <c r="F10" s="466" t="s">
        <v>31</v>
      </c>
      <c r="G10" s="41"/>
      <c r="H10" s="275" t="s">
        <v>8</v>
      </c>
    </row>
    <row r="11" spans="1:11" ht="16.5" thickBot="1">
      <c r="A11" s="472" t="s">
        <v>11</v>
      </c>
      <c r="B11" s="473" t="s">
        <v>32</v>
      </c>
      <c r="C11" s="473" t="s">
        <v>33</v>
      </c>
      <c r="D11" s="473" t="s">
        <v>34</v>
      </c>
      <c r="E11" s="474" t="s">
        <v>9</v>
      </c>
      <c r="F11" s="474" t="s">
        <v>35</v>
      </c>
      <c r="G11" s="473" t="s">
        <v>16</v>
      </c>
      <c r="H11" s="475" t="s">
        <v>11</v>
      </c>
    </row>
    <row r="12" spans="1:11" ht="15.75">
      <c r="A12" s="153"/>
      <c r="B12" s="335"/>
      <c r="C12" s="335"/>
      <c r="D12" s="335"/>
      <c r="E12" s="120"/>
      <c r="F12" s="120"/>
      <c r="G12" s="10"/>
      <c r="H12" s="154"/>
    </row>
    <row r="13" spans="1:11" ht="15.75">
      <c r="A13" s="153">
        <v>1</v>
      </c>
      <c r="B13" s="358">
        <f>'Stmt BD - Forecast KWH'!B12</f>
        <v>46023</v>
      </c>
      <c r="C13" s="359">
        <f>'WP 1.2 Forecast Sales - KWH'!C14</f>
        <v>1518216.7931788256</v>
      </c>
      <c r="D13" s="359">
        <f>'WP 1.2 Forecast Sales - KWH'!C13</f>
        <v>7.5685555555555553</v>
      </c>
      <c r="E13" s="27">
        <f>C13-D13</f>
        <v>1518209.2246232701</v>
      </c>
      <c r="F13" s="27">
        <f>E13*$E$31</f>
        <v>1581063.0865226737</v>
      </c>
      <c r="G13" s="360" t="s">
        <v>36</v>
      </c>
      <c r="H13" s="154">
        <v>1</v>
      </c>
      <c r="J13" s="361"/>
    </row>
    <row r="14" spans="1:11" ht="15.75">
      <c r="A14" s="153">
        <f>A13+1</f>
        <v>2</v>
      </c>
      <c r="B14" s="358">
        <f>'Stmt BD - Forecast KWH'!B13</f>
        <v>46054</v>
      </c>
      <c r="C14" s="359">
        <f>'WP 1.2 Forecast Sales - KWH'!D14</f>
        <v>1382160.7822211981</v>
      </c>
      <c r="D14" s="359">
        <f>'WP 1.2 Forecast Sales - KWH'!D13</f>
        <v>7.5685555555555553</v>
      </c>
      <c r="E14" s="27">
        <f t="shared" ref="E14:E24" si="0">C14-D14</f>
        <v>1382153.2136656425</v>
      </c>
      <c r="F14" s="27">
        <f t="shared" ref="F14:F24" si="1">E14*$E$31</f>
        <v>1439374.3567114002</v>
      </c>
      <c r="G14" s="360" t="str">
        <f>$G$13</f>
        <v>Cols. A to C, WP No. 1; Page 1.2; Lines 11, 10 &amp; 13</v>
      </c>
      <c r="H14" s="154">
        <f>H13+1</f>
        <v>2</v>
      </c>
      <c r="J14" s="361"/>
    </row>
    <row r="15" spans="1:11" ht="15.75">
      <c r="A15" s="153">
        <f t="shared" ref="A15:A35" si="2">A14+1</f>
        <v>3</v>
      </c>
      <c r="B15" s="358">
        <f>'Stmt BD - Forecast KWH'!B14</f>
        <v>46082</v>
      </c>
      <c r="C15" s="359">
        <f>'WP 1.2 Forecast Sales - KWH'!E14</f>
        <v>1318972.9256639367</v>
      </c>
      <c r="D15" s="359">
        <f>'WP 1.2 Forecast Sales - KWH'!E13</f>
        <v>7.5685555555555553</v>
      </c>
      <c r="E15" s="27">
        <f t="shared" si="0"/>
        <v>1318965.3571083811</v>
      </c>
      <c r="F15" s="27">
        <f t="shared" si="1"/>
        <v>1373570.5228926681</v>
      </c>
      <c r="G15" s="360" t="str">
        <f t="shared" ref="G15:G24" si="3">$G$13</f>
        <v>Cols. A to C, WP No. 1; Page 1.2; Lines 11, 10 &amp; 13</v>
      </c>
      <c r="H15" s="154">
        <f t="shared" ref="H15:H35" si="4">H14+1</f>
        <v>3</v>
      </c>
      <c r="J15" s="361"/>
    </row>
    <row r="16" spans="1:11" ht="15.75">
      <c r="A16" s="153">
        <f t="shared" si="2"/>
        <v>4</v>
      </c>
      <c r="B16" s="358">
        <f>'Stmt BD - Forecast KWH'!B15</f>
        <v>46113</v>
      </c>
      <c r="C16" s="359">
        <f>'WP 1.2 Forecast Sales - KWH'!F14</f>
        <v>1247204.6924278149</v>
      </c>
      <c r="D16" s="359">
        <f>'WP 1.2 Forecast Sales - KWH'!F13</f>
        <v>7.5685555555555553</v>
      </c>
      <c r="E16" s="27">
        <f t="shared" si="0"/>
        <v>1247197.1238722594</v>
      </c>
      <c r="F16" s="27">
        <f t="shared" si="1"/>
        <v>1298831.084800571</v>
      </c>
      <c r="G16" s="360" t="str">
        <f t="shared" si="3"/>
        <v>Cols. A to C, WP No. 1; Page 1.2; Lines 11, 10 &amp; 13</v>
      </c>
      <c r="H16" s="154">
        <f t="shared" si="4"/>
        <v>4</v>
      </c>
      <c r="J16" s="361"/>
    </row>
    <row r="17" spans="1:11" ht="15.75">
      <c r="A17" s="153">
        <f t="shared" si="2"/>
        <v>5</v>
      </c>
      <c r="B17" s="358">
        <f>'Stmt BD - Forecast KWH'!B16</f>
        <v>46143</v>
      </c>
      <c r="C17" s="359">
        <f>'WP 1.2 Forecast Sales - KWH'!G14</f>
        <v>1232791.1341776883</v>
      </c>
      <c r="D17" s="359">
        <f>'WP 1.2 Forecast Sales - KWH'!G13</f>
        <v>7.5685555555555553</v>
      </c>
      <c r="E17" s="27">
        <f t="shared" si="0"/>
        <v>1232783.5656221327</v>
      </c>
      <c r="F17" s="27">
        <f t="shared" si="1"/>
        <v>1283820.8052388891</v>
      </c>
      <c r="G17" s="360" t="str">
        <f t="shared" si="3"/>
        <v>Cols. A to C, WP No. 1; Page 1.2; Lines 11, 10 &amp; 13</v>
      </c>
      <c r="H17" s="154">
        <f t="shared" si="4"/>
        <v>5</v>
      </c>
      <c r="J17" s="361"/>
    </row>
    <row r="18" spans="1:11" ht="15.75">
      <c r="A18" s="153">
        <f t="shared" si="2"/>
        <v>6</v>
      </c>
      <c r="B18" s="358">
        <f>'Stmt BD - Forecast KWH'!B17</f>
        <v>46174</v>
      </c>
      <c r="C18" s="359">
        <f>'WP 1.2 Forecast Sales - KWH'!H14</f>
        <v>1295474.2839283552</v>
      </c>
      <c r="D18" s="359">
        <f>'WP 1.2 Forecast Sales - KWH'!H13</f>
        <v>7.5685555555555553</v>
      </c>
      <c r="E18" s="27">
        <f t="shared" si="0"/>
        <v>1295466.7153727997</v>
      </c>
      <c r="F18" s="27">
        <f t="shared" si="1"/>
        <v>1349099.0373892337</v>
      </c>
      <c r="G18" s="360" t="str">
        <f t="shared" si="3"/>
        <v>Cols. A to C, WP No. 1; Page 1.2; Lines 11, 10 &amp; 13</v>
      </c>
      <c r="H18" s="154">
        <f t="shared" si="4"/>
        <v>6</v>
      </c>
      <c r="J18" s="361"/>
    </row>
    <row r="19" spans="1:11" ht="15.75">
      <c r="A19" s="153">
        <f t="shared" si="2"/>
        <v>7</v>
      </c>
      <c r="B19" s="358">
        <f>'Stmt BD - Forecast KWH'!B18</f>
        <v>46204</v>
      </c>
      <c r="C19" s="359">
        <f>'WP 1.2 Forecast Sales - KWH'!I14</f>
        <v>1509254.908089702</v>
      </c>
      <c r="D19" s="359">
        <f>'WP 1.2 Forecast Sales - KWH'!I13</f>
        <v>7.5685555555555553</v>
      </c>
      <c r="E19" s="27">
        <f t="shared" si="0"/>
        <v>1509247.3395341465</v>
      </c>
      <c r="F19" s="27">
        <f t="shared" si="1"/>
        <v>1571730.1793908603</v>
      </c>
      <c r="G19" s="360" t="str">
        <f t="shared" si="3"/>
        <v>Cols. A to C, WP No. 1; Page 1.2; Lines 11, 10 &amp; 13</v>
      </c>
      <c r="H19" s="154">
        <f t="shared" si="4"/>
        <v>7</v>
      </c>
      <c r="J19" s="361"/>
    </row>
    <row r="20" spans="1:11" ht="15.75">
      <c r="A20" s="153">
        <f t="shared" si="2"/>
        <v>8</v>
      </c>
      <c r="B20" s="358">
        <f>'Stmt BD - Forecast KWH'!B19</f>
        <v>46235</v>
      </c>
      <c r="C20" s="359">
        <f>'WP 1.2 Forecast Sales - KWH'!J14</f>
        <v>1698745.9922994559</v>
      </c>
      <c r="D20" s="359">
        <f>'WP 1.2 Forecast Sales - KWH'!J13</f>
        <v>7.5685555555555553</v>
      </c>
      <c r="E20" s="27">
        <f t="shared" si="0"/>
        <v>1698738.4237439004</v>
      </c>
      <c r="F20" s="27">
        <f t="shared" si="1"/>
        <v>1769066.1944868981</v>
      </c>
      <c r="G20" s="360" t="str">
        <f t="shared" si="3"/>
        <v>Cols. A to C, WP No. 1; Page 1.2; Lines 11, 10 &amp; 13</v>
      </c>
      <c r="H20" s="154">
        <f t="shared" si="4"/>
        <v>8</v>
      </c>
      <c r="J20" s="361"/>
    </row>
    <row r="21" spans="1:11" ht="15.75">
      <c r="A21" s="153">
        <f t="shared" si="2"/>
        <v>9</v>
      </c>
      <c r="B21" s="358">
        <f>'Stmt BD - Forecast KWH'!B20</f>
        <v>46266</v>
      </c>
      <c r="C21" s="359">
        <f>'WP 1.2 Forecast Sales - KWH'!K14</f>
        <v>1817181.1109841049</v>
      </c>
      <c r="D21" s="359">
        <f>'WP 1.2 Forecast Sales - KWH'!K13</f>
        <v>7.5685555555555553</v>
      </c>
      <c r="E21" s="27">
        <f t="shared" si="0"/>
        <v>1817173.5424285494</v>
      </c>
      <c r="F21" s="27">
        <f t="shared" si="1"/>
        <v>1892404.5270850915</v>
      </c>
      <c r="G21" s="360" t="str">
        <f t="shared" si="3"/>
        <v>Cols. A to C, WP No. 1; Page 1.2; Lines 11, 10 &amp; 13</v>
      </c>
      <c r="H21" s="154">
        <f t="shared" si="4"/>
        <v>9</v>
      </c>
      <c r="J21" s="361"/>
    </row>
    <row r="22" spans="1:11" ht="15.75">
      <c r="A22" s="153">
        <f t="shared" si="2"/>
        <v>10</v>
      </c>
      <c r="B22" s="358">
        <f>'Stmt BD - Forecast KWH'!B21</f>
        <v>46296</v>
      </c>
      <c r="C22" s="359">
        <f>'WP 1.2 Forecast Sales - KWH'!L14</f>
        <v>1540390.8334026271</v>
      </c>
      <c r="D22" s="359">
        <f>'WP 1.2 Forecast Sales - KWH'!L13</f>
        <v>7.5685555555555553</v>
      </c>
      <c r="E22" s="27">
        <f t="shared" si="0"/>
        <v>1540383.2648470716</v>
      </c>
      <c r="F22" s="27">
        <f t="shared" si="1"/>
        <v>1604155.1320117405</v>
      </c>
      <c r="G22" s="360" t="str">
        <f t="shared" si="3"/>
        <v>Cols. A to C, WP No. 1; Page 1.2; Lines 11, 10 &amp; 13</v>
      </c>
      <c r="H22" s="154">
        <f t="shared" si="4"/>
        <v>10</v>
      </c>
      <c r="J22" s="361"/>
    </row>
    <row r="23" spans="1:11" ht="15.75">
      <c r="A23" s="153">
        <f t="shared" si="2"/>
        <v>11</v>
      </c>
      <c r="B23" s="358">
        <f>'Stmt BD - Forecast KWH'!B22</f>
        <v>46327</v>
      </c>
      <c r="C23" s="359">
        <f>'WP 1.2 Forecast Sales - KWH'!M14</f>
        <v>1383763.5899495056</v>
      </c>
      <c r="D23" s="359">
        <f>'WP 1.2 Forecast Sales - KWH'!M13</f>
        <v>7.5685555555555553</v>
      </c>
      <c r="E23" s="27">
        <f t="shared" si="0"/>
        <v>1383756.0213939501</v>
      </c>
      <c r="F23" s="27">
        <f t="shared" si="1"/>
        <v>1441043.5206796597</v>
      </c>
      <c r="G23" s="360" t="str">
        <f t="shared" si="3"/>
        <v>Cols. A to C, WP No. 1; Page 1.2; Lines 11, 10 &amp; 13</v>
      </c>
      <c r="H23" s="154">
        <f t="shared" si="4"/>
        <v>11</v>
      </c>
      <c r="J23" s="361"/>
    </row>
    <row r="24" spans="1:11" ht="15.75">
      <c r="A24" s="153">
        <f t="shared" si="2"/>
        <v>12</v>
      </c>
      <c r="B24" s="358">
        <f>'Stmt BD - Forecast KWH'!B23</f>
        <v>46357</v>
      </c>
      <c r="C24" s="359">
        <f>'WP 1.2 Forecast Sales - KWH'!N14</f>
        <v>1487362.6120918402</v>
      </c>
      <c r="D24" s="359">
        <f>'WP 1.2 Forecast Sales - KWH'!N13</f>
        <v>7.5685555555555553</v>
      </c>
      <c r="E24" s="27">
        <f t="shared" si="0"/>
        <v>1487355.0435362847</v>
      </c>
      <c r="F24" s="87">
        <f t="shared" si="1"/>
        <v>1548931.542338687</v>
      </c>
      <c r="G24" s="360" t="str">
        <f t="shared" si="3"/>
        <v>Cols. A to C, WP No. 1; Page 1.2; Lines 11, 10 &amp; 13</v>
      </c>
      <c r="H24" s="154">
        <f t="shared" si="4"/>
        <v>12</v>
      </c>
      <c r="J24" s="361"/>
    </row>
    <row r="25" spans="1:11" ht="15.75">
      <c r="A25" s="153">
        <f t="shared" si="2"/>
        <v>13</v>
      </c>
      <c r="B25" s="362"/>
      <c r="C25" s="363"/>
      <c r="D25" s="362"/>
      <c r="E25" s="364"/>
      <c r="F25" s="30"/>
      <c r="G25" s="28"/>
      <c r="H25" s="154">
        <f t="shared" si="4"/>
        <v>13</v>
      </c>
    </row>
    <row r="26" spans="1:11" ht="16.5" thickBot="1">
      <c r="A26" s="153">
        <f t="shared" si="2"/>
        <v>14</v>
      </c>
      <c r="B26" s="13" t="s">
        <v>18</v>
      </c>
      <c r="C26" s="365">
        <f>SUM(C13:C25)</f>
        <v>17431519.658415057</v>
      </c>
      <c r="D26" s="365">
        <f>SUM(D13:D25)</f>
        <v>90.822666666666635</v>
      </c>
      <c r="E26" s="32">
        <f>SUM(E13:E24)</f>
        <v>17431428.835748386</v>
      </c>
      <c r="F26" s="32">
        <f>SUM(F13:F24)</f>
        <v>18153089.989548374</v>
      </c>
      <c r="G26" s="28" t="s">
        <v>19</v>
      </c>
      <c r="H26" s="154">
        <f t="shared" si="4"/>
        <v>14</v>
      </c>
      <c r="J26" s="366"/>
      <c r="K26" s="361"/>
    </row>
    <row r="27" spans="1:11" ht="16.5" thickTop="1">
      <c r="A27" s="153">
        <f t="shared" si="2"/>
        <v>15</v>
      </c>
      <c r="B27" s="340"/>
      <c r="C27" s="367"/>
      <c r="D27" s="367"/>
      <c r="E27" s="30"/>
      <c r="F27" s="368"/>
      <c r="G27" s="28"/>
      <c r="H27" s="154">
        <f t="shared" si="4"/>
        <v>15</v>
      </c>
      <c r="J27" s="366"/>
      <c r="K27" s="361"/>
    </row>
    <row r="28" spans="1:11" ht="16.5" thickBot="1">
      <c r="A28" s="153">
        <f t="shared" si="2"/>
        <v>16</v>
      </c>
      <c r="B28" s="193" t="s">
        <v>37</v>
      </c>
      <c r="C28" s="367"/>
      <c r="D28" s="367"/>
      <c r="E28" s="369">
        <f>E26</f>
        <v>17431428.835748386</v>
      </c>
      <c r="F28" s="30"/>
      <c r="G28" s="370" t="s">
        <v>38</v>
      </c>
      <c r="H28" s="154">
        <f t="shared" si="4"/>
        <v>16</v>
      </c>
      <c r="J28" s="366"/>
      <c r="K28" s="361"/>
    </row>
    <row r="29" spans="1:11" ht="16.5" thickTop="1">
      <c r="A29" s="153">
        <f t="shared" si="2"/>
        <v>17</v>
      </c>
      <c r="B29" s="150"/>
      <c r="C29" s="371"/>
      <c r="D29" s="371"/>
      <c r="E29" s="372"/>
      <c r="F29" s="373"/>
      <c r="G29" s="374"/>
      <c r="H29" s="154">
        <f t="shared" si="4"/>
        <v>17</v>
      </c>
      <c r="J29" s="366"/>
      <c r="K29" s="361"/>
    </row>
    <row r="30" spans="1:11" ht="15.75">
      <c r="A30" s="153">
        <f t="shared" si="2"/>
        <v>18</v>
      </c>
      <c r="B30" s="340"/>
      <c r="C30" s="375"/>
      <c r="D30" s="375"/>
      <c r="E30" s="34"/>
      <c r="F30" s="30"/>
      <c r="G30" s="28"/>
      <c r="H30" s="154">
        <f t="shared" si="4"/>
        <v>18</v>
      </c>
      <c r="J30" s="366"/>
      <c r="K30" s="361"/>
    </row>
    <row r="31" spans="1:11" ht="19.5" thickBot="1">
      <c r="A31" s="153">
        <f t="shared" si="2"/>
        <v>19</v>
      </c>
      <c r="B31" s="193" t="s">
        <v>39</v>
      </c>
      <c r="C31" s="359">
        <v>34669766.045696683</v>
      </c>
      <c r="D31" s="359">
        <v>36106622.107246794</v>
      </c>
      <c r="E31" s="461">
        <f>ROUND(D31/C31,4)</f>
        <v>1.0414000000000001</v>
      </c>
      <c r="F31" s="30"/>
      <c r="G31" s="28" t="s">
        <v>40</v>
      </c>
      <c r="H31" s="154">
        <f t="shared" si="4"/>
        <v>19</v>
      </c>
      <c r="J31" s="366"/>
      <c r="K31" s="361"/>
    </row>
    <row r="32" spans="1:11" ht="16.5" thickTop="1">
      <c r="A32" s="153">
        <f t="shared" si="2"/>
        <v>20</v>
      </c>
      <c r="B32" s="376"/>
      <c r="C32" s="377"/>
      <c r="D32" s="377"/>
      <c r="E32" s="378"/>
      <c r="F32" s="373"/>
      <c r="G32" s="374"/>
      <c r="H32" s="154">
        <f t="shared" si="4"/>
        <v>20</v>
      </c>
      <c r="J32" s="366"/>
      <c r="K32" s="361"/>
    </row>
    <row r="33" spans="1:11" ht="15.75">
      <c r="A33" s="153">
        <f t="shared" si="2"/>
        <v>21</v>
      </c>
      <c r="B33" s="193"/>
      <c r="C33" s="367"/>
      <c r="D33" s="367"/>
      <c r="E33" s="368"/>
      <c r="F33" s="368"/>
      <c r="G33" s="28"/>
      <c r="H33" s="154">
        <f t="shared" si="4"/>
        <v>21</v>
      </c>
      <c r="J33" s="366"/>
      <c r="K33" s="361"/>
    </row>
    <row r="34" spans="1:11" ht="15.75">
      <c r="A34" s="153">
        <f t="shared" si="2"/>
        <v>22</v>
      </c>
      <c r="B34" s="193" t="s">
        <v>41</v>
      </c>
      <c r="C34" s="367"/>
      <c r="D34" s="367"/>
      <c r="E34" s="368"/>
      <c r="F34" s="368">
        <f>F26</f>
        <v>18153089.989548374</v>
      </c>
      <c r="G34" s="370" t="s">
        <v>42</v>
      </c>
      <c r="H34" s="154">
        <f t="shared" si="4"/>
        <v>22</v>
      </c>
      <c r="J34" s="366"/>
      <c r="K34" s="361"/>
    </row>
    <row r="35" spans="1:11" ht="15.75">
      <c r="A35" s="153">
        <f t="shared" si="2"/>
        <v>23</v>
      </c>
      <c r="B35" s="193"/>
      <c r="C35" s="367"/>
      <c r="D35" s="367"/>
      <c r="E35" s="368"/>
      <c r="F35" s="368"/>
      <c r="G35" s="28"/>
      <c r="H35" s="154">
        <f t="shared" si="4"/>
        <v>23</v>
      </c>
      <c r="J35" s="366"/>
      <c r="K35" s="361"/>
    </row>
    <row r="36" spans="1:11" ht="18.75">
      <c r="A36" s="153">
        <f>A35+1</f>
        <v>24</v>
      </c>
      <c r="B36" s="193" t="s">
        <v>43</v>
      </c>
      <c r="C36" s="238"/>
      <c r="D36" s="238"/>
      <c r="E36" s="34"/>
      <c r="F36" s="30">
        <v>79.528916853147251</v>
      </c>
      <c r="G36" s="370" t="s">
        <v>44</v>
      </c>
      <c r="H36" s="154">
        <f>H35+1</f>
        <v>24</v>
      </c>
      <c r="J36" s="366"/>
      <c r="K36" s="361"/>
    </row>
    <row r="37" spans="1:11" ht="15.75">
      <c r="A37" s="153">
        <f t="shared" ref="A37:A40" si="5">A36+1</f>
        <v>25</v>
      </c>
      <c r="B37" s="193"/>
      <c r="C37" s="238"/>
      <c r="D37" s="238"/>
      <c r="E37" s="368"/>
      <c r="F37" s="368"/>
      <c r="G37" s="28"/>
      <c r="H37" s="154">
        <f t="shared" ref="H37:H40" si="6">H36+1</f>
        <v>25</v>
      </c>
      <c r="J37" s="366"/>
      <c r="K37" s="361"/>
    </row>
    <row r="38" spans="1:11" ht="18.75">
      <c r="A38" s="153">
        <f t="shared" si="5"/>
        <v>26</v>
      </c>
      <c r="B38" s="193" t="s">
        <v>45</v>
      </c>
      <c r="C38" s="238"/>
      <c r="D38" s="238"/>
      <c r="E38" s="373"/>
      <c r="F38" s="29">
        <v>-39900.601703728731</v>
      </c>
      <c r="G38" s="28" t="s">
        <v>46</v>
      </c>
      <c r="H38" s="154">
        <f t="shared" si="6"/>
        <v>26</v>
      </c>
      <c r="J38" s="366"/>
      <c r="K38" s="361"/>
    </row>
    <row r="39" spans="1:11" ht="15.75">
      <c r="A39" s="153">
        <f t="shared" si="5"/>
        <v>27</v>
      </c>
      <c r="B39" s="341"/>
      <c r="C39" s="379"/>
      <c r="D39" s="379"/>
      <c r="E39" s="85"/>
      <c r="F39" s="380"/>
      <c r="G39" s="28"/>
      <c r="H39" s="154">
        <f t="shared" si="6"/>
        <v>27</v>
      </c>
    </row>
    <row r="40" spans="1:11" ht="16.5" thickBot="1">
      <c r="A40" s="153">
        <f t="shared" si="5"/>
        <v>28</v>
      </c>
      <c r="B40" s="192" t="s">
        <v>47</v>
      </c>
      <c r="C40" s="20"/>
      <c r="D40" s="20"/>
      <c r="E40" s="381"/>
      <c r="F40" s="382">
        <f>SUM(F34,F36,F38)</f>
        <v>18113268.916761499</v>
      </c>
      <c r="G40" s="383" t="s">
        <v>48</v>
      </c>
      <c r="H40" s="154">
        <f t="shared" si="6"/>
        <v>28</v>
      </c>
    </row>
    <row r="41" spans="1:11" ht="17.25" thickTop="1" thickBot="1">
      <c r="A41" s="159"/>
      <c r="B41" s="110"/>
      <c r="C41" s="110"/>
      <c r="D41" s="110"/>
      <c r="E41" s="483"/>
      <c r="F41" s="484"/>
      <c r="G41" s="229"/>
      <c r="H41" s="160"/>
    </row>
    <row r="42" spans="1:11" ht="15.75">
      <c r="A42" s="20"/>
      <c r="B42" s="20"/>
      <c r="C42" s="20"/>
      <c r="D42" s="20"/>
      <c r="E42" s="20"/>
      <c r="F42" s="20"/>
      <c r="G42" s="20"/>
      <c r="H42" s="20"/>
    </row>
    <row r="43" spans="1:11" ht="18.75">
      <c r="A43" s="271">
        <v>1</v>
      </c>
      <c r="B43" s="20" t="s">
        <v>49</v>
      </c>
      <c r="C43" s="20"/>
      <c r="D43" s="20"/>
      <c r="E43" s="216"/>
      <c r="F43" s="20"/>
      <c r="G43" s="20"/>
      <c r="H43" s="20"/>
    </row>
    <row r="44" spans="1:11" ht="18.75">
      <c r="A44" s="271">
        <v>2</v>
      </c>
      <c r="B44" s="20" t="s">
        <v>402</v>
      </c>
      <c r="C44" s="20"/>
      <c r="D44" s="20"/>
      <c r="E44" s="20"/>
      <c r="F44" s="20"/>
      <c r="G44" s="20"/>
      <c r="H44" s="20"/>
    </row>
    <row r="45" spans="1:11" ht="15.75">
      <c r="A45" s="20"/>
      <c r="B45" s="20" t="s">
        <v>403</v>
      </c>
      <c r="C45" s="20"/>
      <c r="D45" s="20"/>
      <c r="E45" s="20"/>
      <c r="F45" s="20"/>
      <c r="G45" s="20"/>
      <c r="H45" s="20"/>
    </row>
    <row r="46" spans="1:11" ht="18.75">
      <c r="A46" s="271">
        <v>3</v>
      </c>
      <c r="B46" s="384" t="s">
        <v>50</v>
      </c>
      <c r="C46" s="384"/>
      <c r="D46" s="384"/>
      <c r="E46" s="20"/>
      <c r="F46" s="20"/>
      <c r="G46" s="20"/>
      <c r="H46" s="20"/>
    </row>
    <row r="47" spans="1:11" ht="18.75">
      <c r="A47" s="271">
        <v>4</v>
      </c>
      <c r="B47" s="238" t="s">
        <v>51</v>
      </c>
      <c r="C47" s="238"/>
      <c r="D47" s="238"/>
      <c r="E47" s="20"/>
      <c r="F47" s="20"/>
      <c r="G47" s="20"/>
      <c r="H47" s="20"/>
    </row>
    <row r="48" spans="1:11" ht="15.75">
      <c r="A48" s="20"/>
      <c r="B48" s="20"/>
      <c r="C48" s="20"/>
      <c r="D48" s="20"/>
      <c r="E48" s="20"/>
      <c r="F48" s="20"/>
      <c r="G48" s="20"/>
      <c r="H48" s="20"/>
    </row>
    <row r="49" spans="1:8" ht="15.75">
      <c r="A49" s="20"/>
      <c r="B49" s="20"/>
      <c r="C49" s="20"/>
      <c r="D49" s="20"/>
      <c r="E49" s="20"/>
      <c r="F49" s="20"/>
      <c r="G49" s="20"/>
      <c r="H49" s="20"/>
    </row>
    <row r="50" spans="1:8" ht="15.75">
      <c r="A50" s="20"/>
      <c r="B50" s="20"/>
      <c r="C50" s="20"/>
      <c r="D50" s="20"/>
      <c r="E50" s="20"/>
      <c r="F50" s="20"/>
      <c r="G50" s="20"/>
      <c r="H50" s="20"/>
    </row>
    <row r="51" spans="1:8" ht="15.75">
      <c r="A51" s="20"/>
      <c r="B51" s="20"/>
      <c r="C51" s="20"/>
      <c r="D51" s="20"/>
      <c r="E51" s="20"/>
      <c r="F51" s="20"/>
      <c r="G51" s="20"/>
      <c r="H51" s="20"/>
    </row>
    <row r="52" spans="1:8" ht="15.75">
      <c r="A52" s="20"/>
      <c r="B52" s="20"/>
      <c r="C52" s="20"/>
      <c r="D52" s="20"/>
      <c r="E52" s="20"/>
      <c r="F52" s="20"/>
      <c r="G52" s="20"/>
      <c r="H52" s="20"/>
    </row>
    <row r="53" spans="1:8" ht="15.75">
      <c r="A53" s="20"/>
      <c r="B53" s="20"/>
      <c r="C53" s="20"/>
      <c r="D53" s="20"/>
      <c r="E53" s="20"/>
      <c r="F53" s="20"/>
      <c r="G53" s="20"/>
      <c r="H53" s="20"/>
    </row>
    <row r="54" spans="1:8" ht="15.75">
      <c r="A54" s="20"/>
      <c r="B54" s="20"/>
      <c r="C54" s="20"/>
      <c r="D54" s="20"/>
      <c r="E54" s="20"/>
      <c r="F54" s="20"/>
      <c r="G54" s="20"/>
      <c r="H54" s="20"/>
    </row>
    <row r="55" spans="1:8" ht="15.75">
      <c r="A55" s="20"/>
      <c r="B55" s="20"/>
      <c r="C55" s="20"/>
      <c r="D55" s="20"/>
      <c r="E55" s="20"/>
      <c r="F55" s="20"/>
      <c r="G55" s="20"/>
      <c r="H55" s="20"/>
    </row>
    <row r="56" spans="1:8" ht="15.75">
      <c r="A56" s="20"/>
      <c r="B56" s="20"/>
      <c r="C56" s="20"/>
      <c r="D56" s="20"/>
      <c r="E56" s="20"/>
      <c r="F56" s="20"/>
      <c r="G56" s="20"/>
      <c r="H56" s="20"/>
    </row>
    <row r="57" spans="1:8" ht="15.75">
      <c r="A57" s="20"/>
      <c r="B57" s="20"/>
      <c r="C57" s="20"/>
      <c r="D57" s="20"/>
      <c r="E57" s="20"/>
      <c r="F57" s="20"/>
      <c r="G57" s="20"/>
      <c r="H57" s="20"/>
    </row>
    <row r="58" spans="1:8" ht="15.75">
      <c r="A58" s="20"/>
      <c r="B58" s="20"/>
      <c r="C58" s="20"/>
      <c r="D58" s="20"/>
      <c r="E58" s="20"/>
      <c r="F58" s="20"/>
      <c r="G58" s="20"/>
      <c r="H58" s="20"/>
    </row>
    <row r="59" spans="1:8" ht="15.75">
      <c r="A59" s="20"/>
      <c r="B59" s="20"/>
      <c r="C59" s="20"/>
      <c r="D59" s="20"/>
      <c r="E59" s="20"/>
      <c r="F59" s="20"/>
      <c r="G59" s="20"/>
      <c r="H59" s="20"/>
    </row>
    <row r="60" spans="1:8" ht="15.75">
      <c r="A60" s="20"/>
      <c r="B60" s="20"/>
      <c r="C60" s="20"/>
      <c r="D60" s="20"/>
      <c r="E60" s="20"/>
      <c r="F60" s="20"/>
      <c r="G60" s="20"/>
      <c r="H60" s="20"/>
    </row>
    <row r="61" spans="1:8" ht="15.75">
      <c r="A61" s="20"/>
      <c r="B61" s="20"/>
      <c r="C61" s="20"/>
      <c r="D61" s="20"/>
      <c r="E61" s="20"/>
      <c r="F61" s="20"/>
      <c r="G61" s="20"/>
      <c r="H61" s="20"/>
    </row>
    <row r="62" spans="1:8" ht="15.75">
      <c r="A62" s="20"/>
      <c r="B62" s="20"/>
      <c r="C62" s="20"/>
      <c r="D62" s="20"/>
      <c r="E62" s="20"/>
      <c r="F62" s="20"/>
      <c r="G62" s="20"/>
      <c r="H62" s="20"/>
    </row>
    <row r="63" spans="1:8" ht="15.75">
      <c r="A63" s="20"/>
      <c r="B63" s="20"/>
      <c r="C63" s="20"/>
      <c r="D63" s="20"/>
      <c r="E63" s="20"/>
      <c r="F63" s="20"/>
      <c r="G63" s="20"/>
      <c r="H63" s="20"/>
    </row>
    <row r="64" spans="1:8" ht="15.75">
      <c r="A64" s="20"/>
      <c r="B64" s="20"/>
      <c r="C64" s="20"/>
      <c r="D64" s="20"/>
      <c r="E64" s="20"/>
      <c r="F64" s="20"/>
      <c r="G64" s="20"/>
      <c r="H64" s="20"/>
    </row>
    <row r="65" spans="1:8" ht="15.75">
      <c r="A65" s="20"/>
      <c r="B65" s="20"/>
      <c r="C65" s="20"/>
      <c r="D65" s="20"/>
      <c r="E65" s="20"/>
      <c r="F65" s="20"/>
      <c r="G65" s="20"/>
      <c r="H65" s="20"/>
    </row>
    <row r="66" spans="1:8" ht="15.75">
      <c r="A66" s="20"/>
      <c r="B66" s="20"/>
      <c r="C66" s="20"/>
      <c r="D66" s="20"/>
      <c r="E66" s="20"/>
      <c r="F66" s="20"/>
      <c r="G66" s="20"/>
      <c r="H66" s="20"/>
    </row>
    <row r="67" spans="1:8" ht="15.75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1" orientation="landscape" r:id="rId1"/>
  <headerFooter scaleWithDoc="0" alignWithMargins="0">
    <oddFooter>&amp;L&amp;"Times New Roman,Regular"&amp;F&amp;C&amp;"Times New Roman,Regular"Page 3 of 5&amp;R&amp;"Times New Roman,Regular"&amp;A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Normal="100" workbookViewId="0">
      <selection activeCell="L18" sqref="L18"/>
    </sheetView>
  </sheetViews>
  <sheetFormatPr defaultColWidth="9.28515625" defaultRowHeight="15"/>
  <cols>
    <col min="1" max="1" width="20.5703125" style="385" customWidth="1"/>
    <col min="2" max="5" width="7.5703125" style="385" bestFit="1" customWidth="1"/>
    <col min="6" max="6" width="8.28515625" style="385" bestFit="1" customWidth="1"/>
    <col min="7" max="13" width="7.5703125" style="385" bestFit="1" customWidth="1"/>
    <col min="14" max="14" width="11.42578125" style="385" bestFit="1" customWidth="1"/>
    <col min="15" max="16384" width="9.28515625" style="385"/>
  </cols>
  <sheetData>
    <row r="2" spans="1:24" ht="15.75">
      <c r="A2" s="723" t="s">
        <v>0</v>
      </c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</row>
    <row r="3" spans="1:24" ht="15.75">
      <c r="A3" s="723" t="s">
        <v>1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</row>
    <row r="4" spans="1:24" ht="15.75">
      <c r="A4" s="723" t="s">
        <v>2</v>
      </c>
      <c r="B4" s="723"/>
      <c r="C4" s="723"/>
      <c r="D4" s="723"/>
      <c r="E4" s="723"/>
      <c r="F4" s="723"/>
      <c r="G4" s="723"/>
      <c r="H4" s="723"/>
      <c r="I4" s="723"/>
      <c r="J4" s="723"/>
      <c r="K4" s="723"/>
      <c r="L4" s="723"/>
      <c r="M4" s="723"/>
      <c r="N4" s="723"/>
    </row>
    <row r="5" spans="1:24" ht="15.75">
      <c r="A5" s="724" t="s">
        <v>404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583"/>
      <c r="P5" s="583"/>
      <c r="Q5" s="583"/>
      <c r="R5" s="583"/>
      <c r="S5" s="583"/>
      <c r="T5" s="583"/>
      <c r="U5" s="583"/>
      <c r="V5" s="583"/>
      <c r="W5" s="583"/>
      <c r="X5" s="583"/>
    </row>
    <row r="6" spans="1:24" ht="15.75">
      <c r="A6" s="724" t="s">
        <v>25</v>
      </c>
      <c r="B6" s="724"/>
      <c r="C6" s="724"/>
      <c r="D6" s="724"/>
      <c r="E6" s="724"/>
      <c r="F6" s="724"/>
      <c r="G6" s="724"/>
      <c r="H6" s="724"/>
      <c r="I6" s="724"/>
      <c r="J6" s="724"/>
      <c r="K6" s="724"/>
      <c r="L6" s="724"/>
      <c r="M6" s="724"/>
      <c r="N6" s="724"/>
      <c r="O6" s="583"/>
      <c r="P6" s="583"/>
      <c r="Q6" s="583"/>
      <c r="R6" s="583"/>
      <c r="S6" s="583"/>
      <c r="T6" s="583"/>
      <c r="U6" s="583"/>
      <c r="V6" s="583"/>
      <c r="W6" s="583"/>
      <c r="X6" s="583"/>
    </row>
    <row r="7" spans="1:24" ht="16.5" thickBot="1">
      <c r="A7" s="584"/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3"/>
      <c r="P7" s="583"/>
      <c r="Q7" s="583"/>
      <c r="R7" s="583"/>
      <c r="S7" s="583"/>
      <c r="T7" s="583"/>
      <c r="U7" s="583"/>
      <c r="V7" s="583"/>
      <c r="W7" s="583"/>
      <c r="X7" s="583"/>
    </row>
    <row r="8" spans="1:24" ht="15.75" thickBot="1">
      <c r="A8" s="572" t="s">
        <v>405</v>
      </c>
      <c r="B8" s="573" t="s">
        <v>52</v>
      </c>
      <c r="C8" s="574" t="s">
        <v>53</v>
      </c>
      <c r="D8" s="574" t="s">
        <v>54</v>
      </c>
      <c r="E8" s="574" t="s">
        <v>55</v>
      </c>
      <c r="F8" s="574" t="s">
        <v>56</v>
      </c>
      <c r="G8" s="574" t="s">
        <v>57</v>
      </c>
      <c r="H8" s="574" t="s">
        <v>58</v>
      </c>
      <c r="I8" s="574" t="s">
        <v>59</v>
      </c>
      <c r="J8" s="574" t="s">
        <v>60</v>
      </c>
      <c r="K8" s="574" t="s">
        <v>61</v>
      </c>
      <c r="L8" s="574" t="s">
        <v>62</v>
      </c>
      <c r="M8" s="575" t="s">
        <v>63</v>
      </c>
      <c r="N8" s="585" t="s">
        <v>18</v>
      </c>
      <c r="O8" s="586"/>
      <c r="P8" s="583"/>
      <c r="Q8" s="583"/>
      <c r="R8" s="583"/>
      <c r="S8" s="583"/>
      <c r="T8" s="583"/>
      <c r="U8" s="583"/>
      <c r="V8" s="583"/>
      <c r="W8" s="583"/>
      <c r="X8" s="583"/>
    </row>
    <row r="9" spans="1:24" ht="29.25" thickBot="1">
      <c r="A9" s="627" t="s">
        <v>64</v>
      </c>
      <c r="B9" s="625">
        <v>31.270799999999944</v>
      </c>
      <c r="C9" s="625">
        <v>33.680030000000031</v>
      </c>
      <c r="D9" s="625">
        <v>13.719480000000001</v>
      </c>
      <c r="E9" s="625">
        <v>0</v>
      </c>
      <c r="F9" s="625">
        <v>0</v>
      </c>
      <c r="G9" s="625">
        <v>0</v>
      </c>
      <c r="H9" s="625">
        <v>0</v>
      </c>
      <c r="I9" s="625">
        <v>0</v>
      </c>
      <c r="J9" s="625">
        <v>0</v>
      </c>
      <c r="K9" s="625">
        <v>0</v>
      </c>
      <c r="L9" s="625">
        <v>0</v>
      </c>
      <c r="M9" s="625">
        <v>0</v>
      </c>
      <c r="N9" s="626">
        <f>SUM(B9:M9)</f>
        <v>78.670309999999972</v>
      </c>
      <c r="O9" s="586"/>
      <c r="P9" s="583"/>
      <c r="Q9" s="583"/>
      <c r="R9" s="583"/>
      <c r="S9" s="583"/>
      <c r="T9" s="583"/>
      <c r="U9" s="583"/>
      <c r="V9" s="583"/>
      <c r="W9" s="583"/>
      <c r="X9" s="583"/>
    </row>
    <row r="10" spans="1:24">
      <c r="A10" s="587"/>
      <c r="B10" s="588"/>
      <c r="C10" s="588"/>
      <c r="D10" s="588"/>
      <c r="E10" s="588"/>
      <c r="F10" s="588"/>
      <c r="G10" s="588"/>
      <c r="H10" s="588"/>
      <c r="I10" s="588"/>
      <c r="J10" s="588"/>
      <c r="K10" s="588"/>
      <c r="L10" s="588"/>
      <c r="M10" s="588"/>
      <c r="N10" s="589"/>
      <c r="O10" s="586"/>
      <c r="P10" s="583"/>
      <c r="Q10" s="583"/>
      <c r="R10" s="583"/>
      <c r="S10" s="583"/>
      <c r="T10" s="583"/>
      <c r="U10" s="583"/>
      <c r="V10" s="583"/>
      <c r="W10" s="583"/>
      <c r="X10" s="583"/>
    </row>
    <row r="11" spans="1:24">
      <c r="A11" s="583"/>
      <c r="B11" s="583"/>
      <c r="C11" s="583"/>
      <c r="D11" s="583"/>
      <c r="E11" s="583"/>
      <c r="F11" s="583"/>
      <c r="G11" s="583"/>
      <c r="H11" s="583"/>
      <c r="I11" s="583" t="s">
        <v>65</v>
      </c>
      <c r="J11" s="583"/>
      <c r="K11" s="583"/>
      <c r="L11" s="583"/>
      <c r="M11" s="583"/>
      <c r="N11" s="590">
        <v>1.0109139884302893</v>
      </c>
      <c r="O11" s="583"/>
      <c r="P11" s="583"/>
      <c r="Q11" s="583"/>
      <c r="R11" s="583"/>
      <c r="S11" s="583"/>
      <c r="T11" s="583"/>
      <c r="U11" s="583"/>
      <c r="V11" s="583"/>
      <c r="W11" s="583"/>
      <c r="X11" s="583"/>
    </row>
    <row r="12" spans="1:24">
      <c r="A12" s="583"/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91"/>
      <c r="O12" s="583"/>
      <c r="P12" s="583"/>
      <c r="Q12" s="583"/>
      <c r="R12" s="583"/>
      <c r="S12" s="583"/>
      <c r="T12" s="583"/>
      <c r="U12" s="583"/>
      <c r="V12" s="583"/>
      <c r="W12" s="583"/>
      <c r="X12" s="583"/>
    </row>
    <row r="13" spans="1:24" ht="15.75" thickBot="1">
      <c r="A13" s="583"/>
      <c r="B13" s="583"/>
      <c r="C13" s="583"/>
      <c r="D13" s="583"/>
      <c r="E13" s="583"/>
      <c r="F13" s="583"/>
      <c r="G13" s="583"/>
      <c r="H13" s="583"/>
      <c r="I13" s="583" t="s">
        <v>66</v>
      </c>
      <c r="J13" s="583"/>
      <c r="K13" s="583"/>
      <c r="L13" s="583"/>
      <c r="M13" s="583"/>
      <c r="N13" s="592">
        <f>N9*N11</f>
        <v>79.528916853147251</v>
      </c>
      <c r="O13" s="583"/>
      <c r="P13" s="583"/>
      <c r="Q13" s="583"/>
      <c r="R13" s="583"/>
      <c r="S13" s="583"/>
      <c r="T13" s="583"/>
      <c r="U13" s="583"/>
      <c r="V13" s="583"/>
      <c r="W13" s="583"/>
      <c r="X13" s="583"/>
    </row>
    <row r="14" spans="1:24" ht="15.75" thickTop="1">
      <c r="A14" s="583"/>
      <c r="B14" s="583"/>
      <c r="C14" s="583"/>
      <c r="D14" s="583"/>
      <c r="E14" s="583"/>
      <c r="F14" s="583"/>
      <c r="G14" s="583"/>
      <c r="H14" s="583"/>
      <c r="I14" s="583"/>
      <c r="J14" s="583"/>
      <c r="K14" s="583"/>
      <c r="L14" s="583"/>
      <c r="M14" s="583"/>
      <c r="N14" s="593"/>
      <c r="O14" s="583"/>
      <c r="P14" s="583"/>
      <c r="Q14" s="583"/>
      <c r="R14" s="583"/>
      <c r="S14" s="583"/>
      <c r="T14" s="583"/>
      <c r="U14" s="583"/>
      <c r="V14" s="583"/>
      <c r="W14" s="583"/>
      <c r="X14" s="583"/>
    </row>
    <row r="15" spans="1:24">
      <c r="A15" s="583"/>
      <c r="B15" s="583"/>
      <c r="C15" s="583"/>
      <c r="D15" s="583"/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  <c r="Q15" s="583"/>
      <c r="R15" s="583"/>
      <c r="S15" s="583"/>
      <c r="T15" s="583"/>
      <c r="U15" s="583"/>
      <c r="V15" s="583"/>
      <c r="W15" s="583"/>
      <c r="X15" s="583"/>
    </row>
    <row r="16" spans="1:24">
      <c r="A16" s="583"/>
      <c r="B16" s="583"/>
      <c r="C16" s="583"/>
      <c r="D16" s="583"/>
      <c r="E16" s="583"/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  <c r="Q16" s="583"/>
      <c r="R16" s="583"/>
      <c r="S16" s="583"/>
      <c r="T16" s="583"/>
      <c r="U16" s="583"/>
      <c r="V16" s="583"/>
      <c r="W16" s="583"/>
      <c r="X16" s="583"/>
    </row>
    <row r="17" spans="1:24">
      <c r="A17" s="583"/>
      <c r="B17" s="583"/>
      <c r="C17" s="583"/>
      <c r="D17" s="583"/>
      <c r="E17" s="583"/>
      <c r="F17" s="583"/>
      <c r="G17" s="583"/>
      <c r="H17" s="583"/>
      <c r="I17" s="583"/>
      <c r="J17" s="583"/>
      <c r="K17" s="583"/>
      <c r="L17" s="583"/>
      <c r="M17" s="583"/>
      <c r="N17" s="583"/>
      <c r="O17" s="583"/>
      <c r="P17" s="583"/>
      <c r="Q17" s="583"/>
      <c r="R17" s="583"/>
      <c r="S17" s="583"/>
      <c r="T17" s="583"/>
      <c r="U17" s="583"/>
      <c r="V17" s="583"/>
      <c r="W17" s="583"/>
      <c r="X17" s="583"/>
    </row>
    <row r="18" spans="1:24">
      <c r="A18" s="583"/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  <c r="P18" s="583"/>
      <c r="Q18" s="583"/>
      <c r="R18" s="583"/>
      <c r="S18" s="583"/>
      <c r="T18" s="583"/>
      <c r="U18" s="583"/>
      <c r="V18" s="583"/>
      <c r="W18" s="583"/>
      <c r="X18" s="583"/>
    </row>
    <row r="19" spans="1:24">
      <c r="A19" s="583"/>
      <c r="B19" s="583"/>
      <c r="C19" s="583"/>
      <c r="D19" s="583"/>
      <c r="E19" s="583"/>
      <c r="F19" s="583"/>
      <c r="G19" s="583"/>
      <c r="H19" s="583"/>
      <c r="I19" s="583"/>
      <c r="J19" s="583"/>
      <c r="K19" s="583"/>
      <c r="L19" s="583"/>
      <c r="M19" s="583"/>
      <c r="N19" s="583"/>
      <c r="O19" s="583"/>
      <c r="P19" s="583"/>
      <c r="Q19" s="583"/>
      <c r="R19" s="583"/>
      <c r="S19" s="583"/>
      <c r="T19" s="583"/>
      <c r="U19" s="583"/>
      <c r="V19" s="583"/>
      <c r="W19" s="583"/>
      <c r="X19" s="583"/>
    </row>
    <row r="20" spans="1:24">
      <c r="A20" s="583"/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  <c r="P20" s="583"/>
      <c r="Q20" s="583"/>
      <c r="R20" s="583"/>
      <c r="S20" s="583"/>
      <c r="T20" s="583"/>
      <c r="U20" s="583"/>
      <c r="V20" s="583"/>
      <c r="W20" s="583"/>
      <c r="X20" s="583"/>
    </row>
    <row r="21" spans="1:24">
      <c r="A21" s="583"/>
      <c r="B21" s="583"/>
      <c r="C21" s="583"/>
      <c r="D21" s="583"/>
      <c r="E21" s="583"/>
      <c r="F21" s="583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3"/>
      <c r="R21" s="583"/>
      <c r="S21" s="583"/>
      <c r="T21" s="583"/>
      <c r="U21" s="583"/>
      <c r="V21" s="583"/>
      <c r="W21" s="583"/>
      <c r="X21" s="583"/>
    </row>
    <row r="22" spans="1:24">
      <c r="A22" s="583"/>
      <c r="B22" s="583"/>
      <c r="C22" s="583"/>
      <c r="D22" s="583"/>
      <c r="E22" s="583"/>
      <c r="F22" s="583"/>
      <c r="G22" s="583"/>
      <c r="H22" s="583"/>
      <c r="I22" s="583"/>
      <c r="J22" s="583"/>
      <c r="K22" s="583"/>
      <c r="L22" s="583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zoomScaleNormal="100" workbookViewId="0">
      <selection activeCell="C22" sqref="C22"/>
    </sheetView>
  </sheetViews>
  <sheetFormatPr defaultColWidth="9.28515625" defaultRowHeight="15"/>
  <cols>
    <col min="1" max="1" width="9.28515625" style="555"/>
    <col min="2" max="2" width="54" style="570" customWidth="1"/>
    <col min="3" max="3" width="13.5703125" style="555" customWidth="1"/>
    <col min="4" max="4" width="33.28515625" style="555" customWidth="1"/>
    <col min="5" max="5" width="10.5703125" style="555" customWidth="1"/>
    <col min="6" max="16384" width="9.28515625" style="555"/>
  </cols>
  <sheetData>
    <row r="2" spans="1:5" ht="15.75">
      <c r="B2" s="725" t="s">
        <v>0</v>
      </c>
      <c r="C2" s="725"/>
      <c r="D2" s="725"/>
    </row>
    <row r="3" spans="1:5" ht="15.75">
      <c r="B3" s="725" t="s">
        <v>1</v>
      </c>
      <c r="C3" s="725"/>
      <c r="D3" s="725"/>
    </row>
    <row r="4" spans="1:5" ht="15.75">
      <c r="B4" s="725" t="s">
        <v>2</v>
      </c>
      <c r="C4" s="725"/>
      <c r="D4" s="725"/>
    </row>
    <row r="5" spans="1:5" ht="15.75">
      <c r="B5" s="725" t="s">
        <v>67</v>
      </c>
      <c r="C5" s="725"/>
      <c r="D5" s="725"/>
    </row>
    <row r="6" spans="1:5" ht="15.75">
      <c r="B6" s="725" t="s">
        <v>406</v>
      </c>
      <c r="C6" s="725"/>
      <c r="D6" s="725"/>
    </row>
    <row r="7" spans="1:5" ht="15.75">
      <c r="B7" s="556"/>
      <c r="C7" s="556"/>
      <c r="D7" s="556"/>
    </row>
    <row r="8" spans="1:5" ht="16.5" thickBot="1">
      <c r="A8" s="557" t="s">
        <v>68</v>
      </c>
      <c r="B8" s="557" t="s">
        <v>69</v>
      </c>
      <c r="C8" s="557" t="s">
        <v>70</v>
      </c>
      <c r="D8" s="557" t="s">
        <v>16</v>
      </c>
      <c r="E8" s="557" t="s">
        <v>68</v>
      </c>
    </row>
    <row r="9" spans="1:5" ht="15.75">
      <c r="A9" s="558"/>
      <c r="B9" s="559"/>
      <c r="C9" s="560"/>
      <c r="D9" s="561"/>
      <c r="E9" s="562"/>
    </row>
    <row r="10" spans="1:5" ht="15.75">
      <c r="A10" s="558">
        <v>1</v>
      </c>
      <c r="B10" s="560" t="s">
        <v>71</v>
      </c>
      <c r="C10" s="560">
        <v>78.670309999999972</v>
      </c>
      <c r="D10" s="561" t="s">
        <v>72</v>
      </c>
      <c r="E10" s="558">
        <v>1</v>
      </c>
    </row>
    <row r="11" spans="1:5" ht="15.75">
      <c r="A11" s="558"/>
      <c r="B11" s="560"/>
      <c r="C11" s="560"/>
      <c r="D11" s="561"/>
      <c r="E11" s="558"/>
    </row>
    <row r="12" spans="1:5" ht="15.75">
      <c r="A12" s="558">
        <f>A10+1</f>
        <v>2</v>
      </c>
      <c r="B12" s="560" t="s">
        <v>73</v>
      </c>
      <c r="C12" s="563">
        <v>39548.498762650997</v>
      </c>
      <c r="D12" s="561" t="s">
        <v>72</v>
      </c>
      <c r="E12" s="558">
        <f>E10+1</f>
        <v>2</v>
      </c>
    </row>
    <row r="13" spans="1:5" ht="15.75">
      <c r="A13" s="558"/>
      <c r="B13" s="560"/>
      <c r="C13" s="560"/>
      <c r="D13" s="561"/>
      <c r="E13" s="558"/>
    </row>
    <row r="14" spans="1:5" ht="15.75">
      <c r="A14" s="558">
        <f>A12+1</f>
        <v>3</v>
      </c>
      <c r="B14" s="560" t="s">
        <v>74</v>
      </c>
      <c r="C14" s="560">
        <f>C10-C12</f>
        <v>-39469.828452650996</v>
      </c>
      <c r="D14" s="561" t="s">
        <v>75</v>
      </c>
      <c r="E14" s="558">
        <f>E12+1</f>
        <v>3</v>
      </c>
    </row>
    <row r="15" spans="1:5" ht="15.75">
      <c r="A15" s="558"/>
      <c r="B15" s="560"/>
      <c r="C15" s="560"/>
      <c r="D15" s="561"/>
      <c r="E15" s="558"/>
    </row>
    <row r="16" spans="1:5" ht="15.75">
      <c r="A16" s="558">
        <f>A14+1</f>
        <v>4</v>
      </c>
      <c r="B16" s="564" t="s">
        <v>65</v>
      </c>
      <c r="C16" s="565">
        <v>1.0109139884302893</v>
      </c>
      <c r="D16" s="561" t="s">
        <v>72</v>
      </c>
      <c r="E16" s="558">
        <f>E14+1</f>
        <v>4</v>
      </c>
    </row>
    <row r="17" spans="1:5" ht="15.75">
      <c r="A17" s="558"/>
      <c r="B17" s="564"/>
      <c r="C17" s="567"/>
      <c r="D17" s="566"/>
      <c r="E17" s="558"/>
    </row>
    <row r="18" spans="1:5" ht="18.75">
      <c r="A18" s="568">
        <f>A16+1</f>
        <v>5</v>
      </c>
      <c r="B18" s="632" t="s">
        <v>76</v>
      </c>
      <c r="C18" s="569">
        <f>C14*C16</f>
        <v>-39900.601703728731</v>
      </c>
      <c r="D18" s="624" t="s">
        <v>77</v>
      </c>
      <c r="E18" s="568">
        <f>E16+1</f>
        <v>5</v>
      </c>
    </row>
    <row r="19" spans="1:5" ht="15.75">
      <c r="A19" s="558"/>
    </row>
    <row r="20" spans="1:5" ht="18.75">
      <c r="A20" s="271">
        <v>1</v>
      </c>
      <c r="B20" s="20" t="s">
        <v>78</v>
      </c>
    </row>
    <row r="21" spans="1:5" ht="15.75">
      <c r="B21" s="571"/>
    </row>
  </sheetData>
  <mergeCells count="5">
    <mergeCell ref="B2:D2"/>
    <mergeCell ref="B3:D3"/>
    <mergeCell ref="B4:D4"/>
    <mergeCell ref="B5:D5"/>
    <mergeCell ref="B6:D6"/>
  </mergeCells>
  <printOptions horizontalCentered="1"/>
  <pageMargins left="0" right="0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5&amp;R&amp;"Times New Roman,Regular"&amp;12Stmt BD - Pump Load TU Adjustment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95"/>
  <sheetViews>
    <sheetView zoomScaleNormal="100" workbookViewId="0">
      <selection activeCell="F14" sqref="F14"/>
    </sheetView>
  </sheetViews>
  <sheetFormatPr defaultRowHeight="12.75"/>
  <cols>
    <col min="1" max="1" width="5.5703125" customWidth="1"/>
    <col min="2" max="2" width="39.28515625" bestFit="1" customWidth="1"/>
    <col min="3" max="4" width="20.7109375" bestFit="1" customWidth="1"/>
    <col min="5" max="6" width="18.5703125" customWidth="1"/>
    <col min="7" max="7" width="35.5703125" customWidth="1"/>
    <col min="8" max="8" width="5.5703125" customWidth="1"/>
  </cols>
  <sheetData>
    <row r="2" spans="1:15" ht="15.75">
      <c r="A2" s="5" t="s">
        <v>79</v>
      </c>
      <c r="B2" s="241"/>
      <c r="C2" s="241"/>
      <c r="D2" s="241"/>
      <c r="E2" s="241"/>
      <c r="F2" s="241"/>
      <c r="G2" s="241"/>
      <c r="H2" s="241"/>
    </row>
    <row r="3" spans="1:15" ht="15.75">
      <c r="A3" s="5" t="s">
        <v>1</v>
      </c>
      <c r="B3" s="25"/>
      <c r="C3" s="25"/>
      <c r="D3" s="25"/>
      <c r="E3" s="25"/>
      <c r="F3" s="25"/>
      <c r="G3" s="25"/>
      <c r="H3" s="25"/>
    </row>
    <row r="4" spans="1:15" s="20" customFormat="1" ht="18" customHeight="1">
      <c r="A4" s="726" t="s">
        <v>80</v>
      </c>
      <c r="B4" s="726"/>
      <c r="C4" s="726"/>
      <c r="D4" s="726"/>
      <c r="E4" s="726"/>
      <c r="F4" s="726"/>
      <c r="G4" s="726"/>
      <c r="H4" s="726"/>
      <c r="I4" s="726"/>
      <c r="J4" s="386"/>
      <c r="K4" s="386"/>
      <c r="L4" s="386"/>
      <c r="M4" s="386"/>
      <c r="N4" s="386"/>
      <c r="O4" s="386"/>
    </row>
    <row r="5" spans="1:15" ht="15.75">
      <c r="A5" s="726" t="s">
        <v>81</v>
      </c>
      <c r="B5" s="726"/>
      <c r="C5" s="726"/>
      <c r="D5" s="726"/>
      <c r="E5" s="726"/>
      <c r="F5" s="726"/>
      <c r="G5" s="726"/>
      <c r="H5" s="726"/>
    </row>
    <row r="6" spans="1:15" ht="15.75">
      <c r="A6" s="5" t="s">
        <v>407</v>
      </c>
      <c r="B6" s="25"/>
      <c r="C6" s="242"/>
      <c r="D6" s="242"/>
      <c r="E6" s="242"/>
      <c r="F6" s="243"/>
      <c r="G6" s="242"/>
      <c r="H6" s="25"/>
    </row>
    <row r="7" spans="1:15" ht="16.5" thickBot="1">
      <c r="A7" s="31"/>
      <c r="B7" s="39"/>
      <c r="C7" s="39"/>
      <c r="D7" s="39"/>
      <c r="E7" s="39"/>
      <c r="F7" s="39"/>
      <c r="G7" s="20"/>
      <c r="H7" s="20"/>
    </row>
    <row r="8" spans="1:15" ht="15.75">
      <c r="A8" s="485"/>
      <c r="B8" s="478"/>
      <c r="C8" s="402" t="s">
        <v>3</v>
      </c>
      <c r="D8" s="402" t="s">
        <v>26</v>
      </c>
      <c r="E8" s="402" t="s">
        <v>5</v>
      </c>
      <c r="F8" s="402" t="s">
        <v>82</v>
      </c>
      <c r="G8" s="478"/>
      <c r="H8" s="486"/>
    </row>
    <row r="9" spans="1:15" ht="15.75">
      <c r="A9" s="274"/>
      <c r="B9" s="41"/>
      <c r="C9" s="466" t="s">
        <v>83</v>
      </c>
      <c r="D9" s="466" t="s">
        <v>84</v>
      </c>
      <c r="E9" s="41"/>
      <c r="F9" s="41"/>
      <c r="G9" s="41"/>
      <c r="H9" s="275"/>
    </row>
    <row r="10" spans="1:15" ht="15.75">
      <c r="A10" s="274"/>
      <c r="B10" s="36"/>
      <c r="C10" s="41">
        <v>2026</v>
      </c>
      <c r="D10" s="41">
        <f>C10</f>
        <v>2026</v>
      </c>
      <c r="E10" s="41"/>
      <c r="F10" s="41"/>
      <c r="G10" s="41"/>
      <c r="H10" s="275"/>
    </row>
    <row r="11" spans="1:15" ht="15.75">
      <c r="A11" s="274" t="s">
        <v>8</v>
      </c>
      <c r="B11" s="36"/>
      <c r="C11" s="41" t="s">
        <v>85</v>
      </c>
      <c r="D11" s="41" t="s">
        <v>85</v>
      </c>
      <c r="E11" s="41"/>
      <c r="F11" s="466" t="s">
        <v>86</v>
      </c>
      <c r="G11" s="41"/>
      <c r="H11" s="275" t="s">
        <v>8</v>
      </c>
    </row>
    <row r="12" spans="1:15" ht="19.5" thickBot="1">
      <c r="A12" s="472" t="s">
        <v>11</v>
      </c>
      <c r="B12" s="473" t="s">
        <v>87</v>
      </c>
      <c r="C12" s="474" t="s">
        <v>88</v>
      </c>
      <c r="D12" s="474" t="s">
        <v>89</v>
      </c>
      <c r="E12" s="473" t="s">
        <v>90</v>
      </c>
      <c r="F12" s="473" t="s">
        <v>91</v>
      </c>
      <c r="G12" s="473" t="s">
        <v>16</v>
      </c>
      <c r="H12" s="475" t="s">
        <v>11</v>
      </c>
    </row>
    <row r="13" spans="1:15" ht="15.75">
      <c r="A13" s="153"/>
      <c r="B13" s="580"/>
      <c r="C13" s="41"/>
      <c r="D13" s="41"/>
      <c r="E13" s="10"/>
      <c r="F13" s="120"/>
      <c r="G13" s="10"/>
      <c r="H13" s="154"/>
    </row>
    <row r="14" spans="1:15" ht="15.75">
      <c r="A14" s="153">
        <v>1</v>
      </c>
      <c r="B14" s="16" t="s">
        <v>92</v>
      </c>
      <c r="C14" s="17">
        <f>'Stmt BG - Page 2'!I30</f>
        <v>-54905400.437380999</v>
      </c>
      <c r="D14" s="17">
        <f>'Stmt BH - Page 1'!I30</f>
        <v>-111856621.43486582</v>
      </c>
      <c r="E14" s="17">
        <f>C14-D14</f>
        <v>56951220.997484818</v>
      </c>
      <c r="F14" s="66">
        <f>E14/D14</f>
        <v>-0.50914483440434999</v>
      </c>
      <c r="G14" s="244" t="s">
        <v>93</v>
      </c>
      <c r="H14" s="154">
        <v>1</v>
      </c>
    </row>
    <row r="15" spans="1:15" ht="15.75">
      <c r="A15" s="153">
        <f>A14+1</f>
        <v>2</v>
      </c>
      <c r="B15" s="11"/>
      <c r="C15" s="17"/>
      <c r="D15" s="17"/>
      <c r="E15" s="17"/>
      <c r="F15" s="17"/>
      <c r="G15" s="244" t="s">
        <v>94</v>
      </c>
      <c r="H15" s="154">
        <f>H14+1</f>
        <v>2</v>
      </c>
    </row>
    <row r="16" spans="1:15" ht="15.75">
      <c r="A16" s="153">
        <f t="shared" ref="A16:A28" si="0">A15+1</f>
        <v>3</v>
      </c>
      <c r="B16" s="16" t="s">
        <v>95</v>
      </c>
      <c r="C16" s="17">
        <f>'Stmt BG - Page 2'!I32</f>
        <v>-24250057.538469288</v>
      </c>
      <c r="D16" s="17">
        <f>'Stmt BH - Page 1'!I32</f>
        <v>-49403692.246045694</v>
      </c>
      <c r="E16" s="21">
        <f>C16-D16</f>
        <v>25153634.707576405</v>
      </c>
      <c r="F16" s="66">
        <f>E16/D16</f>
        <v>-0.50914483440434999</v>
      </c>
      <c r="G16" s="244" t="s">
        <v>96</v>
      </c>
      <c r="H16" s="154">
        <f t="shared" ref="H16:H28" si="1">H15+1</f>
        <v>3</v>
      </c>
    </row>
    <row r="17" spans="1:8" ht="15.75">
      <c r="A17" s="153">
        <f t="shared" si="0"/>
        <v>4</v>
      </c>
      <c r="B17" s="245"/>
      <c r="C17" s="21"/>
      <c r="D17" s="17"/>
      <c r="E17" s="21"/>
      <c r="F17" s="66"/>
      <c r="G17" s="244" t="s">
        <v>97</v>
      </c>
      <c r="H17" s="154">
        <f t="shared" si="1"/>
        <v>4</v>
      </c>
    </row>
    <row r="18" spans="1:8" ht="15.75">
      <c r="A18" s="153">
        <f t="shared" si="0"/>
        <v>5</v>
      </c>
      <c r="B18" s="16" t="s">
        <v>98</v>
      </c>
      <c r="C18" s="17">
        <f>'Stmt BG - Page 2'!I34</f>
        <v>-89194708.24124667</v>
      </c>
      <c r="D18" s="17">
        <f>'Stmt BH - Page 1'!I34</f>
        <v>-181712884.96680969</v>
      </c>
      <c r="E18" s="21">
        <f>C18-D18</f>
        <v>92518176.72556302</v>
      </c>
      <c r="F18" s="66">
        <f>E18/D18</f>
        <v>-0.50914483440434999</v>
      </c>
      <c r="G18" s="244" t="s">
        <v>99</v>
      </c>
      <c r="H18" s="154">
        <f t="shared" si="1"/>
        <v>5</v>
      </c>
    </row>
    <row r="19" spans="1:8" ht="15.75">
      <c r="A19" s="153">
        <f t="shared" si="0"/>
        <v>6</v>
      </c>
      <c r="B19" s="16"/>
      <c r="C19" s="17"/>
      <c r="D19" s="17"/>
      <c r="E19" s="21"/>
      <c r="F19" s="66"/>
      <c r="G19" s="244" t="s">
        <v>100</v>
      </c>
      <c r="H19" s="154">
        <f t="shared" si="1"/>
        <v>6</v>
      </c>
    </row>
    <row r="20" spans="1:8" ht="15.75">
      <c r="A20" s="153">
        <f t="shared" si="0"/>
        <v>7</v>
      </c>
      <c r="B20" s="192" t="s">
        <v>101</v>
      </c>
      <c r="C20" s="17">
        <f>'Stmt BG - Page 2'!I36</f>
        <v>-41793.483299999993</v>
      </c>
      <c r="D20" s="17">
        <f>'Stmt BH - Page 1'!I36</f>
        <v>-85144.226300000009</v>
      </c>
      <c r="E20" s="21">
        <f>C20-D20</f>
        <v>43350.743000000017</v>
      </c>
      <c r="F20" s="66">
        <f>E20/D20</f>
        <v>-0.5091448344043501</v>
      </c>
      <c r="G20" s="244" t="s">
        <v>102</v>
      </c>
      <c r="H20" s="154">
        <f t="shared" si="1"/>
        <v>7</v>
      </c>
    </row>
    <row r="21" spans="1:8" ht="15.75">
      <c r="A21" s="153">
        <f t="shared" si="0"/>
        <v>8</v>
      </c>
      <c r="B21" s="192"/>
      <c r="C21" s="17"/>
      <c r="D21" s="17"/>
      <c r="E21" s="21"/>
      <c r="F21" s="66"/>
      <c r="G21" s="244" t="s">
        <v>103</v>
      </c>
      <c r="H21" s="154">
        <f t="shared" si="1"/>
        <v>8</v>
      </c>
    </row>
    <row r="22" spans="1:8" ht="15.75">
      <c r="A22" s="153">
        <f t="shared" si="0"/>
        <v>9</v>
      </c>
      <c r="B22" s="193" t="s">
        <v>104</v>
      </c>
      <c r="C22" s="17">
        <f>'Stmt BG - Page 2'!I38</f>
        <v>-1632439.5188099495</v>
      </c>
      <c r="D22" s="17">
        <f>'Stmt BH - Page 1'!I38</f>
        <v>-3325705.0821274198</v>
      </c>
      <c r="E22" s="21">
        <f>C22-D22</f>
        <v>1693265.5633174703</v>
      </c>
      <c r="F22" s="66">
        <f>E22/D22</f>
        <v>-0.50914483440434999</v>
      </c>
      <c r="G22" s="244" t="s">
        <v>105</v>
      </c>
      <c r="H22" s="154">
        <f t="shared" si="1"/>
        <v>9</v>
      </c>
    </row>
    <row r="23" spans="1:8" ht="15.75">
      <c r="A23" s="153">
        <f t="shared" si="0"/>
        <v>10</v>
      </c>
      <c r="B23" s="193"/>
      <c r="C23" s="17"/>
      <c r="D23" s="17"/>
      <c r="E23" s="21"/>
      <c r="F23" s="66"/>
      <c r="G23" s="244" t="s">
        <v>106</v>
      </c>
      <c r="H23" s="154">
        <f t="shared" si="1"/>
        <v>10</v>
      </c>
    </row>
    <row r="24" spans="1:8" ht="15.75">
      <c r="A24" s="153">
        <f t="shared" si="0"/>
        <v>11</v>
      </c>
      <c r="B24" s="193" t="s">
        <v>107</v>
      </c>
      <c r="C24" s="17">
        <f>'Stmt BG - Page 2'!I40</f>
        <v>-2252919.2140135881</v>
      </c>
      <c r="D24" s="17">
        <f>'Stmt BH - Page 1'!I40</f>
        <v>-4589784.0583579959</v>
      </c>
      <c r="E24" s="21">
        <f>C24-D24</f>
        <v>2336864.8443444078</v>
      </c>
      <c r="F24" s="66">
        <f>E24/D24</f>
        <v>-0.5091448344043501</v>
      </c>
      <c r="G24" s="244" t="s">
        <v>108</v>
      </c>
      <c r="H24" s="154">
        <f t="shared" si="1"/>
        <v>11</v>
      </c>
    </row>
    <row r="25" spans="1:8" ht="15.75">
      <c r="A25" s="153">
        <f t="shared" si="0"/>
        <v>12</v>
      </c>
      <c r="B25" s="16"/>
      <c r="C25" s="21"/>
      <c r="D25" s="17"/>
      <c r="E25" s="21"/>
      <c r="F25" s="66"/>
      <c r="G25" s="244" t="s">
        <v>109</v>
      </c>
      <c r="H25" s="154">
        <f t="shared" si="1"/>
        <v>12</v>
      </c>
    </row>
    <row r="26" spans="1:8" ht="15.75">
      <c r="A26" s="153">
        <f t="shared" si="0"/>
        <v>13</v>
      </c>
      <c r="B26" s="16" t="s">
        <v>110</v>
      </c>
      <c r="C26" s="17">
        <f>'Stmt BG - Page 2'!I42</f>
        <v>-816769.90576099034</v>
      </c>
      <c r="D26" s="17">
        <f>'Stmt BH - Page 1'!I42</f>
        <v>-1663973.3326832664</v>
      </c>
      <c r="E26" s="21">
        <f>C26-D26</f>
        <v>847203.42692227603</v>
      </c>
      <c r="F26" s="66">
        <f>E26/D26</f>
        <v>-0.50914483440434999</v>
      </c>
      <c r="G26" s="244" t="s">
        <v>111</v>
      </c>
      <c r="H26" s="154">
        <f t="shared" si="1"/>
        <v>13</v>
      </c>
    </row>
    <row r="27" spans="1:8" ht="15.75">
      <c r="A27" s="153">
        <f t="shared" si="0"/>
        <v>14</v>
      </c>
      <c r="B27" s="16"/>
      <c r="C27" s="22"/>
      <c r="D27" s="14"/>
      <c r="E27" s="14"/>
      <c r="F27" s="14"/>
      <c r="G27" s="244" t="s">
        <v>112</v>
      </c>
      <c r="H27" s="154">
        <f t="shared" si="1"/>
        <v>14</v>
      </c>
    </row>
    <row r="28" spans="1:8" ht="16.5" thickBot="1">
      <c r="A28" s="153">
        <f t="shared" si="0"/>
        <v>15</v>
      </c>
      <c r="B28" s="11" t="s">
        <v>113</v>
      </c>
      <c r="C28" s="246">
        <f>SUM(C14:C26)</f>
        <v>-173094088.33898148</v>
      </c>
      <c r="D28" s="246">
        <f>SUM(D14:D26)</f>
        <v>-352637805.34718984</v>
      </c>
      <c r="E28" s="246">
        <f>SUM(E14:E26)</f>
        <v>179543717.00820839</v>
      </c>
      <c r="F28" s="247">
        <f>E28/D28</f>
        <v>-0.50914483440434999</v>
      </c>
      <c r="G28" s="248" t="s">
        <v>114</v>
      </c>
      <c r="H28" s="154">
        <f t="shared" si="1"/>
        <v>15</v>
      </c>
    </row>
    <row r="29" spans="1:8" ht="17.25" thickTop="1" thickBot="1">
      <c r="A29" s="159"/>
      <c r="B29" s="229"/>
      <c r="C29" s="229"/>
      <c r="D29" s="229"/>
      <c r="E29" s="229"/>
      <c r="F29" s="229"/>
      <c r="G29" s="229"/>
      <c r="H29" s="230"/>
    </row>
    <row r="30" spans="1:8" ht="15.75">
      <c r="A30" s="31"/>
      <c r="B30" s="249"/>
      <c r="C30" s="231"/>
      <c r="D30" s="231"/>
      <c r="E30" s="231"/>
      <c r="F30" s="231"/>
      <c r="G30" s="231"/>
      <c r="H30" s="231"/>
    </row>
    <row r="31" spans="1:8" ht="18.75">
      <c r="A31" s="236">
        <v>1</v>
      </c>
      <c r="B31" s="20" t="s">
        <v>408</v>
      </c>
      <c r="C31" s="231"/>
      <c r="D31" s="231"/>
      <c r="E31" s="231"/>
      <c r="F31" s="231"/>
      <c r="G31" s="231"/>
      <c r="H31" s="231"/>
    </row>
    <row r="32" spans="1:8" ht="15.75">
      <c r="A32" s="436"/>
      <c r="B32" s="20"/>
      <c r="C32" s="231"/>
      <c r="D32" s="231"/>
      <c r="E32" s="231"/>
      <c r="F32" s="231"/>
      <c r="G32" s="231"/>
      <c r="H32" s="231"/>
    </row>
    <row r="33" spans="1:8" ht="15.75">
      <c r="A33" s="436"/>
      <c r="B33" s="20"/>
      <c r="C33" s="20"/>
      <c r="D33" s="20"/>
      <c r="E33" s="26"/>
      <c r="F33" s="231"/>
      <c r="G33" s="231"/>
      <c r="H33" s="231"/>
    </row>
    <row r="34" spans="1:8" ht="15.75">
      <c r="A34" s="436"/>
      <c r="B34" s="20"/>
      <c r="C34" s="20"/>
      <c r="D34" s="20"/>
      <c r="E34" s="251"/>
      <c r="F34" s="231"/>
      <c r="G34" s="231"/>
      <c r="H34" s="231"/>
    </row>
    <row r="35" spans="1:8" ht="15.75">
      <c r="A35" s="250"/>
      <c r="B35" s="20"/>
      <c r="C35" s="20"/>
      <c r="D35" s="20"/>
      <c r="E35" s="20"/>
    </row>
    <row r="36" spans="1:8">
      <c r="A36" s="250"/>
      <c r="B36" s="231"/>
    </row>
    <row r="37" spans="1:8">
      <c r="A37" s="250"/>
      <c r="B37" s="231"/>
    </row>
    <row r="38" spans="1:8">
      <c r="A38" s="250"/>
      <c r="B38" s="231"/>
    </row>
    <row r="39" spans="1:8">
      <c r="A39" s="250"/>
      <c r="B39" s="231"/>
    </row>
    <row r="40" spans="1:8">
      <c r="A40" s="250"/>
      <c r="B40" s="231"/>
    </row>
    <row r="41" spans="1:8">
      <c r="A41" s="250"/>
      <c r="B41" s="231"/>
    </row>
    <row r="42" spans="1:8">
      <c r="A42" s="250"/>
      <c r="B42" s="231"/>
    </row>
    <row r="43" spans="1:8">
      <c r="A43" s="250"/>
      <c r="B43" s="231"/>
    </row>
    <row r="44" spans="1:8">
      <c r="A44" s="250"/>
      <c r="B44" s="231"/>
    </row>
    <row r="45" spans="1:8">
      <c r="A45" s="250"/>
      <c r="B45" s="231"/>
    </row>
    <row r="46" spans="1:8">
      <c r="A46" s="250"/>
      <c r="B46" s="231"/>
    </row>
    <row r="47" spans="1:8">
      <c r="A47" s="250"/>
      <c r="B47" s="231"/>
    </row>
    <row r="48" spans="1:8">
      <c r="A48" s="250"/>
      <c r="B48" s="231"/>
    </row>
    <row r="49" spans="1:2">
      <c r="A49" s="250"/>
      <c r="B49" s="231"/>
    </row>
    <row r="50" spans="1:2">
      <c r="A50" s="250"/>
      <c r="B50" s="231"/>
    </row>
    <row r="51" spans="1:2">
      <c r="B51" s="231"/>
    </row>
    <row r="52" spans="1:2">
      <c r="B52" s="231"/>
    </row>
    <row r="53" spans="1:2">
      <c r="B53" s="231"/>
    </row>
    <row r="54" spans="1:2">
      <c r="B54" s="231"/>
    </row>
    <row r="55" spans="1:2">
      <c r="B55" s="231"/>
    </row>
    <row r="56" spans="1:2">
      <c r="B56" s="231"/>
    </row>
    <row r="57" spans="1:2">
      <c r="B57" s="231"/>
    </row>
    <row r="58" spans="1:2">
      <c r="B58" s="231"/>
    </row>
    <row r="59" spans="1:2">
      <c r="B59" s="231"/>
    </row>
    <row r="60" spans="1:2">
      <c r="B60" s="231"/>
    </row>
    <row r="61" spans="1:2">
      <c r="B61" s="231"/>
    </row>
    <row r="62" spans="1:2">
      <c r="B62" s="231"/>
    </row>
    <row r="63" spans="1:2">
      <c r="B63" s="231"/>
    </row>
    <row r="64" spans="1:2">
      <c r="B64" s="231"/>
    </row>
    <row r="65" spans="2:2">
      <c r="B65" s="231"/>
    </row>
    <row r="66" spans="2:2">
      <c r="B66" s="231"/>
    </row>
    <row r="67" spans="2:2">
      <c r="B67" s="231"/>
    </row>
    <row r="68" spans="2:2">
      <c r="B68" s="231"/>
    </row>
    <row r="69" spans="2:2">
      <c r="B69" s="231"/>
    </row>
    <row r="70" spans="2:2">
      <c r="B70" s="231"/>
    </row>
    <row r="71" spans="2:2">
      <c r="B71" s="231"/>
    </row>
    <row r="72" spans="2:2">
      <c r="B72" s="231"/>
    </row>
    <row r="73" spans="2:2">
      <c r="B73" s="231"/>
    </row>
    <row r="74" spans="2:2">
      <c r="B74" s="231"/>
    </row>
    <row r="75" spans="2:2">
      <c r="B75" s="231"/>
    </row>
    <row r="76" spans="2:2">
      <c r="B76" s="231"/>
    </row>
    <row r="77" spans="2:2">
      <c r="B77" s="231"/>
    </row>
    <row r="78" spans="2:2">
      <c r="B78" s="231"/>
    </row>
    <row r="79" spans="2:2">
      <c r="B79" s="231"/>
    </row>
    <row r="80" spans="2:2">
      <c r="B80" s="231"/>
    </row>
    <row r="81" spans="2:2">
      <c r="B81" s="231"/>
    </row>
    <row r="82" spans="2:2">
      <c r="B82" s="231"/>
    </row>
    <row r="83" spans="2:2">
      <c r="B83" s="231"/>
    </row>
    <row r="84" spans="2:2">
      <c r="B84" s="231"/>
    </row>
    <row r="85" spans="2:2">
      <c r="B85" s="231"/>
    </row>
    <row r="86" spans="2:2">
      <c r="B86" s="231"/>
    </row>
    <row r="87" spans="2:2">
      <c r="B87" s="231"/>
    </row>
    <row r="88" spans="2:2">
      <c r="B88" s="231"/>
    </row>
    <row r="89" spans="2:2">
      <c r="B89" s="231"/>
    </row>
    <row r="90" spans="2:2">
      <c r="B90" s="231"/>
    </row>
    <row r="91" spans="2:2">
      <c r="B91" s="231"/>
    </row>
    <row r="92" spans="2:2">
      <c r="B92" s="231"/>
    </row>
    <row r="93" spans="2:2">
      <c r="B93" s="231"/>
    </row>
    <row r="94" spans="2:2">
      <c r="B94" s="231"/>
    </row>
    <row r="95" spans="2:2">
      <c r="B95" s="231"/>
    </row>
    <row r="96" spans="2:2">
      <c r="B96" s="231"/>
    </row>
    <row r="97" spans="2:2">
      <c r="B97" s="231"/>
    </row>
    <row r="98" spans="2:2">
      <c r="B98" s="231"/>
    </row>
    <row r="99" spans="2:2">
      <c r="B99" s="231"/>
    </row>
    <row r="100" spans="2:2">
      <c r="B100" s="231"/>
    </row>
    <row r="101" spans="2:2">
      <c r="B101" s="231"/>
    </row>
    <row r="102" spans="2:2">
      <c r="B102" s="231"/>
    </row>
    <row r="103" spans="2:2">
      <c r="B103" s="231"/>
    </row>
    <row r="104" spans="2:2">
      <c r="B104" s="231"/>
    </row>
    <row r="105" spans="2:2">
      <c r="B105" s="231"/>
    </row>
    <row r="106" spans="2:2">
      <c r="B106" s="231"/>
    </row>
    <row r="107" spans="2:2">
      <c r="B107" s="231"/>
    </row>
    <row r="108" spans="2:2">
      <c r="B108" s="231"/>
    </row>
    <row r="109" spans="2:2">
      <c r="B109" s="231"/>
    </row>
    <row r="110" spans="2:2">
      <c r="B110" s="231"/>
    </row>
    <row r="111" spans="2:2">
      <c r="B111" s="231"/>
    </row>
    <row r="112" spans="2:2">
      <c r="B112" s="231"/>
    </row>
    <row r="113" spans="2:2">
      <c r="B113" s="231"/>
    </row>
    <row r="114" spans="2:2">
      <c r="B114" s="231"/>
    </row>
    <row r="115" spans="2:2">
      <c r="B115" s="231"/>
    </row>
    <row r="116" spans="2:2">
      <c r="B116" s="231"/>
    </row>
    <row r="117" spans="2:2">
      <c r="B117" s="231"/>
    </row>
    <row r="118" spans="2:2">
      <c r="B118" s="231"/>
    </row>
    <row r="119" spans="2:2">
      <c r="B119" s="231"/>
    </row>
    <row r="120" spans="2:2">
      <c r="B120" s="231"/>
    </row>
    <row r="121" spans="2:2">
      <c r="B121" s="231"/>
    </row>
    <row r="122" spans="2:2">
      <c r="B122" s="231"/>
    </row>
    <row r="123" spans="2:2">
      <c r="B123" s="231"/>
    </row>
    <row r="124" spans="2:2">
      <c r="B124" s="231"/>
    </row>
    <row r="125" spans="2:2">
      <c r="B125" s="231"/>
    </row>
    <row r="126" spans="2:2">
      <c r="B126" s="231"/>
    </row>
    <row r="127" spans="2:2">
      <c r="B127" s="231"/>
    </row>
    <row r="128" spans="2:2">
      <c r="B128" s="231"/>
    </row>
    <row r="129" spans="2:2">
      <c r="B129" s="231"/>
    </row>
    <row r="130" spans="2:2">
      <c r="B130" s="231"/>
    </row>
    <row r="131" spans="2:2">
      <c r="B131" s="231"/>
    </row>
    <row r="132" spans="2:2">
      <c r="B132" s="231"/>
    </row>
    <row r="133" spans="2:2">
      <c r="B133" s="231"/>
    </row>
    <row r="134" spans="2:2">
      <c r="B134" s="231"/>
    </row>
    <row r="135" spans="2:2">
      <c r="B135" s="231"/>
    </row>
    <row r="136" spans="2:2">
      <c r="B136" s="231"/>
    </row>
    <row r="137" spans="2:2">
      <c r="B137" s="231"/>
    </row>
    <row r="138" spans="2:2">
      <c r="B138" s="231"/>
    </row>
    <row r="139" spans="2:2">
      <c r="B139" s="231"/>
    </row>
    <row r="140" spans="2:2">
      <c r="B140" s="231"/>
    </row>
    <row r="141" spans="2:2">
      <c r="B141" s="231"/>
    </row>
    <row r="142" spans="2:2">
      <c r="B142" s="231"/>
    </row>
    <row r="143" spans="2:2">
      <c r="B143" s="231"/>
    </row>
    <row r="144" spans="2:2">
      <c r="B144" s="231"/>
    </row>
    <row r="145" spans="2:2">
      <c r="B145" s="231"/>
    </row>
    <row r="146" spans="2:2">
      <c r="B146" s="231"/>
    </row>
    <row r="147" spans="2:2">
      <c r="B147" s="231"/>
    </row>
    <row r="148" spans="2:2">
      <c r="B148" s="231"/>
    </row>
    <row r="149" spans="2:2">
      <c r="B149" s="231"/>
    </row>
    <row r="150" spans="2:2">
      <c r="B150" s="231"/>
    </row>
    <row r="151" spans="2:2">
      <c r="B151" s="231"/>
    </row>
    <row r="152" spans="2:2">
      <c r="B152" s="231"/>
    </row>
    <row r="153" spans="2:2">
      <c r="B153" s="231"/>
    </row>
    <row r="154" spans="2:2">
      <c r="B154" s="231"/>
    </row>
    <row r="155" spans="2:2">
      <c r="B155" s="231"/>
    </row>
    <row r="156" spans="2:2">
      <c r="B156" s="231"/>
    </row>
    <row r="157" spans="2:2">
      <c r="B157" s="231"/>
    </row>
    <row r="158" spans="2:2">
      <c r="B158" s="231"/>
    </row>
    <row r="159" spans="2:2">
      <c r="B159" s="231"/>
    </row>
    <row r="160" spans="2:2">
      <c r="B160" s="231"/>
    </row>
    <row r="161" spans="2:2">
      <c r="B161" s="231"/>
    </row>
    <row r="162" spans="2:2">
      <c r="B162" s="231"/>
    </row>
    <row r="163" spans="2:2">
      <c r="B163" s="231"/>
    </row>
    <row r="164" spans="2:2">
      <c r="B164" s="231"/>
    </row>
    <row r="165" spans="2:2">
      <c r="B165" s="231"/>
    </row>
    <row r="166" spans="2:2">
      <c r="B166" s="231"/>
    </row>
    <row r="167" spans="2:2">
      <c r="B167" s="231"/>
    </row>
    <row r="168" spans="2:2">
      <c r="B168" s="231"/>
    </row>
    <row r="169" spans="2:2">
      <c r="B169" s="231"/>
    </row>
    <row r="170" spans="2:2">
      <c r="B170" s="231"/>
    </row>
    <row r="171" spans="2:2">
      <c r="B171" s="231"/>
    </row>
    <row r="172" spans="2:2">
      <c r="B172" s="231"/>
    </row>
    <row r="173" spans="2:2">
      <c r="B173" s="231"/>
    </row>
    <row r="174" spans="2:2">
      <c r="B174" s="231"/>
    </row>
    <row r="175" spans="2:2">
      <c r="B175" s="231"/>
    </row>
    <row r="176" spans="2:2">
      <c r="B176" s="231"/>
    </row>
    <row r="177" spans="2:2">
      <c r="B177" s="231"/>
    </row>
    <row r="178" spans="2:2">
      <c r="B178" s="231"/>
    </row>
    <row r="179" spans="2:2">
      <c r="B179" s="231"/>
    </row>
    <row r="180" spans="2:2">
      <c r="B180" s="231"/>
    </row>
    <row r="181" spans="2:2">
      <c r="B181" s="231"/>
    </row>
    <row r="182" spans="2:2">
      <c r="B182" s="231"/>
    </row>
    <row r="183" spans="2:2">
      <c r="B183" s="231"/>
    </row>
    <row r="184" spans="2:2">
      <c r="B184" s="231"/>
    </row>
    <row r="185" spans="2:2">
      <c r="B185" s="231"/>
    </row>
    <row r="186" spans="2:2">
      <c r="B186" s="231"/>
    </row>
    <row r="187" spans="2:2">
      <c r="B187" s="231"/>
    </row>
    <row r="188" spans="2:2">
      <c r="B188" s="231"/>
    </row>
    <row r="189" spans="2:2">
      <c r="B189" s="231"/>
    </row>
    <row r="190" spans="2:2">
      <c r="B190" s="231"/>
    </row>
    <row r="191" spans="2:2">
      <c r="B191" s="231"/>
    </row>
    <row r="192" spans="2:2">
      <c r="B192" s="231"/>
    </row>
    <row r="193" spans="2:2">
      <c r="B193" s="231"/>
    </row>
    <row r="194" spans="2:2">
      <c r="B194" s="231"/>
    </row>
    <row r="195" spans="2:2">
      <c r="B195" s="231"/>
    </row>
    <row r="196" spans="2:2">
      <c r="B196" s="231"/>
    </row>
    <row r="197" spans="2:2">
      <c r="B197" s="231"/>
    </row>
    <row r="198" spans="2:2">
      <c r="B198" s="231"/>
    </row>
    <row r="199" spans="2:2">
      <c r="B199" s="231"/>
    </row>
    <row r="200" spans="2:2">
      <c r="B200" s="231"/>
    </row>
    <row r="201" spans="2:2">
      <c r="B201" s="231"/>
    </row>
    <row r="202" spans="2:2">
      <c r="B202" s="231"/>
    </row>
    <row r="203" spans="2:2">
      <c r="B203" s="231"/>
    </row>
    <row r="204" spans="2:2">
      <c r="B204" s="231"/>
    </row>
    <row r="205" spans="2:2">
      <c r="B205" s="231"/>
    </row>
    <row r="206" spans="2:2">
      <c r="B206" s="231"/>
    </row>
    <row r="207" spans="2:2">
      <c r="B207" s="231"/>
    </row>
    <row r="208" spans="2:2">
      <c r="B208" s="231"/>
    </row>
    <row r="209" spans="2:2">
      <c r="B209" s="231"/>
    </row>
    <row r="210" spans="2:2">
      <c r="B210" s="231"/>
    </row>
    <row r="211" spans="2:2">
      <c r="B211" s="231"/>
    </row>
    <row r="212" spans="2:2">
      <c r="B212" s="231"/>
    </row>
    <row r="213" spans="2:2">
      <c r="B213" s="231"/>
    </row>
    <row r="214" spans="2:2">
      <c r="B214" s="231"/>
    </row>
    <row r="215" spans="2:2">
      <c r="B215" s="231"/>
    </row>
    <row r="216" spans="2:2">
      <c r="B216" s="231"/>
    </row>
    <row r="217" spans="2:2">
      <c r="B217" s="231"/>
    </row>
    <row r="218" spans="2:2">
      <c r="B218" s="231"/>
    </row>
    <row r="219" spans="2:2">
      <c r="B219" s="231"/>
    </row>
    <row r="220" spans="2:2">
      <c r="B220" s="231"/>
    </row>
    <row r="221" spans="2:2">
      <c r="B221" s="231"/>
    </row>
    <row r="222" spans="2:2">
      <c r="B222" s="231"/>
    </row>
    <row r="223" spans="2:2">
      <c r="B223" s="231"/>
    </row>
    <row r="224" spans="2:2">
      <c r="B224" s="231"/>
    </row>
    <row r="225" spans="2:2">
      <c r="B225" s="231"/>
    </row>
    <row r="226" spans="2:2">
      <c r="B226" s="231"/>
    </row>
    <row r="227" spans="2:2">
      <c r="B227" s="231"/>
    </row>
    <row r="228" spans="2:2">
      <c r="B228" s="231"/>
    </row>
    <row r="229" spans="2:2">
      <c r="B229" s="231"/>
    </row>
    <row r="230" spans="2:2">
      <c r="B230" s="231"/>
    </row>
    <row r="231" spans="2:2">
      <c r="B231" s="231"/>
    </row>
    <row r="232" spans="2:2">
      <c r="B232" s="231"/>
    </row>
    <row r="233" spans="2:2">
      <c r="B233" s="231"/>
    </row>
    <row r="234" spans="2:2">
      <c r="B234" s="231"/>
    </row>
    <row r="235" spans="2:2">
      <c r="B235" s="231"/>
    </row>
    <row r="236" spans="2:2">
      <c r="B236" s="231"/>
    </row>
    <row r="237" spans="2:2">
      <c r="B237" s="231"/>
    </row>
    <row r="238" spans="2:2">
      <c r="B238" s="231"/>
    </row>
    <row r="239" spans="2:2">
      <c r="B239" s="231"/>
    </row>
    <row r="240" spans="2:2">
      <c r="B240" s="231"/>
    </row>
    <row r="241" spans="2:2">
      <c r="B241" s="231"/>
    </row>
    <row r="242" spans="2:2">
      <c r="B242" s="231"/>
    </row>
    <row r="243" spans="2:2">
      <c r="B243" s="231"/>
    </row>
    <row r="244" spans="2:2">
      <c r="B244" s="231"/>
    </row>
    <row r="245" spans="2:2">
      <c r="B245" s="231"/>
    </row>
    <row r="246" spans="2:2">
      <c r="B246" s="231"/>
    </row>
    <row r="247" spans="2:2">
      <c r="B247" s="231"/>
    </row>
    <row r="248" spans="2:2">
      <c r="B248" s="231"/>
    </row>
    <row r="249" spans="2:2">
      <c r="B249" s="231"/>
    </row>
    <row r="250" spans="2:2">
      <c r="B250" s="231"/>
    </row>
    <row r="251" spans="2:2">
      <c r="B251" s="231"/>
    </row>
    <row r="252" spans="2:2">
      <c r="B252" s="231"/>
    </row>
    <row r="253" spans="2:2">
      <c r="B253" s="231"/>
    </row>
    <row r="254" spans="2:2">
      <c r="B254" s="231"/>
    </row>
    <row r="255" spans="2:2">
      <c r="B255" s="231"/>
    </row>
    <row r="256" spans="2:2">
      <c r="B256" s="231"/>
    </row>
    <row r="257" spans="2:2">
      <c r="B257" s="231"/>
    </row>
    <row r="258" spans="2:2">
      <c r="B258" s="231"/>
    </row>
    <row r="259" spans="2:2">
      <c r="B259" s="231"/>
    </row>
    <row r="260" spans="2:2">
      <c r="B260" s="231"/>
    </row>
    <row r="261" spans="2:2">
      <c r="B261" s="231"/>
    </row>
    <row r="262" spans="2:2">
      <c r="B262" s="231"/>
    </row>
    <row r="263" spans="2:2">
      <c r="B263" s="231"/>
    </row>
    <row r="264" spans="2:2">
      <c r="B264" s="231"/>
    </row>
    <row r="265" spans="2:2">
      <c r="B265" s="231"/>
    </row>
    <row r="266" spans="2:2">
      <c r="B266" s="231"/>
    </row>
    <row r="267" spans="2:2">
      <c r="B267" s="231"/>
    </row>
    <row r="268" spans="2:2">
      <c r="B268" s="231"/>
    </row>
    <row r="269" spans="2:2">
      <c r="B269" s="231"/>
    </row>
    <row r="270" spans="2:2">
      <c r="B270" s="231"/>
    </row>
    <row r="271" spans="2:2">
      <c r="B271" s="231"/>
    </row>
    <row r="272" spans="2:2">
      <c r="B272" s="231"/>
    </row>
    <row r="273" spans="2:2">
      <c r="B273" s="231"/>
    </row>
    <row r="274" spans="2:2">
      <c r="B274" s="231"/>
    </row>
    <row r="275" spans="2:2">
      <c r="B275" s="231"/>
    </row>
    <row r="276" spans="2:2">
      <c r="B276" s="231"/>
    </row>
    <row r="277" spans="2:2">
      <c r="B277" s="231"/>
    </row>
    <row r="278" spans="2:2">
      <c r="B278" s="231"/>
    </row>
    <row r="279" spans="2:2">
      <c r="B279" s="231"/>
    </row>
    <row r="280" spans="2:2">
      <c r="B280" s="231"/>
    </row>
    <row r="281" spans="2:2">
      <c r="B281" s="231"/>
    </row>
    <row r="282" spans="2:2">
      <c r="B282" s="231"/>
    </row>
    <row r="283" spans="2:2">
      <c r="B283" s="231"/>
    </row>
    <row r="284" spans="2:2">
      <c r="B284" s="231"/>
    </row>
    <row r="285" spans="2:2">
      <c r="B285" s="231"/>
    </row>
    <row r="286" spans="2:2">
      <c r="B286" s="231"/>
    </row>
    <row r="287" spans="2:2">
      <c r="B287" s="231"/>
    </row>
    <row r="288" spans="2:2">
      <c r="B288" s="231"/>
    </row>
    <row r="289" spans="2:2">
      <c r="B289" s="231"/>
    </row>
    <row r="290" spans="2:2">
      <c r="B290" s="231"/>
    </row>
    <row r="291" spans="2:2">
      <c r="B291" s="231"/>
    </row>
    <row r="292" spans="2:2">
      <c r="B292" s="231"/>
    </row>
    <row r="293" spans="2:2">
      <c r="B293" s="231"/>
    </row>
    <row r="294" spans="2:2">
      <c r="B294" s="231"/>
    </row>
    <row r="295" spans="2:2">
      <c r="B295" s="231"/>
    </row>
    <row r="296" spans="2:2">
      <c r="B296" s="231"/>
    </row>
    <row r="297" spans="2:2">
      <c r="B297" s="231"/>
    </row>
    <row r="298" spans="2:2">
      <c r="B298" s="231"/>
    </row>
    <row r="299" spans="2:2">
      <c r="B299" s="231"/>
    </row>
    <row r="300" spans="2:2">
      <c r="B300" s="231"/>
    </row>
    <row r="301" spans="2:2">
      <c r="B301" s="231"/>
    </row>
    <row r="302" spans="2:2">
      <c r="B302" s="231"/>
    </row>
    <row r="303" spans="2:2">
      <c r="B303" s="231"/>
    </row>
    <row r="304" spans="2:2">
      <c r="B304" s="231"/>
    </row>
    <row r="305" spans="2:2">
      <c r="B305" s="231"/>
    </row>
    <row r="306" spans="2:2">
      <c r="B306" s="231"/>
    </row>
    <row r="307" spans="2:2">
      <c r="B307" s="231"/>
    </row>
    <row r="308" spans="2:2">
      <c r="B308" s="231"/>
    </row>
    <row r="309" spans="2:2">
      <c r="B309" s="231"/>
    </row>
    <row r="310" spans="2:2">
      <c r="B310" s="231"/>
    </row>
    <row r="311" spans="2:2">
      <c r="B311" s="231"/>
    </row>
    <row r="312" spans="2:2">
      <c r="B312" s="231"/>
    </row>
    <row r="313" spans="2:2">
      <c r="B313" s="231"/>
    </row>
    <row r="314" spans="2:2">
      <c r="B314" s="231"/>
    </row>
    <row r="315" spans="2:2">
      <c r="B315" s="231"/>
    </row>
    <row r="316" spans="2:2">
      <c r="B316" s="231"/>
    </row>
    <row r="317" spans="2:2">
      <c r="B317" s="231"/>
    </row>
    <row r="318" spans="2:2">
      <c r="B318" s="231"/>
    </row>
    <row r="319" spans="2:2">
      <c r="B319" s="231"/>
    </row>
    <row r="320" spans="2:2">
      <c r="B320" s="231"/>
    </row>
    <row r="321" spans="2:2">
      <c r="B321" s="231"/>
    </row>
    <row r="322" spans="2:2">
      <c r="B322" s="231"/>
    </row>
    <row r="323" spans="2:2">
      <c r="B323" s="231"/>
    </row>
    <row r="324" spans="2:2">
      <c r="B324" s="231"/>
    </row>
    <row r="325" spans="2:2">
      <c r="B325" s="231"/>
    </row>
    <row r="326" spans="2:2">
      <c r="B326" s="231"/>
    </row>
    <row r="327" spans="2:2">
      <c r="B327" s="231"/>
    </row>
    <row r="328" spans="2:2">
      <c r="B328" s="231"/>
    </row>
    <row r="329" spans="2:2">
      <c r="B329" s="231"/>
    </row>
    <row r="330" spans="2:2">
      <c r="B330" s="231"/>
    </row>
    <row r="331" spans="2:2">
      <c r="B331" s="231"/>
    </row>
    <row r="332" spans="2:2">
      <c r="B332" s="231"/>
    </row>
    <row r="333" spans="2:2">
      <c r="B333" s="231"/>
    </row>
    <row r="334" spans="2:2">
      <c r="B334" s="231"/>
    </row>
    <row r="335" spans="2:2">
      <c r="B335" s="231"/>
    </row>
    <row r="336" spans="2:2">
      <c r="B336" s="231"/>
    </row>
    <row r="337" spans="2:2">
      <c r="B337" s="231"/>
    </row>
    <row r="338" spans="2:2">
      <c r="B338" s="231"/>
    </row>
    <row r="339" spans="2:2">
      <c r="B339" s="231"/>
    </row>
    <row r="340" spans="2:2">
      <c r="B340" s="231"/>
    </row>
    <row r="341" spans="2:2">
      <c r="B341" s="231"/>
    </row>
    <row r="342" spans="2:2">
      <c r="B342" s="231"/>
    </row>
    <row r="343" spans="2:2">
      <c r="B343" s="231"/>
    </row>
    <row r="344" spans="2:2">
      <c r="B344" s="231"/>
    </row>
    <row r="345" spans="2:2">
      <c r="B345" s="231"/>
    </row>
    <row r="346" spans="2:2">
      <c r="B346" s="231"/>
    </row>
    <row r="347" spans="2:2">
      <c r="B347" s="231"/>
    </row>
    <row r="348" spans="2:2">
      <c r="B348" s="231"/>
    </row>
    <row r="349" spans="2:2">
      <c r="B349" s="231"/>
    </row>
    <row r="350" spans="2:2">
      <c r="B350" s="231"/>
    </row>
    <row r="351" spans="2:2">
      <c r="B351" s="231"/>
    </row>
    <row r="352" spans="2:2">
      <c r="B352" s="231"/>
    </row>
    <row r="353" spans="2:2">
      <c r="B353" s="231"/>
    </row>
    <row r="354" spans="2:2">
      <c r="B354" s="231"/>
    </row>
    <row r="355" spans="2:2">
      <c r="B355" s="231"/>
    </row>
    <row r="356" spans="2:2">
      <c r="B356" s="231"/>
    </row>
    <row r="357" spans="2:2">
      <c r="B357" s="231"/>
    </row>
    <row r="358" spans="2:2">
      <c r="B358" s="231"/>
    </row>
    <row r="359" spans="2:2">
      <c r="B359" s="231"/>
    </row>
    <row r="360" spans="2:2">
      <c r="B360" s="231"/>
    </row>
    <row r="361" spans="2:2">
      <c r="B361" s="231"/>
    </row>
    <row r="362" spans="2:2">
      <c r="B362" s="231"/>
    </row>
    <row r="363" spans="2:2">
      <c r="B363" s="231"/>
    </row>
    <row r="364" spans="2:2">
      <c r="B364" s="231"/>
    </row>
    <row r="365" spans="2:2">
      <c r="B365" s="231"/>
    </row>
    <row r="366" spans="2:2">
      <c r="B366" s="231"/>
    </row>
    <row r="367" spans="2:2">
      <c r="B367" s="231"/>
    </row>
    <row r="368" spans="2:2">
      <c r="B368" s="231"/>
    </row>
    <row r="369" spans="2:2">
      <c r="B369" s="231"/>
    </row>
    <row r="370" spans="2:2">
      <c r="B370" s="231"/>
    </row>
    <row r="371" spans="2:2">
      <c r="B371" s="231"/>
    </row>
    <row r="372" spans="2:2">
      <c r="B372" s="231"/>
    </row>
    <row r="373" spans="2:2">
      <c r="B373" s="231"/>
    </row>
    <row r="374" spans="2:2">
      <c r="B374" s="231"/>
    </row>
    <row r="375" spans="2:2">
      <c r="B375" s="231"/>
    </row>
    <row r="376" spans="2:2">
      <c r="B376" s="231"/>
    </row>
    <row r="377" spans="2:2">
      <c r="B377" s="231"/>
    </row>
    <row r="378" spans="2:2">
      <c r="B378" s="231"/>
    </row>
    <row r="379" spans="2:2">
      <c r="B379" s="231"/>
    </row>
    <row r="380" spans="2:2">
      <c r="B380" s="231"/>
    </row>
    <row r="381" spans="2:2">
      <c r="B381" s="231"/>
    </row>
    <row r="382" spans="2:2">
      <c r="B382" s="231"/>
    </row>
    <row r="383" spans="2:2">
      <c r="B383" s="231"/>
    </row>
    <row r="384" spans="2:2">
      <c r="B384" s="231"/>
    </row>
    <row r="385" spans="2:2">
      <c r="B385" s="231"/>
    </row>
    <row r="386" spans="2:2">
      <c r="B386" s="231"/>
    </row>
    <row r="387" spans="2:2">
      <c r="B387" s="231"/>
    </row>
    <row r="388" spans="2:2">
      <c r="B388" s="231"/>
    </row>
    <row r="389" spans="2:2">
      <c r="B389" s="231"/>
    </row>
    <row r="390" spans="2:2">
      <c r="B390" s="231"/>
    </row>
    <row r="391" spans="2:2">
      <c r="B391" s="231"/>
    </row>
    <row r="392" spans="2:2">
      <c r="B392" s="231"/>
    </row>
    <row r="393" spans="2:2">
      <c r="B393" s="231"/>
    </row>
    <row r="394" spans="2:2">
      <c r="B394" s="231"/>
    </row>
    <row r="395" spans="2:2">
      <c r="B395" s="231"/>
    </row>
    <row r="396" spans="2:2">
      <c r="B396" s="231"/>
    </row>
    <row r="397" spans="2:2">
      <c r="B397" s="231"/>
    </row>
    <row r="398" spans="2:2">
      <c r="B398" s="231"/>
    </row>
    <row r="399" spans="2:2">
      <c r="B399" s="231"/>
    </row>
    <row r="400" spans="2:2">
      <c r="B400" s="231"/>
    </row>
    <row r="401" spans="2:2">
      <c r="B401" s="231"/>
    </row>
    <row r="402" spans="2:2">
      <c r="B402" s="231"/>
    </row>
    <row r="403" spans="2:2">
      <c r="B403" s="231"/>
    </row>
    <row r="404" spans="2:2">
      <c r="B404" s="231"/>
    </row>
    <row r="405" spans="2:2">
      <c r="B405" s="231"/>
    </row>
    <row r="406" spans="2:2">
      <c r="B406" s="231"/>
    </row>
    <row r="407" spans="2:2">
      <c r="B407" s="231"/>
    </row>
    <row r="408" spans="2:2">
      <c r="B408" s="231"/>
    </row>
    <row r="409" spans="2:2">
      <c r="B409" s="231"/>
    </row>
    <row r="410" spans="2:2">
      <c r="B410" s="231"/>
    </row>
    <row r="411" spans="2:2">
      <c r="B411" s="231"/>
    </row>
    <row r="412" spans="2:2">
      <c r="B412" s="231"/>
    </row>
    <row r="413" spans="2:2">
      <c r="B413" s="231"/>
    </row>
    <row r="414" spans="2:2">
      <c r="B414" s="231"/>
    </row>
    <row r="415" spans="2:2">
      <c r="B415" s="231"/>
    </row>
    <row r="416" spans="2:2">
      <c r="B416" s="231"/>
    </row>
    <row r="417" spans="2:2">
      <c r="B417" s="231"/>
    </row>
    <row r="418" spans="2:2">
      <c r="B418" s="231"/>
    </row>
    <row r="419" spans="2:2">
      <c r="B419" s="231"/>
    </row>
    <row r="420" spans="2:2">
      <c r="B420" s="231"/>
    </row>
    <row r="421" spans="2:2">
      <c r="B421" s="231"/>
    </row>
    <row r="422" spans="2:2">
      <c r="B422" s="231"/>
    </row>
    <row r="423" spans="2:2">
      <c r="B423" s="231"/>
    </row>
    <row r="424" spans="2:2">
      <c r="B424" s="231"/>
    </row>
    <row r="425" spans="2:2">
      <c r="B425" s="231"/>
    </row>
    <row r="426" spans="2:2">
      <c r="B426" s="231"/>
    </row>
    <row r="427" spans="2:2">
      <c r="B427" s="231"/>
    </row>
    <row r="428" spans="2:2">
      <c r="B428" s="231"/>
    </row>
    <row r="429" spans="2:2">
      <c r="B429" s="231"/>
    </row>
    <row r="430" spans="2:2">
      <c r="B430" s="231"/>
    </row>
    <row r="431" spans="2:2">
      <c r="B431" s="231"/>
    </row>
    <row r="432" spans="2:2">
      <c r="B432" s="231"/>
    </row>
    <row r="433" spans="2:2">
      <c r="B433" s="231"/>
    </row>
    <row r="434" spans="2:2">
      <c r="B434" s="231"/>
    </row>
    <row r="435" spans="2:2">
      <c r="B435" s="231"/>
    </row>
    <row r="436" spans="2:2">
      <c r="B436" s="231"/>
    </row>
    <row r="437" spans="2:2">
      <c r="B437" s="231"/>
    </row>
    <row r="438" spans="2:2">
      <c r="B438" s="231"/>
    </row>
    <row r="439" spans="2:2">
      <c r="B439" s="231"/>
    </row>
    <row r="440" spans="2:2">
      <c r="B440" s="231"/>
    </row>
    <row r="441" spans="2:2">
      <c r="B441" s="231"/>
    </row>
    <row r="442" spans="2:2">
      <c r="B442" s="231"/>
    </row>
    <row r="443" spans="2:2">
      <c r="B443" s="231"/>
    </row>
    <row r="444" spans="2:2">
      <c r="B444" s="231"/>
    </row>
    <row r="445" spans="2:2">
      <c r="B445" s="231"/>
    </row>
    <row r="446" spans="2:2">
      <c r="B446" s="231"/>
    </row>
    <row r="447" spans="2:2">
      <c r="B447" s="231"/>
    </row>
    <row r="448" spans="2:2">
      <c r="B448" s="231"/>
    </row>
    <row r="449" spans="2:2">
      <c r="B449" s="231"/>
    </row>
    <row r="450" spans="2:2">
      <c r="B450" s="231"/>
    </row>
    <row r="451" spans="2:2">
      <c r="B451" s="231"/>
    </row>
    <row r="452" spans="2:2">
      <c r="B452" s="231"/>
    </row>
    <row r="453" spans="2:2">
      <c r="B453" s="231"/>
    </row>
    <row r="454" spans="2:2">
      <c r="B454" s="231"/>
    </row>
    <row r="455" spans="2:2">
      <c r="B455" s="231"/>
    </row>
    <row r="456" spans="2:2">
      <c r="B456" s="231"/>
    </row>
    <row r="457" spans="2:2">
      <c r="B457" s="231"/>
    </row>
    <row r="458" spans="2:2">
      <c r="B458" s="231"/>
    </row>
    <row r="459" spans="2:2">
      <c r="B459" s="231"/>
    </row>
    <row r="460" spans="2:2">
      <c r="B460" s="231"/>
    </row>
    <row r="461" spans="2:2">
      <c r="B461" s="231"/>
    </row>
    <row r="462" spans="2:2">
      <c r="B462" s="231"/>
    </row>
    <row r="463" spans="2:2">
      <c r="B463" s="231"/>
    </row>
    <row r="464" spans="2:2">
      <c r="B464" s="231"/>
    </row>
    <row r="465" spans="2:2">
      <c r="B465" s="231"/>
    </row>
    <row r="466" spans="2:2">
      <c r="B466" s="231"/>
    </row>
    <row r="467" spans="2:2">
      <c r="B467" s="231"/>
    </row>
    <row r="468" spans="2:2">
      <c r="B468" s="231"/>
    </row>
    <row r="469" spans="2:2">
      <c r="B469" s="231"/>
    </row>
    <row r="470" spans="2:2">
      <c r="B470" s="231"/>
    </row>
    <row r="471" spans="2:2">
      <c r="B471" s="231"/>
    </row>
    <row r="472" spans="2:2">
      <c r="B472" s="231"/>
    </row>
    <row r="473" spans="2:2">
      <c r="B473" s="231"/>
    </row>
    <row r="474" spans="2:2">
      <c r="B474" s="231"/>
    </row>
    <row r="475" spans="2:2">
      <c r="B475" s="231"/>
    </row>
    <row r="476" spans="2:2">
      <c r="B476" s="231"/>
    </row>
    <row r="477" spans="2:2">
      <c r="B477" s="231"/>
    </row>
    <row r="478" spans="2:2">
      <c r="B478" s="231"/>
    </row>
    <row r="479" spans="2:2">
      <c r="B479" s="231"/>
    </row>
    <row r="480" spans="2:2">
      <c r="B480" s="231"/>
    </row>
    <row r="481" spans="2:2">
      <c r="B481" s="231"/>
    </row>
    <row r="482" spans="2:2">
      <c r="B482" s="231"/>
    </row>
    <row r="483" spans="2:2">
      <c r="B483" s="231"/>
    </row>
    <row r="484" spans="2:2">
      <c r="B484" s="231"/>
    </row>
    <row r="485" spans="2:2">
      <c r="B485" s="231"/>
    </row>
    <row r="486" spans="2:2">
      <c r="B486" s="231"/>
    </row>
    <row r="487" spans="2:2">
      <c r="B487" s="231"/>
    </row>
    <row r="488" spans="2:2">
      <c r="B488" s="231"/>
    </row>
    <row r="489" spans="2:2">
      <c r="B489" s="231"/>
    </row>
    <row r="490" spans="2:2">
      <c r="B490" s="231"/>
    </row>
    <row r="491" spans="2:2">
      <c r="B491" s="231"/>
    </row>
    <row r="492" spans="2:2">
      <c r="B492" s="231"/>
    </row>
    <row r="493" spans="2:2">
      <c r="B493" s="231"/>
    </row>
    <row r="494" spans="2:2">
      <c r="B494" s="231"/>
    </row>
    <row r="495" spans="2:2">
      <c r="B495" s="231"/>
    </row>
  </sheetData>
  <mergeCells count="2">
    <mergeCell ref="A5:H5"/>
    <mergeCell ref="A4:I4"/>
  </mergeCells>
  <printOptions horizontalCentered="1"/>
  <pageMargins left="0.25" right="0.25" top="0.5" bottom="0.5" header="0.25" footer="0.25"/>
  <pageSetup scale="77" orientation="landscape" r:id="rId1"/>
  <headerFooter alignWithMargins="0">
    <oddFooter>&amp;L&amp;"Times New Roman,Regular"&amp;12&amp;F&amp;C&amp;"Times New Roman,Regular"&amp;12Page 1 of 4&amp;R&amp;"Times New Roman,Regular"&amp;12&amp;A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7"/>
  <sheetViews>
    <sheetView zoomScaleNormal="100" workbookViewId="0">
      <selection activeCell="F52" sqref="F52"/>
    </sheetView>
  </sheetViews>
  <sheetFormatPr defaultColWidth="9.28515625" defaultRowHeight="15.7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2578125" style="20" bestFit="1" customWidth="1"/>
    <col min="10" max="10" width="6" style="20" bestFit="1" customWidth="1"/>
    <col min="11" max="14" width="17.28515625" style="20" bestFit="1" customWidth="1"/>
    <col min="15" max="15" width="18.42578125" style="20" bestFit="1" customWidth="1"/>
    <col min="16" max="16" width="8.5703125" style="20" bestFit="1" customWidth="1"/>
    <col min="17" max="16384" width="9.28515625" style="20"/>
  </cols>
  <sheetData>
    <row r="2" spans="1:16" ht="18" customHeight="1">
      <c r="A2" s="726" t="s">
        <v>79</v>
      </c>
      <c r="B2" s="726"/>
      <c r="C2" s="726"/>
      <c r="D2" s="726"/>
      <c r="E2" s="726"/>
      <c r="F2" s="726"/>
      <c r="G2" s="726"/>
      <c r="H2" s="726"/>
      <c r="I2" s="726"/>
      <c r="J2" s="726"/>
      <c r="K2" s="387"/>
      <c r="L2" s="387"/>
      <c r="M2" s="387"/>
      <c r="N2" s="387"/>
      <c r="O2" s="387"/>
      <c r="P2" s="387"/>
    </row>
    <row r="3" spans="1:16" ht="18" customHeight="1">
      <c r="A3" s="726" t="s">
        <v>1</v>
      </c>
      <c r="B3" s="726"/>
      <c r="C3" s="726"/>
      <c r="D3" s="726"/>
      <c r="E3" s="726"/>
      <c r="F3" s="726"/>
      <c r="G3" s="726"/>
      <c r="H3" s="726"/>
      <c r="I3" s="726"/>
      <c r="J3" s="726"/>
      <c r="K3" s="386"/>
      <c r="L3" s="386"/>
      <c r="M3" s="386"/>
      <c r="N3" s="386"/>
      <c r="O3" s="386"/>
      <c r="P3" s="386"/>
    </row>
    <row r="4" spans="1:16" ht="18" customHeight="1">
      <c r="A4" s="726" t="str">
        <f>'Stmt BG - Page 1'!A4</f>
        <v>Transmission Access Charge Balancing Account Adjustment (TACBAA) Revenues Data to Reflect Changed Rates</v>
      </c>
      <c r="B4" s="726"/>
      <c r="C4" s="726"/>
      <c r="D4" s="726"/>
      <c r="E4" s="726"/>
      <c r="F4" s="726"/>
      <c r="G4" s="726"/>
      <c r="H4" s="726"/>
      <c r="I4" s="726"/>
      <c r="J4" s="726"/>
      <c r="K4" s="386"/>
      <c r="L4" s="386"/>
      <c r="M4" s="386"/>
      <c r="N4" s="386"/>
      <c r="O4" s="386"/>
      <c r="P4" s="386"/>
    </row>
    <row r="5" spans="1:16" ht="18" customHeight="1">
      <c r="A5" s="727" t="str">
        <f>'Stmt BG - Page 1'!A6</f>
        <v>Rate Effective Period - Twelve Months Ending December 31, 2026</v>
      </c>
      <c r="B5" s="727"/>
      <c r="C5" s="727"/>
      <c r="D5" s="727"/>
      <c r="E5" s="727"/>
      <c r="F5" s="727"/>
      <c r="G5" s="727"/>
      <c r="H5" s="727"/>
      <c r="I5" s="727"/>
      <c r="J5" s="727"/>
      <c r="K5" s="386"/>
      <c r="L5" s="386"/>
      <c r="M5" s="386"/>
      <c r="N5" s="386"/>
      <c r="O5" s="386"/>
      <c r="P5" s="386"/>
    </row>
    <row r="6" spans="1:16" ht="16.5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488" t="s">
        <v>8</v>
      </c>
    </row>
    <row r="8" spans="1:16" ht="16.5" thickBot="1">
      <c r="A8" s="472" t="s">
        <v>11</v>
      </c>
      <c r="B8" s="473" t="s">
        <v>87</v>
      </c>
      <c r="C8" s="503">
        <v>46023</v>
      </c>
      <c r="D8" s="503">
        <v>46054</v>
      </c>
      <c r="E8" s="503">
        <v>46082</v>
      </c>
      <c r="F8" s="503">
        <v>46113</v>
      </c>
      <c r="G8" s="503">
        <v>46143</v>
      </c>
      <c r="H8" s="503">
        <v>46174</v>
      </c>
      <c r="I8" s="489"/>
      <c r="J8" s="490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75">
      <c r="A10" s="153">
        <v>1</v>
      </c>
      <c r="B10" s="16" t="s">
        <v>120</v>
      </c>
      <c r="C10" s="17">
        <f>'Stmt BG - Page 3'!C35</f>
        <v>-5619056.8723512217</v>
      </c>
      <c r="D10" s="17">
        <f>'Stmt BG - Page 3'!D35</f>
        <v>-4716210.3324464895</v>
      </c>
      <c r="E10" s="17">
        <f>'Stmt BG - Page 3'!E35</f>
        <v>-4128030.5093594147</v>
      </c>
      <c r="F10" s="17">
        <f>'Stmt BG - Page 3'!F35</f>
        <v>-3373194.6913811448</v>
      </c>
      <c r="G10" s="17">
        <f>'Stmt BG - Page 3'!G35</f>
        <v>-3099345.2652553855</v>
      </c>
      <c r="H10" s="17">
        <f>'Stmt BG - Page 3'!H35</f>
        <v>-3335680.4435659233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75">
      <c r="A12" s="153">
        <f t="shared" ref="A12:A24" si="0">A11+1</f>
        <v>3</v>
      </c>
      <c r="B12" s="16" t="s">
        <v>121</v>
      </c>
      <c r="C12" s="21">
        <f>'Stmt BG - Page 3'!C37</f>
        <v>-2000010.0847217201</v>
      </c>
      <c r="D12" s="21">
        <f>'Stmt BG - Page 3'!D37</f>
        <v>-1925208.8807115783</v>
      </c>
      <c r="E12" s="21">
        <f>'Stmt BG - Page 3'!E37</f>
        <v>-1885739.7554856094</v>
      </c>
      <c r="F12" s="21">
        <f>'Stmt BG - Page 3'!F37</f>
        <v>-1867915.0304640457</v>
      </c>
      <c r="G12" s="21">
        <f>'Stmt BG - Page 3'!G37</f>
        <v>-1865510.624769957</v>
      </c>
      <c r="H12" s="21">
        <f>'Stmt BG - Page 3'!H37</f>
        <v>-1927813.2089550025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75">
      <c r="A14" s="153">
        <f t="shared" si="0"/>
        <v>5</v>
      </c>
      <c r="B14" s="16" t="s">
        <v>122</v>
      </c>
      <c r="C14" s="21">
        <f>'Stmt BG - Page 3'!C39</f>
        <v>-7137661.4733178886</v>
      </c>
      <c r="D14" s="21">
        <f>'Stmt BG - Page 3'!D39</f>
        <v>-6762223.8457796779</v>
      </c>
      <c r="E14" s="21">
        <f>'Stmt BG - Page 3'!E39</f>
        <v>-6780638.1726937294</v>
      </c>
      <c r="F14" s="21">
        <f>'Stmt BG - Page 3'!F39</f>
        <v>-6820257.9891480748</v>
      </c>
      <c r="G14" s="21">
        <f>'Stmt BG - Page 3'!G39</f>
        <v>-6885865.2812607177</v>
      </c>
      <c r="H14" s="21">
        <f>'Stmt BG - Page 3'!H39</f>
        <v>-7185522.2373573463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75">
      <c r="A16" s="153">
        <f t="shared" si="0"/>
        <v>7</v>
      </c>
      <c r="B16" s="16" t="s">
        <v>123</v>
      </c>
      <c r="C16" s="21">
        <f>'Stmt BG - Page 3'!C41</f>
        <v>-2152.0295999999998</v>
      </c>
      <c r="D16" s="21">
        <f>'Stmt BG - Page 3'!D41</f>
        <v>-4504.1486999999997</v>
      </c>
      <c r="E16" s="21">
        <f>'Stmt BG - Page 3'!E41</f>
        <v>-3499.2327</v>
      </c>
      <c r="F16" s="21">
        <f>'Stmt BG - Page 3'!F41</f>
        <v>-10903.239299999999</v>
      </c>
      <c r="G16" s="21">
        <f>'Stmt BG - Page 3'!G41</f>
        <v>-1941.9107999999999</v>
      </c>
      <c r="H16" s="21">
        <f>'Stmt BG - Page 3'!H41</f>
        <v>0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75">
      <c r="A18" s="153">
        <f t="shared" si="0"/>
        <v>9</v>
      </c>
      <c r="B18" s="193" t="s">
        <v>124</v>
      </c>
      <c r="C18" s="21">
        <f>'Stmt BG - Page 3'!C43</f>
        <v>-87095.018420812601</v>
      </c>
      <c r="D18" s="21">
        <f>'Stmt BG - Page 3'!D43</f>
        <v>-85380.10410789492</v>
      </c>
      <c r="E18" s="21">
        <f>'Stmt BG - Page 3'!E43</f>
        <v>-80646.098814741592</v>
      </c>
      <c r="F18" s="21">
        <f>'Stmt BG - Page 3'!F43</f>
        <v>-89098.372786327251</v>
      </c>
      <c r="G18" s="21">
        <f>'Stmt BG - Page 3'!G43</f>
        <v>-133999.33449917319</v>
      </c>
      <c r="H18" s="21">
        <f>'Stmt BG - Page 3'!H43</f>
        <v>-151701.62370919783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75">
      <c r="A20" s="153">
        <f t="shared" si="0"/>
        <v>11</v>
      </c>
      <c r="B20" s="193" t="s">
        <v>125</v>
      </c>
      <c r="C20" s="21">
        <f>'Stmt BG - Page 3'!C45</f>
        <v>-159835.2112668269</v>
      </c>
      <c r="D20" s="21">
        <f>'Stmt BG - Page 3'!D45</f>
        <v>-162105.1614753218</v>
      </c>
      <c r="E20" s="21">
        <f>'Stmt BG - Page 3'!E45</f>
        <v>-151035.88016028251</v>
      </c>
      <c r="F20" s="21">
        <f>'Stmt BG - Page 3'!F45</f>
        <v>-156802.52744350475</v>
      </c>
      <c r="G20" s="21">
        <f>'Stmt BG - Page 3'!G45</f>
        <v>-188472.16118011062</v>
      </c>
      <c r="H20" s="21">
        <f>'Stmt BG - Page 3'!H45</f>
        <v>-196525.08218002689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75">
      <c r="A22" s="153">
        <f t="shared" si="0"/>
        <v>13</v>
      </c>
      <c r="B22" s="16" t="s">
        <v>126</v>
      </c>
      <c r="C22" s="22">
        <f>'Stmt BG - Page 3'!C47</f>
        <v>-70006.910830601235</v>
      </c>
      <c r="D22" s="22">
        <f>'Stmt BG - Page 3'!D47</f>
        <v>-69148.938478866577</v>
      </c>
      <c r="E22" s="22">
        <f>'Stmt BG - Page 3'!E47</f>
        <v>-67736.346872445283</v>
      </c>
      <c r="F22" s="22">
        <f>'Stmt BG - Page 3'!F47</f>
        <v>-66495.589528435405</v>
      </c>
      <c r="G22" s="22">
        <f>'Stmt BG - Page 3'!G47</f>
        <v>-66406.228862429678</v>
      </c>
      <c r="H22" s="22">
        <f>'Stmt BG - Page 3'!H47</f>
        <v>-66741.887884401483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649">
        <f t="shared" ref="C24:H24" si="2">SUM(C10:C22)</f>
        <v>-15075817.600509072</v>
      </c>
      <c r="D24" s="649">
        <f t="shared" si="2"/>
        <v>-13724781.411699828</v>
      </c>
      <c r="E24" s="649">
        <f t="shared" si="2"/>
        <v>-13097325.996086223</v>
      </c>
      <c r="F24" s="649">
        <f t="shared" si="2"/>
        <v>-12384667.440051531</v>
      </c>
      <c r="G24" s="649">
        <f t="shared" si="2"/>
        <v>-12241540.806627775</v>
      </c>
      <c r="H24" s="649">
        <f t="shared" si="2"/>
        <v>-12863984.483651899</v>
      </c>
      <c r="I24" s="12"/>
      <c r="J24" s="154">
        <f t="shared" si="1"/>
        <v>15</v>
      </c>
    </row>
    <row r="25" spans="1:18" ht="16.5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.5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.5" thickBot="1">
      <c r="A28" s="464" t="s">
        <v>11</v>
      </c>
      <c r="B28" s="473" t="s">
        <v>87</v>
      </c>
      <c r="C28" s="503">
        <v>46204</v>
      </c>
      <c r="D28" s="503">
        <v>46235</v>
      </c>
      <c r="E28" s="503">
        <v>46266</v>
      </c>
      <c r="F28" s="503">
        <v>46296</v>
      </c>
      <c r="G28" s="503">
        <v>46327</v>
      </c>
      <c r="H28" s="503">
        <v>46357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7"/>
      <c r="B29" s="228"/>
      <c r="C29" s="228"/>
      <c r="D29" s="228"/>
      <c r="E29" s="228"/>
      <c r="F29" s="228"/>
      <c r="G29" s="228"/>
      <c r="H29" s="228"/>
      <c r="I29" s="228"/>
      <c r="J29" s="158"/>
      <c r="K29" s="255"/>
      <c r="L29" s="255"/>
      <c r="M29" s="255"/>
      <c r="N29" s="255"/>
      <c r="O29" s="255"/>
    </row>
    <row r="30" spans="1:18" ht="18.75">
      <c r="A30" s="153">
        <f>A24+1</f>
        <v>16</v>
      </c>
      <c r="B30" s="16" t="s">
        <v>120</v>
      </c>
      <c r="C30" s="17">
        <f>'Stmt BG - Page 4'!C35</f>
        <v>-4361818.76064674</v>
      </c>
      <c r="D30" s="17">
        <f>'Stmt BG - Page 4'!D35</f>
        <v>-5832767.7061345102</v>
      </c>
      <c r="E30" s="17">
        <f>'Stmt BG - Page 4'!E35</f>
        <v>-6585378.9967066962</v>
      </c>
      <c r="F30" s="17">
        <f>'Stmt BG - Page 4'!F35</f>
        <v>-4829610.046202736</v>
      </c>
      <c r="G30" s="17">
        <f>'Stmt BG - Page 4'!G35</f>
        <v>-4154087.4749141233</v>
      </c>
      <c r="H30" s="17">
        <f>'Stmt BG - Page 4'!H35</f>
        <v>-4870219.3384166118</v>
      </c>
      <c r="I30" s="17">
        <f>SUM(C10:H10,C30:H30)</f>
        <v>-54905400.437380999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75">
      <c r="A32" s="153">
        <f t="shared" ref="A32:A44" si="4">A31+1</f>
        <v>18</v>
      </c>
      <c r="B32" s="16" t="s">
        <v>121</v>
      </c>
      <c r="C32" s="21">
        <f>'Stmt BG - Page 4'!C37</f>
        <v>-2158023.0432287906</v>
      </c>
      <c r="D32" s="21">
        <f>'Stmt BG - Page 4'!D37</f>
        <v>-2276391.7224274687</v>
      </c>
      <c r="E32" s="21">
        <f>'Stmt BG - Page 4'!E37</f>
        <v>-2376427.3995830691</v>
      </c>
      <c r="F32" s="21">
        <f>'Stmt BG - Page 4'!F37</f>
        <v>-2098691.3675345681</v>
      </c>
      <c r="G32" s="21">
        <f>'Stmt BG - Page 4'!G37</f>
        <v>-1939483.5212942006</v>
      </c>
      <c r="H32" s="21">
        <f>'Stmt BG - Page 4'!H37</f>
        <v>-1928842.8992932795</v>
      </c>
      <c r="I32" s="17">
        <f>SUM(C12:H12,C32:H32)</f>
        <v>-24250057.538469288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75">
      <c r="A34" s="153">
        <f t="shared" si="4"/>
        <v>20</v>
      </c>
      <c r="B34" s="16" t="s">
        <v>122</v>
      </c>
      <c r="C34" s="21">
        <f>'Stmt BG - Page 4'!C39</f>
        <v>-8008442.2925018156</v>
      </c>
      <c r="D34" s="21">
        <f>'Stmt BG - Page 4'!D39</f>
        <v>-8281307.3873085659</v>
      </c>
      <c r="E34" s="21">
        <f>'Stmt BG - Page 4'!E39</f>
        <v>-8609477.5505238157</v>
      </c>
      <c r="F34" s="21">
        <f>'Stmt BG - Page 4'!F39</f>
        <v>-7909608.1845658822</v>
      </c>
      <c r="G34" s="21">
        <f>'Stmt BG - Page 4'!G39</f>
        <v>-7230065.3061223021</v>
      </c>
      <c r="H34" s="21">
        <f>'Stmt BG - Page 4'!H39</f>
        <v>-7583638.5206668489</v>
      </c>
      <c r="I34" s="17">
        <f>SUM(C14:H14,C34:H34)</f>
        <v>-89194708.24124667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75">
      <c r="A36" s="153">
        <f t="shared" si="4"/>
        <v>22</v>
      </c>
      <c r="B36" s="16" t="s">
        <v>123</v>
      </c>
      <c r="C36" s="21">
        <f>'Stmt BG - Page 4'!C41</f>
        <v>0</v>
      </c>
      <c r="D36" s="21">
        <f>'Stmt BG - Page 4'!D41</f>
        <v>0</v>
      </c>
      <c r="E36" s="21">
        <f>'Stmt BG - Page 4'!E41</f>
        <v>-1016.0376</v>
      </c>
      <c r="F36" s="21">
        <f>'Stmt BG - Page 4'!F41</f>
        <v>-7420.6889999999994</v>
      </c>
      <c r="G36" s="21">
        <f>'Stmt BG - Page 4'!G41</f>
        <v>-6986.9465999999993</v>
      </c>
      <c r="H36" s="21">
        <f>'Stmt BG - Page 4'!H41</f>
        <v>-3369.2489999999998</v>
      </c>
      <c r="I36" s="21">
        <f>SUM(C16:H16,C36:H36)</f>
        <v>-41793.483299999993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75">
      <c r="A38" s="153">
        <f t="shared" si="4"/>
        <v>24</v>
      </c>
      <c r="B38" s="193" t="s">
        <v>124</v>
      </c>
      <c r="C38" s="21">
        <f>'Stmt BG - Page 4'!C43</f>
        <v>-175504.92938949479</v>
      </c>
      <c r="D38" s="21">
        <f>'Stmt BG - Page 4'!D43</f>
        <v>-192154.74039019755</v>
      </c>
      <c r="E38" s="21">
        <f>'Stmt BG - Page 4'!E43</f>
        <v>-188121.86531425815</v>
      </c>
      <c r="F38" s="21">
        <f>'Stmt BG - Page 4'!F43</f>
        <v>-173613.90703693323</v>
      </c>
      <c r="G38" s="21">
        <f>'Stmt BG - Page 4'!G43</f>
        <v>-143201.68478321665</v>
      </c>
      <c r="H38" s="21">
        <f>'Stmt BG - Page 4'!H43</f>
        <v>-131921.83955770161</v>
      </c>
      <c r="I38" s="17">
        <f>SUM(C18:H18,C38:H38)</f>
        <v>-1632439.5188099495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75">
      <c r="A40" s="153">
        <f t="shared" si="4"/>
        <v>26</v>
      </c>
      <c r="B40" s="193" t="s">
        <v>125</v>
      </c>
      <c r="C40" s="21">
        <f>'Stmt BG - Page 4'!C45</f>
        <v>-216717.34323327517</v>
      </c>
      <c r="D40" s="21">
        <f>'Stmt BG - Page 4'!D45</f>
        <v>-217941.9064538134</v>
      </c>
      <c r="E40" s="21">
        <f>'Stmt BG - Page 4'!E45</f>
        <v>-217048.2629212988</v>
      </c>
      <c r="F40" s="21">
        <f>'Stmt BG - Page 4'!F45</f>
        <v>-209709.92494023702</v>
      </c>
      <c r="G40" s="21">
        <f>'Stmt BG - Page 4'!G45</f>
        <v>-196171.38809533979</v>
      </c>
      <c r="H40" s="21">
        <f>'Stmt BG - Page 4'!H45</f>
        <v>-180554.36466355057</v>
      </c>
      <c r="I40" s="17">
        <f>SUM(C20:H20,C40:H40)</f>
        <v>-2252919.2140135881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75">
      <c r="A42" s="153">
        <f t="shared" si="4"/>
        <v>28</v>
      </c>
      <c r="B42" s="16" t="s">
        <v>126</v>
      </c>
      <c r="C42" s="22">
        <f>'Stmt BG - Page 4'!C47</f>
        <v>-66319.712573959681</v>
      </c>
      <c r="D42" s="22">
        <f>'Stmt BG - Page 4'!D47</f>
        <v>-67909.085062372673</v>
      </c>
      <c r="E42" s="22">
        <f>'Stmt BG - Page 4'!E47</f>
        <v>-67063.163666356893</v>
      </c>
      <c r="F42" s="22">
        <f>'Stmt BG - Page 4'!F47</f>
        <v>-67351.700651063715</v>
      </c>
      <c r="G42" s="22">
        <f>'Stmt BG - Page 4'!G47</f>
        <v>-70700.970632741533</v>
      </c>
      <c r="H42" s="22">
        <f>'Stmt BG - Page 4'!H47</f>
        <v>-70889.370717316124</v>
      </c>
      <c r="I42" s="14">
        <f>SUM(C22:H22,C42:H42)</f>
        <v>-816769.90576099034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649">
        <f t="shared" ref="C44:I44" si="6">SUM(C30:C42)</f>
        <v>-14986826.081574077</v>
      </c>
      <c r="D44" s="649">
        <f t="shared" si="6"/>
        <v>-16868472.54777693</v>
      </c>
      <c r="E44" s="649">
        <f t="shared" si="6"/>
        <v>-18044533.276315495</v>
      </c>
      <c r="F44" s="649">
        <f t="shared" si="6"/>
        <v>-15296005.819931423</v>
      </c>
      <c r="G44" s="649">
        <f t="shared" si="6"/>
        <v>-13740697.292441923</v>
      </c>
      <c r="H44" s="649">
        <f t="shared" si="6"/>
        <v>-14769435.582315309</v>
      </c>
      <c r="I44" s="649">
        <f t="shared" si="6"/>
        <v>-173094088.33898148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5" thickBot="1">
      <c r="A45" s="159"/>
      <c r="B45" s="491"/>
      <c r="C45" s="152"/>
      <c r="D45" s="493"/>
      <c r="E45" s="152"/>
      <c r="F45" s="493"/>
      <c r="G45" s="152"/>
      <c r="H45" s="152"/>
      <c r="I45" s="496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75">
      <c r="A47" s="236" t="s">
        <v>128</v>
      </c>
      <c r="B47" s="20" t="s">
        <v>129</v>
      </c>
      <c r="C47" s="231"/>
      <c r="D47" s="231"/>
      <c r="F47" s="390">
        <v>5</v>
      </c>
      <c r="G47" s="20" t="s">
        <v>130</v>
      </c>
    </row>
    <row r="48" spans="1:15" ht="18.75">
      <c r="A48" s="236">
        <v>2</v>
      </c>
      <c r="B48" s="20" t="s">
        <v>131</v>
      </c>
      <c r="C48" s="241"/>
      <c r="D48" s="241"/>
      <c r="F48" s="390">
        <v>6</v>
      </c>
      <c r="G48" s="20" t="s">
        <v>132</v>
      </c>
    </row>
    <row r="49" spans="1:7" ht="18.75">
      <c r="A49" s="236">
        <v>3</v>
      </c>
      <c r="B49" s="20" t="s">
        <v>133</v>
      </c>
      <c r="C49" s="231"/>
      <c r="D49" s="231"/>
      <c r="F49" s="390">
        <v>7</v>
      </c>
      <c r="G49" s="20" t="s">
        <v>134</v>
      </c>
    </row>
    <row r="50" spans="1:7" ht="18.75">
      <c r="A50" s="236">
        <v>4</v>
      </c>
      <c r="B50" s="20" t="s">
        <v>135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5" orientation="landscape" r:id="rId1"/>
  <headerFooter alignWithMargins="0">
    <oddFooter>&amp;L&amp;"Times New Roman,Regular"&amp;12&amp;F&amp;C&amp;"Times New Roman,Regular"&amp;12Page 2 of 4&amp;R&amp;"Times New Roman,Regular"&amp;12&amp;A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71"/>
  <sheetViews>
    <sheetView zoomScaleNormal="100" workbookViewId="0">
      <selection activeCell="C51" sqref="C51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40.5703125" customWidth="1"/>
    <col min="10" max="10" width="5.5703125" customWidth="1"/>
  </cols>
  <sheetData>
    <row r="2" spans="1:15" ht="15.7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75">
      <c r="A5" s="306" t="str">
        <f>'Stmt BG - Page 2'!A5:J5</f>
        <v>Rate Effective Period - Twelve Months Ending December 31, 2026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.5" thickBot="1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5" ht="15.75">
      <c r="A7" s="485"/>
      <c r="B7" s="478"/>
      <c r="C7" s="497" t="s">
        <v>3</v>
      </c>
      <c r="D7" s="497" t="s">
        <v>26</v>
      </c>
      <c r="E7" s="497" t="s">
        <v>115</v>
      </c>
      <c r="F7" s="497" t="s">
        <v>116</v>
      </c>
      <c r="G7" s="497" t="s">
        <v>117</v>
      </c>
      <c r="H7" s="498" t="s">
        <v>118</v>
      </c>
      <c r="I7" s="498" t="s">
        <v>119</v>
      </c>
      <c r="J7" s="486"/>
    </row>
    <row r="8" spans="1:15" ht="15.75">
      <c r="A8" s="274" t="s">
        <v>8</v>
      </c>
      <c r="B8" s="41"/>
      <c r="C8" s="499">
        <f>'Stmt BG - Page 2'!C8</f>
        <v>46023</v>
      </c>
      <c r="D8" s="499">
        <f>'Stmt BG - Page 2'!D8</f>
        <v>46054</v>
      </c>
      <c r="E8" s="499">
        <f>'Stmt BG - Page 2'!E8</f>
        <v>46082</v>
      </c>
      <c r="F8" s="499">
        <f>'Stmt BG - Page 2'!F8</f>
        <v>46113</v>
      </c>
      <c r="G8" s="499">
        <f>'Stmt BG - Page 2'!G8</f>
        <v>46143</v>
      </c>
      <c r="H8" s="500">
        <f>'Stmt BG - Page 2'!H8</f>
        <v>46174</v>
      </c>
      <c r="I8" s="499"/>
      <c r="J8" s="275" t="s">
        <v>8</v>
      </c>
    </row>
    <row r="9" spans="1:15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5" ht="15.7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5" ht="15.75">
      <c r="A11" s="153">
        <v>1</v>
      </c>
      <c r="B11" s="11" t="s">
        <v>137</v>
      </c>
      <c r="C11" s="21">
        <f>'WP 1.2 Forecast Sales - KWH'!C6*1000</f>
        <v>565866754.51673937</v>
      </c>
      <c r="D11" s="21">
        <f>'WP 1.2 Forecast Sales - KWH'!D6*1000</f>
        <v>474945652.81434941</v>
      </c>
      <c r="E11" s="21">
        <f>'WP 1.2 Forecast Sales - KWH'!E6*1000</f>
        <v>415713042.23156244</v>
      </c>
      <c r="F11" s="21">
        <f>'WP 1.2 Forecast Sales - KWH'!F6*1000</f>
        <v>339697350.5922603</v>
      </c>
      <c r="G11" s="21">
        <f>'WP 1.2 Forecast Sales - KWH'!G6*1000</f>
        <v>312119362.05995828</v>
      </c>
      <c r="H11" s="21">
        <f>'WP 1.2 Forecast Sales - KWH'!H6*1000</f>
        <v>335919480.72164387</v>
      </c>
      <c r="I11" s="259" t="s">
        <v>138</v>
      </c>
      <c r="J11" s="154">
        <v>1</v>
      </c>
    </row>
    <row r="12" spans="1:15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</row>
    <row r="13" spans="1:15" ht="15.75">
      <c r="A13" s="153">
        <f t="shared" ref="A13:A49" si="0">A12+1</f>
        <v>3</v>
      </c>
      <c r="B13" s="11" t="s">
        <v>95</v>
      </c>
      <c r="C13" s="21">
        <f>'WP 1.2 Forecast Sales - KWH'!C7*1000</f>
        <v>201410884.6648258</v>
      </c>
      <c r="D13" s="21">
        <f>'WP 1.2 Forecast Sales - KWH'!D7*1000</f>
        <v>193878034.3113372</v>
      </c>
      <c r="E13" s="21">
        <f>'WP 1.2 Forecast Sales - KWH'!E7*1000</f>
        <v>189903298.63903418</v>
      </c>
      <c r="F13" s="21">
        <f>'WP 1.2 Forecast Sales - KWH'!F7*1000</f>
        <v>188108260.87251216</v>
      </c>
      <c r="G13" s="21">
        <f>'WP 1.2 Forecast Sales - KWH'!G7*1000</f>
        <v>187866125.35447705</v>
      </c>
      <c r="H13" s="21">
        <f>'WP 1.2 Forecast Sales - KWH'!H7*1000</f>
        <v>194140303.01661658</v>
      </c>
      <c r="I13" s="259" t="s">
        <v>139</v>
      </c>
      <c r="J13" s="154">
        <f t="shared" ref="J13:J49" si="1">J12+1</f>
        <v>3</v>
      </c>
    </row>
    <row r="14" spans="1:15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</row>
    <row r="15" spans="1:15" ht="15.75">
      <c r="A15" s="153">
        <f t="shared" si="0"/>
        <v>5</v>
      </c>
      <c r="B15" s="11" t="s">
        <v>140</v>
      </c>
      <c r="C15" s="21">
        <f>'WP 1.2 Forecast Sales - KWH'!C8*1000</f>
        <v>718797731.45195258</v>
      </c>
      <c r="D15" s="21">
        <f>'WP 1.2 Forecast Sales - KWH'!D8*1000</f>
        <v>680989309.74619114</v>
      </c>
      <c r="E15" s="21">
        <f>'WP 1.2 Forecast Sales - KWH'!E8*1000</f>
        <v>682843723.33270192</v>
      </c>
      <c r="F15" s="21">
        <f>'WP 1.2 Forecast Sales - KWH'!F8*1000</f>
        <v>686833634.35529459</v>
      </c>
      <c r="G15" s="21">
        <f>'WP 1.2 Forecast Sales - KWH'!G8*1000</f>
        <v>693440612.41296256</v>
      </c>
      <c r="H15" s="21">
        <f>'WP 1.2 Forecast Sales - KWH'!H8*1000</f>
        <v>723617546.56166637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</row>
    <row r="16" spans="1:15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</row>
    <row r="17" spans="1:15" ht="15.75">
      <c r="A17" s="153">
        <f t="shared" si="0"/>
        <v>7</v>
      </c>
      <c r="B17" s="193" t="s">
        <v>101</v>
      </c>
      <c r="C17" s="21">
        <f>'WP 1.2 Forecast Sales - KWH'!C9*1000</f>
        <v>216720</v>
      </c>
      <c r="D17" s="21">
        <f>'WP 1.2 Forecast Sales - KWH'!D9*1000</f>
        <v>453590</v>
      </c>
      <c r="E17" s="21">
        <f>'WP 1.2 Forecast Sales - KWH'!E9*1000</f>
        <v>352390</v>
      </c>
      <c r="F17" s="21">
        <f>'WP 1.2 Forecast Sales - KWH'!F9*1000</f>
        <v>1098010</v>
      </c>
      <c r="G17" s="21">
        <f>'WP 1.2 Forecast Sales - KWH'!G9*1000</f>
        <v>195560</v>
      </c>
      <c r="H17" s="21">
        <f>'WP 1.2 Forecast Sales - KWH'!H9*1000</f>
        <v>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</row>
    <row r="18" spans="1:15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</row>
    <row r="19" spans="1:15" ht="15.75">
      <c r="A19" s="153">
        <f t="shared" si="0"/>
        <v>9</v>
      </c>
      <c r="B19" s="193" t="s">
        <v>104</v>
      </c>
      <c r="C19" s="21">
        <f>'WP 1.2 Forecast Sales - KWH'!C10*1000</f>
        <v>8770898.1289841495</v>
      </c>
      <c r="D19" s="21">
        <f>'WP 1.2 Forecast Sales - KWH'!D10*1000</f>
        <v>8598197.7953569908</v>
      </c>
      <c r="E19" s="21">
        <f>'WP 1.2 Forecast Sales - KWH'!E10*1000</f>
        <v>8121460.1021894859</v>
      </c>
      <c r="F19" s="21">
        <f>'WP 1.2 Forecast Sales - KWH'!F10*1000</f>
        <v>8972645.7992273159</v>
      </c>
      <c r="G19" s="21">
        <f>'WP 1.2 Forecast Sales - KWH'!G10*1000</f>
        <v>13494394.209383002</v>
      </c>
      <c r="H19" s="21">
        <f>'WP 1.2 Forecast Sales - KWH'!H10*1000</f>
        <v>15277102.085518412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</row>
    <row r="20" spans="1:15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</row>
    <row r="21" spans="1:15" ht="15.75">
      <c r="A21" s="153">
        <f t="shared" si="0"/>
        <v>11</v>
      </c>
      <c r="B21" s="193" t="s">
        <v>107</v>
      </c>
      <c r="C21" s="21">
        <f>'WP 1.2 Forecast Sales - KWH'!C11*1000</f>
        <v>16096194.488099385</v>
      </c>
      <c r="D21" s="21">
        <f>'WP 1.2 Forecast Sales - KWH'!D11*1000</f>
        <v>16324789.675258994</v>
      </c>
      <c r="E21" s="21">
        <f>'WP 1.2 Forecast Sales - KWH'!E11*1000</f>
        <v>15210058.425003275</v>
      </c>
      <c r="F21" s="21">
        <f>'WP 1.2 Forecast Sales - KWH'!F11*1000</f>
        <v>15790788.262185775</v>
      </c>
      <c r="G21" s="21">
        <f>'WP 1.2 Forecast Sales - KWH'!G11*1000</f>
        <v>18980076.654593214</v>
      </c>
      <c r="H21" s="21">
        <f>'WP 1.2 Forecast Sales - KWH'!H11*1000</f>
        <v>19791045.53676001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</row>
    <row r="22" spans="1:15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</row>
    <row r="23" spans="1:15" ht="15.75">
      <c r="A23" s="153">
        <f t="shared" si="0"/>
        <v>13</v>
      </c>
      <c r="B23" s="11" t="s">
        <v>145</v>
      </c>
      <c r="C23" s="22">
        <f>'WP 1.2 Forecast Sales - KWH'!C12*1000</f>
        <v>7050041.3726688055</v>
      </c>
      <c r="D23" s="22">
        <f>'WP 1.2 Forecast Sales - KWH'!D12*1000</f>
        <v>6963639.3231486995</v>
      </c>
      <c r="E23" s="22">
        <f>'WP 1.2 Forecast Sales - KWH'!E12*1000</f>
        <v>6821384.377889757</v>
      </c>
      <c r="F23" s="22">
        <f>'WP 1.2 Forecast Sales - KWH'!F12*1000</f>
        <v>6696433.9907789938</v>
      </c>
      <c r="G23" s="22">
        <f>'WP 1.2 Forecast Sales - KWH'!G12*1000</f>
        <v>6687434.930758276</v>
      </c>
      <c r="H23" s="22">
        <f>'WP 1.2 Forecast Sales - KWH'!H12*1000</f>
        <v>6721237.4505943088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</row>
    <row r="24" spans="1:15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</row>
    <row r="25" spans="1:15" ht="16.5" thickBot="1">
      <c r="A25" s="153">
        <f t="shared" si="0"/>
        <v>15</v>
      </c>
      <c r="B25" s="11" t="s">
        <v>127</v>
      </c>
      <c r="C25" s="345">
        <f>SUM(C11:C23)</f>
        <v>1518209224.62327</v>
      </c>
      <c r="D25" s="345">
        <f t="shared" ref="D25:H25" si="2">SUM(D11:D23)</f>
        <v>1382153213.6656423</v>
      </c>
      <c r="E25" s="345">
        <f t="shared" si="2"/>
        <v>1318965357.1083813</v>
      </c>
      <c r="F25" s="345">
        <f t="shared" si="2"/>
        <v>1247197123.8722589</v>
      </c>
      <c r="G25" s="345">
        <f t="shared" si="2"/>
        <v>1232783565.6221323</v>
      </c>
      <c r="H25" s="345">
        <f t="shared" si="2"/>
        <v>1295466715.3727996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</row>
    <row r="26" spans="1:15" ht="17.2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</row>
    <row r="27" spans="1:15" ht="15.75">
      <c r="A27" s="153">
        <f t="shared" si="0"/>
        <v>17</v>
      </c>
      <c r="B27" s="11"/>
      <c r="C27" s="16"/>
      <c r="D27" s="16"/>
      <c r="E27" s="16"/>
      <c r="F27" s="16"/>
      <c r="G27" s="16"/>
      <c r="H27" s="16"/>
      <c r="I27" s="16"/>
      <c r="J27" s="154">
        <f t="shared" si="1"/>
        <v>17</v>
      </c>
      <c r="K27" s="231"/>
      <c r="L27" s="231"/>
      <c r="M27" s="231"/>
      <c r="N27" s="231"/>
      <c r="O27" s="231"/>
    </row>
    <row r="28" spans="1:15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</row>
    <row r="29" spans="1:15" ht="15.75">
      <c r="A29" s="153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54">
        <f t="shared" si="1"/>
        <v>19</v>
      </c>
      <c r="K29" s="231"/>
      <c r="L29" s="231"/>
      <c r="M29" s="231"/>
      <c r="N29" s="231"/>
      <c r="O29" s="231"/>
    </row>
    <row r="30" spans="1:15" ht="15.75">
      <c r="A30" s="153">
        <f t="shared" si="0"/>
        <v>20</v>
      </c>
      <c r="B30" s="11" t="s">
        <v>149</v>
      </c>
      <c r="C30" s="65">
        <f>'Stmt BL - Retail'!C30</f>
        <v>-9.9299999999999996E-3</v>
      </c>
      <c r="D30" s="65">
        <f>$C$30</f>
        <v>-9.9299999999999996E-3</v>
      </c>
      <c r="E30" s="65">
        <f t="shared" ref="E30:H30" si="3">$C$30</f>
        <v>-9.9299999999999996E-3</v>
      </c>
      <c r="F30" s="65">
        <f t="shared" si="3"/>
        <v>-9.9299999999999996E-3</v>
      </c>
      <c r="G30" s="65">
        <f t="shared" si="3"/>
        <v>-9.9299999999999996E-3</v>
      </c>
      <c r="H30" s="65">
        <f t="shared" si="3"/>
        <v>-9.9299999999999996E-3</v>
      </c>
      <c r="I30" s="263" t="s">
        <v>150</v>
      </c>
      <c r="J30" s="154">
        <f t="shared" si="1"/>
        <v>20</v>
      </c>
      <c r="K30" s="231"/>
      <c r="L30" s="231"/>
      <c r="M30" s="231"/>
      <c r="N30" s="231"/>
      <c r="O30" s="231"/>
    </row>
    <row r="31" spans="1:15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160">
        <f t="shared" si="1"/>
        <v>21</v>
      </c>
      <c r="K31" s="231"/>
      <c r="L31" s="231"/>
      <c r="M31" s="231"/>
      <c r="N31" s="231"/>
      <c r="O31" s="231"/>
    </row>
    <row r="32" spans="1:15" ht="15.7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</row>
    <row r="33" spans="1:15" ht="32.85" customHeight="1" thickBot="1">
      <c r="A33" s="159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58"/>
      <c r="J33" s="160">
        <f t="shared" si="1"/>
        <v>23</v>
      </c>
      <c r="K33" s="231"/>
      <c r="L33" s="231"/>
      <c r="M33" s="231"/>
      <c r="N33" s="231"/>
      <c r="O33" s="231"/>
    </row>
    <row r="34" spans="1:15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</row>
    <row r="35" spans="1:15" ht="15.75">
      <c r="A35" s="153">
        <f t="shared" si="0"/>
        <v>25</v>
      </c>
      <c r="B35" s="11" t="s">
        <v>137</v>
      </c>
      <c r="C35" s="88">
        <f>C11*C$30</f>
        <v>-5619056.8723512217</v>
      </c>
      <c r="D35" s="88">
        <f t="shared" ref="D35:H35" si="4">D11*D$30</f>
        <v>-4716210.3324464895</v>
      </c>
      <c r="E35" s="88">
        <f t="shared" si="4"/>
        <v>-4128030.5093594147</v>
      </c>
      <c r="F35" s="88">
        <f t="shared" si="4"/>
        <v>-3373194.6913811448</v>
      </c>
      <c r="G35" s="88">
        <f t="shared" si="4"/>
        <v>-3099345.2652553855</v>
      </c>
      <c r="H35" s="88">
        <f t="shared" si="4"/>
        <v>-3335680.4435659233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</row>
    <row r="36" spans="1:15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</row>
    <row r="37" spans="1:15" ht="15.75">
      <c r="A37" s="153">
        <f t="shared" si="0"/>
        <v>27</v>
      </c>
      <c r="B37" s="11" t="s">
        <v>95</v>
      </c>
      <c r="C37" s="88">
        <f>C13*C$30</f>
        <v>-2000010.0847217201</v>
      </c>
      <c r="D37" s="88">
        <f t="shared" ref="D37:H37" si="5">D13*D$30</f>
        <v>-1925208.8807115783</v>
      </c>
      <c r="E37" s="88">
        <f t="shared" si="5"/>
        <v>-1885739.7554856094</v>
      </c>
      <c r="F37" s="88">
        <f t="shared" si="5"/>
        <v>-1867915.0304640457</v>
      </c>
      <c r="G37" s="88">
        <f t="shared" si="5"/>
        <v>-1865510.624769957</v>
      </c>
      <c r="H37" s="88">
        <f t="shared" si="5"/>
        <v>-1927813.2089550025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</row>
    <row r="38" spans="1:15" ht="15.75">
      <c r="A38" s="153">
        <f t="shared" si="0"/>
        <v>28</v>
      </c>
      <c r="B38" s="245"/>
      <c r="C38" s="346"/>
      <c r="D38" s="346"/>
      <c r="E38" s="346"/>
      <c r="F38" s="346"/>
      <c r="G38" s="346"/>
      <c r="H38" s="346"/>
      <c r="I38" s="244"/>
      <c r="J38" s="154">
        <f t="shared" si="1"/>
        <v>28</v>
      </c>
      <c r="K38" s="231"/>
      <c r="L38" s="231"/>
      <c r="M38" s="231"/>
      <c r="N38" s="231"/>
      <c r="O38" s="231"/>
    </row>
    <row r="39" spans="1:15" ht="15.75">
      <c r="A39" s="153">
        <f t="shared" si="0"/>
        <v>29</v>
      </c>
      <c r="B39" s="11" t="s">
        <v>140</v>
      </c>
      <c r="C39" s="88">
        <f>C15*C$30</f>
        <v>-7137661.4733178886</v>
      </c>
      <c r="D39" s="88">
        <f t="shared" ref="D39:H39" si="6">D15*D$30</f>
        <v>-6762223.8457796779</v>
      </c>
      <c r="E39" s="88">
        <f t="shared" si="6"/>
        <v>-6780638.1726937294</v>
      </c>
      <c r="F39" s="88">
        <f t="shared" si="6"/>
        <v>-6820257.9891480748</v>
      </c>
      <c r="G39" s="88">
        <f t="shared" si="6"/>
        <v>-6885865.2812607177</v>
      </c>
      <c r="H39" s="88">
        <f t="shared" si="6"/>
        <v>-7185522.2373573463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</row>
    <row r="40" spans="1:15" ht="15.75">
      <c r="A40" s="153">
        <f t="shared" si="0"/>
        <v>30</v>
      </c>
      <c r="B40" s="11"/>
      <c r="C40" s="88"/>
      <c r="D40" s="88"/>
      <c r="E40" s="88"/>
      <c r="F40" s="88"/>
      <c r="G40" s="88"/>
      <c r="H40" s="88"/>
      <c r="I40" s="244"/>
      <c r="J40" s="154">
        <f t="shared" si="1"/>
        <v>30</v>
      </c>
      <c r="K40" s="231"/>
      <c r="L40" s="231"/>
      <c r="M40" s="231"/>
      <c r="N40" s="231"/>
      <c r="O40" s="231"/>
    </row>
    <row r="41" spans="1:15" ht="15.75">
      <c r="A41" s="153">
        <f t="shared" si="0"/>
        <v>31</v>
      </c>
      <c r="B41" s="193" t="s">
        <v>101</v>
      </c>
      <c r="C41" s="88">
        <f>C17*C$30</f>
        <v>-2152.0295999999998</v>
      </c>
      <c r="D41" s="88">
        <f>D17*D$30</f>
        <v>-4504.1486999999997</v>
      </c>
      <c r="E41" s="88">
        <f t="shared" ref="E41:H41" si="7">E17*E$30</f>
        <v>-3499.2327</v>
      </c>
      <c r="F41" s="88">
        <f t="shared" si="7"/>
        <v>-10903.239299999999</v>
      </c>
      <c r="G41" s="88">
        <f t="shared" si="7"/>
        <v>-1941.9107999999999</v>
      </c>
      <c r="H41" s="88">
        <f t="shared" si="7"/>
        <v>0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</row>
    <row r="42" spans="1:15" ht="15.75">
      <c r="A42" s="153">
        <f t="shared" si="0"/>
        <v>32</v>
      </c>
      <c r="B42" s="193"/>
      <c r="C42" s="88"/>
      <c r="D42" s="88"/>
      <c r="E42" s="88"/>
      <c r="F42" s="88"/>
      <c r="G42" s="88"/>
      <c r="H42" s="88"/>
      <c r="I42" s="244"/>
      <c r="J42" s="154">
        <f t="shared" si="1"/>
        <v>32</v>
      </c>
      <c r="K42" s="231"/>
      <c r="L42" s="231"/>
      <c r="M42" s="231"/>
      <c r="N42" s="231"/>
      <c r="O42" s="231"/>
    </row>
    <row r="43" spans="1:15" ht="15.75">
      <c r="A43" s="153">
        <f t="shared" si="0"/>
        <v>33</v>
      </c>
      <c r="B43" s="193" t="s">
        <v>104</v>
      </c>
      <c r="C43" s="88">
        <f>C19*C$30</f>
        <v>-87095.018420812601</v>
      </c>
      <c r="D43" s="88">
        <f t="shared" ref="D43:H43" si="8">D19*D$30</f>
        <v>-85380.10410789492</v>
      </c>
      <c r="E43" s="88">
        <f t="shared" si="8"/>
        <v>-80646.098814741592</v>
      </c>
      <c r="F43" s="88">
        <f t="shared" si="8"/>
        <v>-89098.372786327251</v>
      </c>
      <c r="G43" s="88">
        <f t="shared" si="8"/>
        <v>-133999.33449917319</v>
      </c>
      <c r="H43" s="88">
        <f t="shared" si="8"/>
        <v>-151701.62370919783</v>
      </c>
      <c r="I43" s="244" t="s">
        <v>156</v>
      </c>
      <c r="J43" s="154">
        <f t="shared" si="1"/>
        <v>33</v>
      </c>
      <c r="K43" s="231"/>
      <c r="L43" s="231"/>
      <c r="M43" s="231"/>
      <c r="N43" s="231"/>
      <c r="O43" s="231"/>
    </row>
    <row r="44" spans="1:15" ht="15.75">
      <c r="A44" s="153">
        <f t="shared" si="0"/>
        <v>34</v>
      </c>
      <c r="B44" s="193"/>
      <c r="C44" s="88"/>
      <c r="D44" s="88"/>
      <c r="E44" s="88"/>
      <c r="F44" s="88"/>
      <c r="G44" s="88"/>
      <c r="H44" s="88"/>
      <c r="I44" s="244"/>
      <c r="J44" s="154">
        <f t="shared" si="1"/>
        <v>34</v>
      </c>
      <c r="K44" s="231"/>
      <c r="L44" s="231"/>
      <c r="M44" s="231"/>
      <c r="N44" s="231"/>
      <c r="O44" s="231"/>
    </row>
    <row r="45" spans="1:15" ht="15.75">
      <c r="A45" s="153">
        <f t="shared" si="0"/>
        <v>35</v>
      </c>
      <c r="B45" s="193" t="s">
        <v>107</v>
      </c>
      <c r="C45" s="88">
        <f>C21*C$30</f>
        <v>-159835.2112668269</v>
      </c>
      <c r="D45" s="88">
        <f t="shared" ref="D45:H45" si="9">D21*D$30</f>
        <v>-162105.1614753218</v>
      </c>
      <c r="E45" s="88">
        <f t="shared" si="9"/>
        <v>-151035.88016028251</v>
      </c>
      <c r="F45" s="88">
        <f t="shared" si="9"/>
        <v>-156802.52744350475</v>
      </c>
      <c r="G45" s="88">
        <f t="shared" si="9"/>
        <v>-188472.16118011062</v>
      </c>
      <c r="H45" s="88">
        <f t="shared" si="9"/>
        <v>-196525.08218002689</v>
      </c>
      <c r="I45" s="244" t="s">
        <v>157</v>
      </c>
      <c r="J45" s="154">
        <f t="shared" si="1"/>
        <v>35</v>
      </c>
      <c r="K45" s="231"/>
      <c r="L45" s="231"/>
      <c r="M45" s="231"/>
      <c r="N45" s="231"/>
      <c r="O45" s="231"/>
    </row>
    <row r="46" spans="1:15" ht="15.75">
      <c r="A46" s="153">
        <f t="shared" si="0"/>
        <v>36</v>
      </c>
      <c r="B46" s="11"/>
      <c r="C46" s="88"/>
      <c r="D46" s="88"/>
      <c r="E46" s="88"/>
      <c r="F46" s="88"/>
      <c r="G46" s="88"/>
      <c r="H46" s="88"/>
      <c r="I46" s="244"/>
      <c r="J46" s="154">
        <f t="shared" si="1"/>
        <v>36</v>
      </c>
    </row>
    <row r="47" spans="1:15" ht="15.75">
      <c r="A47" s="153">
        <f t="shared" si="0"/>
        <v>37</v>
      </c>
      <c r="B47" s="11" t="s">
        <v>145</v>
      </c>
      <c r="C47" s="89">
        <f>C23*C$30</f>
        <v>-70006.910830601235</v>
      </c>
      <c r="D47" s="89">
        <f t="shared" ref="D47:H47" si="10">D23*D$30</f>
        <v>-69148.938478866577</v>
      </c>
      <c r="E47" s="89">
        <f t="shared" si="10"/>
        <v>-67736.346872445283</v>
      </c>
      <c r="F47" s="89">
        <f t="shared" si="10"/>
        <v>-66495.589528435405</v>
      </c>
      <c r="G47" s="89">
        <f t="shared" si="10"/>
        <v>-66406.228862429678</v>
      </c>
      <c r="H47" s="89">
        <f t="shared" si="10"/>
        <v>-66741.887884401483</v>
      </c>
      <c r="I47" s="244" t="s">
        <v>158</v>
      </c>
      <c r="J47" s="154">
        <f t="shared" si="1"/>
        <v>37</v>
      </c>
    </row>
    <row r="48" spans="1:15" ht="15.75">
      <c r="A48" s="153">
        <f t="shared" si="0"/>
        <v>38</v>
      </c>
      <c r="B48" s="11"/>
      <c r="C48" s="88"/>
      <c r="D48" s="88"/>
      <c r="E48" s="88"/>
      <c r="F48" s="88"/>
      <c r="G48" s="88"/>
      <c r="H48" s="88"/>
      <c r="I48" s="244"/>
      <c r="J48" s="154">
        <f t="shared" si="1"/>
        <v>38</v>
      </c>
    </row>
    <row r="49" spans="1:10" ht="16.5" thickBot="1">
      <c r="A49" s="153">
        <f t="shared" si="0"/>
        <v>39</v>
      </c>
      <c r="B49" s="11" t="s">
        <v>127</v>
      </c>
      <c r="C49" s="648">
        <f t="shared" ref="C49:H49" si="11">SUM(C35:C47)</f>
        <v>-15075817.600509072</v>
      </c>
      <c r="D49" s="648">
        <f t="shared" si="11"/>
        <v>-13724781.411699828</v>
      </c>
      <c r="E49" s="648">
        <f t="shared" si="11"/>
        <v>-13097325.996086223</v>
      </c>
      <c r="F49" s="648">
        <f t="shared" si="11"/>
        <v>-12384667.440051531</v>
      </c>
      <c r="G49" s="648">
        <f t="shared" si="11"/>
        <v>-12241540.806627775</v>
      </c>
      <c r="H49" s="648">
        <f t="shared" si="11"/>
        <v>-12863984.483651899</v>
      </c>
      <c r="I49" s="265" t="s">
        <v>159</v>
      </c>
      <c r="J49" s="154">
        <f t="shared" si="1"/>
        <v>39</v>
      </c>
    </row>
    <row r="50" spans="1:10" ht="17.2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30"/>
    </row>
    <row r="51" spans="1:10" ht="15.7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75">
      <c r="A52" s="35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75">
      <c r="A53" s="250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75">
      <c r="A54" s="250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75">
      <c r="A55" s="31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7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7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7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7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7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7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7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7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7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7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7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7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7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7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7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7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7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7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7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7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7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7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7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7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7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7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7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3 of 4&amp;R&amp;"Times New Roman,Regular"&amp;12&amp;A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71"/>
  <sheetViews>
    <sheetView zoomScaleNormal="100" workbookViewId="0">
      <selection activeCell="B30" sqref="B30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17.42578125" bestFit="1" customWidth="1"/>
    <col min="10" max="10" width="40.5703125" customWidth="1"/>
    <col min="11" max="11" width="5.5703125" customWidth="1"/>
  </cols>
  <sheetData>
    <row r="2" spans="1:11" ht="15.7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75">
      <c r="A5" s="306" t="str">
        <f>'Stmt BG - Page 1'!A6</f>
        <v>Rate Effective Period - Twelve Months Ending December 31, 2026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75">
      <c r="A7" s="41"/>
      <c r="B7" s="41"/>
      <c r="C7" s="501" t="s">
        <v>160</v>
      </c>
      <c r="D7" s="501" t="s">
        <v>161</v>
      </c>
      <c r="E7" s="501" t="s">
        <v>162</v>
      </c>
      <c r="F7" s="501" t="s">
        <v>163</v>
      </c>
      <c r="G7" s="501" t="s">
        <v>164</v>
      </c>
      <c r="H7" s="501" t="s">
        <v>165</v>
      </c>
      <c r="I7" s="501" t="s">
        <v>166</v>
      </c>
      <c r="J7" s="501" t="s">
        <v>167</v>
      </c>
      <c r="K7" s="41"/>
    </row>
    <row r="8" spans="1:11" ht="15.75">
      <c r="A8" s="41" t="s">
        <v>8</v>
      </c>
      <c r="B8" s="41"/>
      <c r="C8" s="499">
        <f>'Stmt BG - Page 2'!C28</f>
        <v>46204</v>
      </c>
      <c r="D8" s="499">
        <f>'Stmt BG - Page 2'!D28</f>
        <v>46235</v>
      </c>
      <c r="E8" s="499">
        <f>'Stmt BG - Page 2'!E28</f>
        <v>46266</v>
      </c>
      <c r="F8" s="499">
        <f>'Stmt BG - Page 2'!F28</f>
        <v>46296</v>
      </c>
      <c r="G8" s="499">
        <f>'Stmt BG - Page 2'!G28</f>
        <v>46327</v>
      </c>
      <c r="H8" s="499">
        <f>'Stmt BG - Page 2'!H28</f>
        <v>46357</v>
      </c>
      <c r="I8" s="502" t="s">
        <v>18</v>
      </c>
      <c r="J8" s="499"/>
      <c r="K8" s="41" t="s">
        <v>8</v>
      </c>
    </row>
    <row r="9" spans="1:11" ht="16.5" thickBot="1">
      <c r="A9" s="473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3" t="s">
        <v>11</v>
      </c>
    </row>
    <row r="10" spans="1:11" ht="15.75">
      <c r="A10" s="10"/>
      <c r="B10" s="10"/>
      <c r="C10" s="337"/>
      <c r="D10" s="10"/>
      <c r="E10" s="10"/>
      <c r="F10" s="10"/>
      <c r="G10" s="10"/>
      <c r="H10" s="10"/>
      <c r="I10" s="10"/>
      <c r="J10" s="10"/>
      <c r="K10" s="10"/>
    </row>
    <row r="11" spans="1:11" ht="15.75">
      <c r="A11" s="10">
        <v>1</v>
      </c>
      <c r="B11" s="11" t="s">
        <v>137</v>
      </c>
      <c r="C11" s="21">
        <f>'WP 1.2 Forecast Sales - KWH'!I6*1000</f>
        <v>439256672.77409267</v>
      </c>
      <c r="D11" s="21">
        <f>'WP 1.2 Forecast Sales - KWH'!J6*1000</f>
        <v>587388490.04375732</v>
      </c>
      <c r="E11" s="21">
        <f>'WP 1.2 Forecast Sales - KWH'!K6*1000</f>
        <v>663180160.79624331</v>
      </c>
      <c r="F11" s="21">
        <f>'WP 1.2 Forecast Sales - KWH'!L6*1000</f>
        <v>486365563.56523019</v>
      </c>
      <c r="G11" s="21">
        <f>'WP 1.2 Forecast Sales - KWH'!M6*1000</f>
        <v>418337107.24210709</v>
      </c>
      <c r="H11" s="21">
        <f>'WP 1.2 Forecast Sales - KWH'!N6*1000</f>
        <v>490455119.67941707</v>
      </c>
      <c r="I11" s="21">
        <f>SUM(C11:H11)+SUM('Stmt BG - Page 3'!C11:H11)</f>
        <v>5529244757.0373611</v>
      </c>
      <c r="J11" s="263" t="s">
        <v>138</v>
      </c>
      <c r="K11" s="10">
        <v>1</v>
      </c>
    </row>
    <row r="12" spans="1:11" ht="15.75">
      <c r="A12" s="10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0">
        <f>K11+1</f>
        <v>2</v>
      </c>
    </row>
    <row r="13" spans="1:11" ht="15.75">
      <c r="A13" s="10">
        <f t="shared" ref="A13:A49" si="0">A12+1</f>
        <v>3</v>
      </c>
      <c r="B13" s="11" t="s">
        <v>95</v>
      </c>
      <c r="C13" s="21">
        <f>'WP 1.2 Forecast Sales - KWH'!I7*1000</f>
        <v>217323569.30803531</v>
      </c>
      <c r="D13" s="21">
        <f>'WP 1.2 Forecast Sales - KWH'!J7*1000</f>
        <v>229243879.39853665</v>
      </c>
      <c r="E13" s="21">
        <f>'WP 1.2 Forecast Sales - KWH'!K7*1000</f>
        <v>239317965.71833527</v>
      </c>
      <c r="F13" s="21">
        <f>'WP 1.2 Forecast Sales - KWH'!L7*1000</f>
        <v>211348576.79099375</v>
      </c>
      <c r="G13" s="21">
        <f>'WP 1.2 Forecast Sales - KWH'!M7*1000</f>
        <v>195315561.0568178</v>
      </c>
      <c r="H13" s="21">
        <f>'WP 1.2 Forecast Sales - KWH'!N7*1000</f>
        <v>194243997.91473109</v>
      </c>
      <c r="I13" s="21">
        <f>SUM(C13:H13)+SUM('Stmt BG - Page 3'!C13:H13)</f>
        <v>2442100457.0462523</v>
      </c>
      <c r="J13" s="263" t="s">
        <v>139</v>
      </c>
      <c r="K13" s="10">
        <f t="shared" ref="K13:K49" si="1">K12+1</f>
        <v>3</v>
      </c>
    </row>
    <row r="14" spans="1:11" ht="15.75">
      <c r="A14" s="10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0">
        <f t="shared" si="1"/>
        <v>4</v>
      </c>
    </row>
    <row r="15" spans="1:11" ht="15.75">
      <c r="A15" s="10">
        <f t="shared" si="0"/>
        <v>5</v>
      </c>
      <c r="B15" s="11" t="s">
        <v>140</v>
      </c>
      <c r="C15" s="21">
        <f>'WP 1.2 Forecast Sales - KWH'!I8*1000</f>
        <v>806489656.84811842</v>
      </c>
      <c r="D15" s="21">
        <f>'WP 1.2 Forecast Sales - KWH'!J8*1000</f>
        <v>833968518.35937226</v>
      </c>
      <c r="E15" s="21">
        <f>'WP 1.2 Forecast Sales - KWH'!K8*1000</f>
        <v>867016873.16453326</v>
      </c>
      <c r="F15" s="21">
        <f>'WP 1.2 Forecast Sales - KWH'!L8*1000</f>
        <v>796536574.47793376</v>
      </c>
      <c r="G15" s="21">
        <f>'WP 1.2 Forecast Sales - KWH'!M8*1000</f>
        <v>728103253.38593173</v>
      </c>
      <c r="H15" s="21">
        <f>'WP 1.2 Forecast Sales - KWH'!N8*1000</f>
        <v>763709820.81237149</v>
      </c>
      <c r="I15" s="21">
        <f>SUM(C15:H15)+SUM('Stmt BG - Page 3'!C15:H15)</f>
        <v>8982347254.9090309</v>
      </c>
      <c r="J15" s="263" t="s">
        <v>141</v>
      </c>
      <c r="K15" s="10">
        <f t="shared" si="1"/>
        <v>5</v>
      </c>
    </row>
    <row r="16" spans="1:11" ht="15.75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0">
        <f t="shared" si="1"/>
        <v>6</v>
      </c>
    </row>
    <row r="17" spans="1:11" ht="15.75">
      <c r="A17" s="10">
        <f t="shared" si="0"/>
        <v>7</v>
      </c>
      <c r="B17" s="193" t="s">
        <v>101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102320</v>
      </c>
      <c r="F17" s="21">
        <f>'WP 1.2 Forecast Sales - KWH'!L9*1000</f>
        <v>747300</v>
      </c>
      <c r="G17" s="21">
        <f>'WP 1.2 Forecast Sales - KWH'!M9*1000</f>
        <v>703620</v>
      </c>
      <c r="H17" s="21">
        <f>'WP 1.2 Forecast Sales - KWH'!N9*1000</f>
        <v>339300</v>
      </c>
      <c r="I17" s="21">
        <f>SUM(C17:H17)+SUM('Stmt BG - Page 3'!C17:H17)</f>
        <v>4208810</v>
      </c>
      <c r="J17" s="263" t="s">
        <v>142</v>
      </c>
      <c r="K17" s="10">
        <f t="shared" si="1"/>
        <v>7</v>
      </c>
    </row>
    <row r="18" spans="1:11" ht="15.75">
      <c r="A18" s="10">
        <f t="shared" si="0"/>
        <v>8</v>
      </c>
      <c r="B18" s="193"/>
      <c r="C18" s="21"/>
      <c r="D18" s="21"/>
      <c r="E18" s="21"/>
      <c r="F18" s="21"/>
      <c r="G18" s="21"/>
      <c r="H18" s="21"/>
      <c r="I18" s="21"/>
      <c r="J18" s="259"/>
      <c r="K18" s="10">
        <f t="shared" si="1"/>
        <v>8</v>
      </c>
    </row>
    <row r="19" spans="1:11" ht="15.75">
      <c r="A19" s="10">
        <f t="shared" si="0"/>
        <v>9</v>
      </c>
      <c r="B19" s="193" t="s">
        <v>104</v>
      </c>
      <c r="C19" s="21">
        <f>'WP 1.2 Forecast Sales - KWH'!I10*1000</f>
        <v>17674212.425930995</v>
      </c>
      <c r="D19" s="21">
        <f>'WP 1.2 Forecast Sales - KWH'!J10*1000</f>
        <v>19350930.552889984</v>
      </c>
      <c r="E19" s="21">
        <f>'WP 1.2 Forecast Sales - KWH'!K10*1000</f>
        <v>18944800.132352281</v>
      </c>
      <c r="F19" s="21">
        <f>'WP 1.2 Forecast Sales - KWH'!L10*1000</f>
        <v>17483777.143699218</v>
      </c>
      <c r="G19" s="21">
        <f>'WP 1.2 Forecast Sales - KWH'!M10*1000</f>
        <v>14421116.292368243</v>
      </c>
      <c r="H19" s="21">
        <f>'WP 1.2 Forecast Sales - KWH'!N10*1000</f>
        <v>13285180.217291201</v>
      </c>
      <c r="I19" s="21">
        <f>SUM(C19:H19)+SUM('Stmt BG - Page 3'!C19:H19)</f>
        <v>164394714.88519129</v>
      </c>
      <c r="J19" s="263" t="s">
        <v>143</v>
      </c>
      <c r="K19" s="10">
        <f t="shared" si="1"/>
        <v>9</v>
      </c>
    </row>
    <row r="20" spans="1:11" ht="15.75">
      <c r="A20" s="10">
        <f t="shared" si="0"/>
        <v>10</v>
      </c>
      <c r="B20" s="193"/>
      <c r="C20" s="21"/>
      <c r="D20" s="21"/>
      <c r="E20" s="21"/>
      <c r="F20" s="21"/>
      <c r="G20" s="21"/>
      <c r="H20" s="21"/>
      <c r="I20" s="21"/>
      <c r="J20" s="259"/>
      <c r="K20" s="10">
        <f t="shared" si="1"/>
        <v>10</v>
      </c>
    </row>
    <row r="21" spans="1:11" ht="15.75">
      <c r="A21" s="10">
        <f t="shared" si="0"/>
        <v>11</v>
      </c>
      <c r="B21" s="193" t="s">
        <v>107</v>
      </c>
      <c r="C21" s="21">
        <f>'WP 1.2 Forecast Sales - KWH'!I11*1000</f>
        <v>21824505.864378165</v>
      </c>
      <c r="D21" s="21">
        <f>'WP 1.2 Forecast Sales - KWH'!J11*1000</f>
        <v>21947825.423344754</v>
      </c>
      <c r="E21" s="21">
        <f>'WP 1.2 Forecast Sales - KWH'!K11*1000</f>
        <v>21857831.109899174</v>
      </c>
      <c r="F21" s="21">
        <f>'WP 1.2 Forecast Sales - KWH'!L11*1000</f>
        <v>21118824.263870798</v>
      </c>
      <c r="G21" s="21">
        <f>'WP 1.2 Forecast Sales - KWH'!M11*1000</f>
        <v>19755426.797113776</v>
      </c>
      <c r="H21" s="21">
        <f>'WP 1.2 Forecast Sales - KWH'!N11*1000</f>
        <v>18182715.474677801</v>
      </c>
      <c r="I21" s="21">
        <f>SUM(C21:H21)+SUM('Stmt BG - Page 3'!C21:H21)</f>
        <v>226880081.9751851</v>
      </c>
      <c r="J21" s="263" t="s">
        <v>144</v>
      </c>
      <c r="K21" s="10">
        <f t="shared" si="1"/>
        <v>11</v>
      </c>
    </row>
    <row r="22" spans="1:11" ht="15.75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59"/>
      <c r="K22" s="10">
        <f t="shared" si="1"/>
        <v>12</v>
      </c>
    </row>
    <row r="23" spans="1:11" ht="15.75">
      <c r="A23" s="10">
        <f t="shared" si="0"/>
        <v>13</v>
      </c>
      <c r="B23" s="11" t="s">
        <v>145</v>
      </c>
      <c r="C23" s="22">
        <f>'WP 1.2 Forecast Sales - KWH'!I12*1000</f>
        <v>6678722.3135911068</v>
      </c>
      <c r="D23" s="22">
        <f>'WP 1.2 Forecast Sales - KWH'!J12*1000</f>
        <v>6838779.9659992624</v>
      </c>
      <c r="E23" s="22">
        <f>'WP 1.2 Forecast Sales - KWH'!K12*1000</f>
        <v>6753591.5071859909</v>
      </c>
      <c r="F23" s="22">
        <f>'WP 1.2 Forecast Sales - KWH'!L12*1000</f>
        <v>6782648.6053437786</v>
      </c>
      <c r="G23" s="22">
        <f>'WP 1.2 Forecast Sales - KWH'!M12*1000</f>
        <v>7119936.6196114337</v>
      </c>
      <c r="H23" s="22">
        <f>'WP 1.2 Forecast Sales - KWH'!N12*1000</f>
        <v>7138909.4377961857</v>
      </c>
      <c r="I23" s="22">
        <f>SUM(C23:H23)+SUM('Stmt BG - Page 3'!C23:H23)</f>
        <v>82252759.895366594</v>
      </c>
      <c r="J23" s="263" t="s">
        <v>146</v>
      </c>
      <c r="K23" s="10">
        <f t="shared" si="1"/>
        <v>13</v>
      </c>
    </row>
    <row r="24" spans="1:11" ht="15.75">
      <c r="A24" s="10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19"/>
      <c r="K24" s="10">
        <f t="shared" si="1"/>
        <v>14</v>
      </c>
    </row>
    <row r="25" spans="1:11" ht="16.5" thickBot="1">
      <c r="A25" s="10">
        <f t="shared" si="0"/>
        <v>15</v>
      </c>
      <c r="B25" s="11" t="s">
        <v>127</v>
      </c>
      <c r="C25" s="345">
        <f t="shared" ref="C25:I25" si="2">SUM(C11:C23)</f>
        <v>1509247339.5341465</v>
      </c>
      <c r="D25" s="345">
        <f t="shared" si="2"/>
        <v>1698738423.7439005</v>
      </c>
      <c r="E25" s="345">
        <f t="shared" si="2"/>
        <v>1817173542.4285495</v>
      </c>
      <c r="F25" s="345">
        <f t="shared" si="2"/>
        <v>1540383264.8470714</v>
      </c>
      <c r="G25" s="345">
        <f t="shared" si="2"/>
        <v>1383756021.3939502</v>
      </c>
      <c r="H25" s="345">
        <f t="shared" si="2"/>
        <v>1487355043.5362847</v>
      </c>
      <c r="I25" s="345">
        <f t="shared" si="2"/>
        <v>17431428835.748386</v>
      </c>
      <c r="J25" s="119" t="s">
        <v>147</v>
      </c>
      <c r="K25" s="10">
        <f t="shared" si="1"/>
        <v>15</v>
      </c>
    </row>
    <row r="26" spans="1:11" ht="17.25" thickTop="1" thickBot="1">
      <c r="A26" s="258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258">
        <f t="shared" si="1"/>
        <v>16</v>
      </c>
    </row>
    <row r="27" spans="1:11" ht="15.75">
      <c r="A27" s="10">
        <f t="shared" si="0"/>
        <v>17</v>
      </c>
      <c r="B27" s="308"/>
      <c r="C27" s="266"/>
      <c r="D27" s="266"/>
      <c r="E27" s="266"/>
      <c r="F27" s="266"/>
      <c r="G27" s="266"/>
      <c r="H27" s="266"/>
      <c r="I27" s="266"/>
      <c r="J27" s="266"/>
      <c r="K27" s="10">
        <f t="shared" si="1"/>
        <v>17</v>
      </c>
    </row>
    <row r="28" spans="1:11" ht="16.5" thickBot="1">
      <c r="A28" s="258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258">
        <f t="shared" si="1"/>
        <v>18</v>
      </c>
    </row>
    <row r="29" spans="1:11" ht="15.75">
      <c r="A29" s="10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0"/>
      <c r="K29" s="10">
        <f t="shared" si="1"/>
        <v>19</v>
      </c>
    </row>
    <row r="30" spans="1:11" ht="15.75">
      <c r="A30" s="10">
        <f t="shared" si="0"/>
        <v>20</v>
      </c>
      <c r="B30" s="11" t="s">
        <v>149</v>
      </c>
      <c r="C30" s="65">
        <f>'Stmt BG - Page 3'!C30</f>
        <v>-9.9299999999999996E-3</v>
      </c>
      <c r="D30" s="65">
        <f>$C$30</f>
        <v>-9.9299999999999996E-3</v>
      </c>
      <c r="E30" s="65">
        <f t="shared" ref="E30:H30" si="3">$C$30</f>
        <v>-9.9299999999999996E-3</v>
      </c>
      <c r="F30" s="65">
        <f t="shared" si="3"/>
        <v>-9.9299999999999996E-3</v>
      </c>
      <c r="G30" s="65">
        <f t="shared" si="3"/>
        <v>-9.9299999999999996E-3</v>
      </c>
      <c r="H30" s="65">
        <f t="shared" si="3"/>
        <v>-9.9299999999999996E-3</v>
      </c>
      <c r="I30" s="21"/>
      <c r="J30" s="263" t="str">
        <f>'Stmt BG - Page 3'!I30</f>
        <v>Statement BL-Retail; Page 1; Line 21</v>
      </c>
      <c r="K30" s="10">
        <f t="shared" si="1"/>
        <v>20</v>
      </c>
    </row>
    <row r="31" spans="1:11" ht="16.5" thickBot="1">
      <c r="A31" s="258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2"/>
      <c r="K31" s="258">
        <f t="shared" si="1"/>
        <v>21</v>
      </c>
    </row>
    <row r="32" spans="1:11" ht="15.75">
      <c r="A32" s="10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6"/>
      <c r="K32" s="10">
        <f t="shared" si="1"/>
        <v>22</v>
      </c>
    </row>
    <row r="33" spans="1:11" ht="33.6" customHeight="1" thickBot="1">
      <c r="A33" s="258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64" t="s">
        <v>151</v>
      </c>
      <c r="J33" s="258"/>
      <c r="K33" s="258">
        <f t="shared" si="1"/>
        <v>23</v>
      </c>
    </row>
    <row r="34" spans="1:11" ht="15.75">
      <c r="A34" s="10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0">
        <f t="shared" si="1"/>
        <v>24</v>
      </c>
    </row>
    <row r="35" spans="1:11" ht="15.75">
      <c r="A35" s="10">
        <f t="shared" si="0"/>
        <v>25</v>
      </c>
      <c r="B35" s="11" t="s">
        <v>137</v>
      </c>
      <c r="C35" s="88">
        <f>C11*C$30</f>
        <v>-4361818.76064674</v>
      </c>
      <c r="D35" s="88">
        <f t="shared" ref="D35:H35" si="4">D11*D$30</f>
        <v>-5832767.7061345102</v>
      </c>
      <c r="E35" s="88">
        <f t="shared" si="4"/>
        <v>-6585378.9967066962</v>
      </c>
      <c r="F35" s="88">
        <f t="shared" si="4"/>
        <v>-4829610.046202736</v>
      </c>
      <c r="G35" s="88">
        <f t="shared" si="4"/>
        <v>-4154087.4749141233</v>
      </c>
      <c r="H35" s="88">
        <f t="shared" si="4"/>
        <v>-4870219.3384166118</v>
      </c>
      <c r="I35" s="88">
        <f>SUM('Stmt BG - Page 3'!C35:H35)+SUM('Stmt BG - Page 4'!C35:H35)</f>
        <v>-54905400.437380992</v>
      </c>
      <c r="J35" s="244" t="s">
        <v>152</v>
      </c>
      <c r="K35" s="10">
        <f t="shared" si="1"/>
        <v>25</v>
      </c>
    </row>
    <row r="36" spans="1:11" ht="15.75">
      <c r="A36" s="10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0">
        <f t="shared" si="1"/>
        <v>26</v>
      </c>
    </row>
    <row r="37" spans="1:11" ht="15.75">
      <c r="A37" s="10">
        <f t="shared" si="0"/>
        <v>27</v>
      </c>
      <c r="B37" s="11" t="s">
        <v>95</v>
      </c>
      <c r="C37" s="88">
        <f>C13*C$30</f>
        <v>-2158023.0432287906</v>
      </c>
      <c r="D37" s="88">
        <f t="shared" ref="D37:H37" si="5">D13*D$30</f>
        <v>-2276391.7224274687</v>
      </c>
      <c r="E37" s="88">
        <f t="shared" si="5"/>
        <v>-2376427.3995830691</v>
      </c>
      <c r="F37" s="88">
        <f t="shared" si="5"/>
        <v>-2098691.3675345681</v>
      </c>
      <c r="G37" s="88">
        <f t="shared" si="5"/>
        <v>-1939483.5212942006</v>
      </c>
      <c r="H37" s="88">
        <f t="shared" si="5"/>
        <v>-1928842.8992932795</v>
      </c>
      <c r="I37" s="88">
        <f>SUM('Stmt BG - Page 3'!C37:H37)+SUM('Stmt BG - Page 4'!C37:H37)</f>
        <v>-24250057.538469292</v>
      </c>
      <c r="J37" s="244" t="s">
        <v>153</v>
      </c>
      <c r="K37" s="10">
        <f t="shared" si="1"/>
        <v>27</v>
      </c>
    </row>
    <row r="38" spans="1:11" ht="15.75">
      <c r="A38" s="10">
        <f t="shared" si="0"/>
        <v>28</v>
      </c>
      <c r="B38" s="245"/>
      <c r="C38" s="346"/>
      <c r="D38" s="346"/>
      <c r="E38" s="346"/>
      <c r="F38" s="346"/>
      <c r="G38" s="346"/>
      <c r="H38" s="346"/>
      <c r="I38" s="88"/>
      <c r="J38" s="244"/>
      <c r="K38" s="10">
        <f t="shared" si="1"/>
        <v>28</v>
      </c>
    </row>
    <row r="39" spans="1:11" ht="15.75">
      <c r="A39" s="10">
        <f t="shared" si="0"/>
        <v>29</v>
      </c>
      <c r="B39" s="11" t="s">
        <v>140</v>
      </c>
      <c r="C39" s="88">
        <f>C15*C$30</f>
        <v>-8008442.2925018156</v>
      </c>
      <c r="D39" s="88">
        <f t="shared" ref="D39:H41" si="6">D15*D$30</f>
        <v>-8281307.3873085659</v>
      </c>
      <c r="E39" s="88">
        <f t="shared" si="6"/>
        <v>-8609477.5505238157</v>
      </c>
      <c r="F39" s="88">
        <f t="shared" si="6"/>
        <v>-7909608.1845658822</v>
      </c>
      <c r="G39" s="88">
        <f t="shared" si="6"/>
        <v>-7230065.3061223021</v>
      </c>
      <c r="H39" s="88">
        <f t="shared" si="6"/>
        <v>-7583638.5206668489</v>
      </c>
      <c r="I39" s="88">
        <f>SUM('Stmt BG - Page 3'!C39:H39)+SUM('Stmt BG - Page 4'!C39:H39)</f>
        <v>-89194708.24124667</v>
      </c>
      <c r="J39" s="244" t="s">
        <v>154</v>
      </c>
      <c r="K39" s="10">
        <f t="shared" si="1"/>
        <v>29</v>
      </c>
    </row>
    <row r="40" spans="1:11" ht="15.75">
      <c r="A40" s="10">
        <f t="shared" si="0"/>
        <v>30</v>
      </c>
      <c r="B40" s="11"/>
      <c r="C40" s="88"/>
      <c r="D40" s="88"/>
      <c r="E40" s="88"/>
      <c r="F40" s="88"/>
      <c r="G40" s="88"/>
      <c r="H40" s="88"/>
      <c r="I40" s="88"/>
      <c r="J40" s="244"/>
      <c r="K40" s="10">
        <f t="shared" si="1"/>
        <v>30</v>
      </c>
    </row>
    <row r="41" spans="1:11" ht="15.75">
      <c r="A41" s="10">
        <f t="shared" si="0"/>
        <v>31</v>
      </c>
      <c r="B41" s="193" t="s">
        <v>101</v>
      </c>
      <c r="C41" s="88">
        <f>C17*C$30</f>
        <v>0</v>
      </c>
      <c r="D41" s="88">
        <f t="shared" si="6"/>
        <v>0</v>
      </c>
      <c r="E41" s="88">
        <f t="shared" si="6"/>
        <v>-1016.0376</v>
      </c>
      <c r="F41" s="88">
        <f t="shared" si="6"/>
        <v>-7420.6889999999994</v>
      </c>
      <c r="G41" s="88">
        <f t="shared" si="6"/>
        <v>-6986.9465999999993</v>
      </c>
      <c r="H41" s="88">
        <f t="shared" si="6"/>
        <v>-3369.2489999999998</v>
      </c>
      <c r="I41" s="88">
        <f>SUM('Stmt BG - Page 3'!C41:H41)+SUM('Stmt BG - Page 4'!C41:H41)</f>
        <v>-41793.483300000007</v>
      </c>
      <c r="J41" s="244" t="s">
        <v>155</v>
      </c>
      <c r="K41" s="10">
        <f t="shared" si="1"/>
        <v>31</v>
      </c>
    </row>
    <row r="42" spans="1:11" ht="15.75">
      <c r="A42" s="10">
        <f t="shared" si="0"/>
        <v>32</v>
      </c>
      <c r="B42" s="193"/>
      <c r="C42" s="88"/>
      <c r="D42" s="88"/>
      <c r="E42" s="88"/>
      <c r="F42" s="88"/>
      <c r="G42" s="88"/>
      <c r="H42" s="88"/>
      <c r="I42" s="88"/>
      <c r="J42" s="244"/>
      <c r="K42" s="10">
        <f t="shared" si="1"/>
        <v>32</v>
      </c>
    </row>
    <row r="43" spans="1:11" ht="15.75">
      <c r="A43" s="10">
        <f t="shared" si="0"/>
        <v>33</v>
      </c>
      <c r="B43" s="193" t="s">
        <v>104</v>
      </c>
      <c r="C43" s="88">
        <f>C19*C$30</f>
        <v>-175504.92938949479</v>
      </c>
      <c r="D43" s="88">
        <f t="shared" ref="D43:H43" si="7">D19*D$30</f>
        <v>-192154.74039019755</v>
      </c>
      <c r="E43" s="88">
        <f t="shared" si="7"/>
        <v>-188121.86531425815</v>
      </c>
      <c r="F43" s="88">
        <f t="shared" si="7"/>
        <v>-173613.90703693323</v>
      </c>
      <c r="G43" s="88">
        <f t="shared" si="7"/>
        <v>-143201.68478321665</v>
      </c>
      <c r="H43" s="88">
        <f t="shared" si="7"/>
        <v>-131921.83955770161</v>
      </c>
      <c r="I43" s="88">
        <f>SUM('Stmt BG - Page 3'!C43:H43)+SUM('Stmt BG - Page 4'!C43:H43)</f>
        <v>-1632439.5188099495</v>
      </c>
      <c r="J43" s="244" t="s">
        <v>156</v>
      </c>
      <c r="K43" s="10">
        <f t="shared" si="1"/>
        <v>33</v>
      </c>
    </row>
    <row r="44" spans="1:11" ht="15.75">
      <c r="A44" s="10">
        <f t="shared" si="0"/>
        <v>34</v>
      </c>
      <c r="B44" s="193"/>
      <c r="C44" s="88"/>
      <c r="D44" s="88"/>
      <c r="E44" s="88"/>
      <c r="F44" s="88"/>
      <c r="G44" s="88"/>
      <c r="H44" s="88"/>
      <c r="I44" s="88"/>
      <c r="J44" s="244"/>
      <c r="K44" s="10">
        <f t="shared" si="1"/>
        <v>34</v>
      </c>
    </row>
    <row r="45" spans="1:11" ht="15.75">
      <c r="A45" s="10">
        <f t="shared" si="0"/>
        <v>35</v>
      </c>
      <c r="B45" s="193" t="s">
        <v>107</v>
      </c>
      <c r="C45" s="88">
        <f>C21*C$30</f>
        <v>-216717.34323327517</v>
      </c>
      <c r="D45" s="88">
        <f t="shared" ref="D45:H45" si="8">D21*D$30</f>
        <v>-217941.9064538134</v>
      </c>
      <c r="E45" s="88">
        <f t="shared" si="8"/>
        <v>-217048.2629212988</v>
      </c>
      <c r="F45" s="88">
        <f t="shared" si="8"/>
        <v>-209709.92494023702</v>
      </c>
      <c r="G45" s="88">
        <f t="shared" si="8"/>
        <v>-196171.38809533979</v>
      </c>
      <c r="H45" s="88">
        <f t="shared" si="8"/>
        <v>-180554.36466355057</v>
      </c>
      <c r="I45" s="88">
        <f>SUM('Stmt BG - Page 3'!C45:H45)+SUM('Stmt BG - Page 4'!C45:H45)</f>
        <v>-2252919.2140135881</v>
      </c>
      <c r="J45" s="244" t="s">
        <v>157</v>
      </c>
      <c r="K45" s="10">
        <f t="shared" si="1"/>
        <v>35</v>
      </c>
    </row>
    <row r="46" spans="1:11" ht="15.75">
      <c r="A46" s="10">
        <f t="shared" si="0"/>
        <v>36</v>
      </c>
      <c r="B46" s="11"/>
      <c r="C46" s="88"/>
      <c r="D46" s="88"/>
      <c r="E46" s="88"/>
      <c r="F46" s="88"/>
      <c r="G46" s="88"/>
      <c r="H46" s="88"/>
      <c r="I46" s="88"/>
      <c r="J46" s="244"/>
      <c r="K46" s="10">
        <f t="shared" si="1"/>
        <v>36</v>
      </c>
    </row>
    <row r="47" spans="1:11" ht="15.75">
      <c r="A47" s="10">
        <f t="shared" si="0"/>
        <v>37</v>
      </c>
      <c r="B47" s="11" t="s">
        <v>145</v>
      </c>
      <c r="C47" s="89">
        <f>C23*C$30</f>
        <v>-66319.712573959681</v>
      </c>
      <c r="D47" s="89">
        <f t="shared" ref="D47:H47" si="9">D23*D$30</f>
        <v>-67909.085062372673</v>
      </c>
      <c r="E47" s="89">
        <f t="shared" si="9"/>
        <v>-67063.163666356893</v>
      </c>
      <c r="F47" s="89">
        <f t="shared" si="9"/>
        <v>-67351.700651063715</v>
      </c>
      <c r="G47" s="89">
        <f t="shared" si="9"/>
        <v>-70700.970632741533</v>
      </c>
      <c r="H47" s="89">
        <f t="shared" si="9"/>
        <v>-70889.370717316124</v>
      </c>
      <c r="I47" s="88">
        <f>SUM('Stmt BG - Page 3'!C47:H47)+SUM('Stmt BG - Page 4'!C47:H47)</f>
        <v>-816769.90576099022</v>
      </c>
      <c r="J47" s="244" t="s">
        <v>158</v>
      </c>
      <c r="K47" s="10">
        <f t="shared" si="1"/>
        <v>37</v>
      </c>
    </row>
    <row r="48" spans="1:11" ht="15.75">
      <c r="A48" s="10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0">
        <f t="shared" si="1"/>
        <v>38</v>
      </c>
    </row>
    <row r="49" spans="1:11" ht="16.5" thickBot="1">
      <c r="A49" s="10">
        <f t="shared" si="0"/>
        <v>39</v>
      </c>
      <c r="B49" s="11" t="s">
        <v>127</v>
      </c>
      <c r="C49" s="648">
        <f t="shared" ref="C49:I49" si="10">SUM(C35:C47)</f>
        <v>-14986826.081574077</v>
      </c>
      <c r="D49" s="648">
        <f t="shared" si="10"/>
        <v>-16868472.54777693</v>
      </c>
      <c r="E49" s="648">
        <f t="shared" si="10"/>
        <v>-18044533.276315495</v>
      </c>
      <c r="F49" s="648">
        <f t="shared" si="10"/>
        <v>-15296005.819931423</v>
      </c>
      <c r="G49" s="648">
        <f t="shared" si="10"/>
        <v>-13740697.292441923</v>
      </c>
      <c r="H49" s="648">
        <f t="shared" si="10"/>
        <v>-14769435.582315309</v>
      </c>
      <c r="I49" s="648">
        <f t="shared" si="10"/>
        <v>-173094088.33898148</v>
      </c>
      <c r="J49" s="265" t="s">
        <v>159</v>
      </c>
      <c r="K49" s="10">
        <f t="shared" si="1"/>
        <v>39</v>
      </c>
    </row>
    <row r="50" spans="1:11" ht="17.25" thickTop="1" thickBot="1">
      <c r="A50" s="258"/>
      <c r="B50" s="307"/>
      <c r="C50" s="262"/>
      <c r="D50" s="262"/>
      <c r="E50" s="262"/>
      <c r="F50" s="262"/>
      <c r="G50" s="262"/>
      <c r="H50" s="262"/>
      <c r="I50" s="262"/>
      <c r="J50" s="262"/>
      <c r="K50" s="258"/>
    </row>
    <row r="51" spans="1:11" ht="15.7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75">
      <c r="A52" s="35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75">
      <c r="A53" s="250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75">
      <c r="A54" s="250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75">
      <c r="A55" s="31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7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7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7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7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7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7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7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7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7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7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7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7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7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7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7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7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7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7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7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7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7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7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7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7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7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7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7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7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7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7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7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7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7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7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7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7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7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7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7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7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7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7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7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7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7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7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7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7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7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7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7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7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7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7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7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7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7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7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7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7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4 of 4&amp;R&amp;"Times New Roman,Regular"&amp;12&amp;A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d7ba8959fefadf86726ddb19c9301c0e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5b34c453d978ff46f18b1e35f620578b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59188A-3776-432C-972B-EF22A3EEB1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B38505-BF8F-4A0C-8B09-087834B9E82F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6fc4548d-ff52-42f9-a254-3bffe5157158"/>
    <ds:schemaRef ds:uri="http://purl.org/dc/dcmitype/"/>
    <ds:schemaRef ds:uri="http://purl.org/dc/elements/1.1/"/>
    <ds:schemaRef ds:uri="http://schemas.microsoft.com/office/infopath/2007/PartnerControls"/>
    <ds:schemaRef ds:uri="d3533485-01ac-4c85-a144-d07c02817ce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25 Forecast</vt:lpstr>
      <vt:lpstr>WP 3.2 2025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25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Manager/>
  <Company>Southern California Edison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Standard Configuration</dc:creator>
  <cp:keywords/>
  <dc:description/>
  <cp:lastModifiedBy>Pham, Jenny L.</cp:lastModifiedBy>
  <cp:revision/>
  <cp:lastPrinted>2025-11-15T07:25:22Z</cp:lastPrinted>
  <dcterms:created xsi:type="dcterms:W3CDTF">2001-12-04T15:42:58Z</dcterms:created>
  <dcterms:modified xsi:type="dcterms:W3CDTF">2025-11-15T07:30:53Z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0x010100B2C66BA30F6EC541B9CEB3D9AC6A7FD3</vt:lpwstr>
  </property>
  <property fmtid="{D5CDD505-2E9C-101B-9397-08002B2CF9AE}" pid="4" name="LINKTEK-ID-FILE">
    <vt:lpwstr>018C-4DF5-5294-6F3F</vt:lpwstr>
  </property>
  <property fmtid="{D5CDD505-2E9C-101B-9397-08002B2CF9AE}" pid="5" name="MediaServiceImageTags">
    <vt:lpwstr/>
  </property>
</Properties>
</file>