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LPham\AppData\Local\Microsoft\Windows\INetCache\Content.Outlook\YGNGR4WT\"/>
    </mc:Choice>
  </mc:AlternateContent>
  <xr:revisionPtr revIDLastSave="0" documentId="13_ncr:1_{ADFD5444-2D9E-43C2-8FDB-1F7510DE05FC}" xr6:coauthVersionLast="47" xr6:coauthVersionMax="47" xr10:uidLastSave="{00000000-0000-0000-0000-000000000000}"/>
  <bookViews>
    <workbookView xWindow="28680" yWindow="-120" windowWidth="29040" windowHeight="15840" tabRatio="914" xr2:uid="{00000000-000D-0000-FFFF-FFFF00000000}"/>
  </bookViews>
  <sheets>
    <sheet name="Stmnt BD - Recorded KWH" sheetId="24" r:id="rId1"/>
    <sheet name="Stmnt BD - Forecast KWH" sheetId="51" r:id="rId2"/>
    <sheet name="Stmnt BD-Forecast MWH@Transm." sheetId="35" r:id="rId3"/>
    <sheet name="Stmt BD-Forecast Pump Storage" sheetId="138" r:id="rId4"/>
    <sheet name="Stmt BD-Pump Load True Up Adj" sheetId="146" r:id="rId5"/>
    <sheet name="Stmt BG - Page 1" sheetId="114" r:id="rId6"/>
    <sheet name="Stmt BG - Page 2" sheetId="139" r:id="rId7"/>
    <sheet name="Stmt BG - Page 3" sheetId="116" r:id="rId8"/>
    <sheet name="Stmt BG - Page 4" sheetId="117" r:id="rId9"/>
    <sheet name="Stmt BH - Page 1" sheetId="140" r:id="rId10"/>
    <sheet name="Stmt BH - Page 2" sheetId="119" r:id="rId11"/>
    <sheet name="Stmt BH - Page 3" sheetId="120" r:id="rId12"/>
    <sheet name="Stmnt BK1 - TRBAA" sheetId="46" r:id="rId13"/>
    <sheet name="Stmnt BK2 - TRBAA" sheetId="32" r:id="rId14"/>
    <sheet name="Stmnt BL (Retail) - TRBAA" sheetId="47" r:id="rId15"/>
    <sheet name="Stmnt BL - CAISO WHOLESALE" sheetId="22" r:id="rId16"/>
    <sheet name="WP 1.1 Recorded Sales" sheetId="96" r:id="rId17"/>
    <sheet name="WP 1.2 Forecast Sales" sheetId="97" r:id="rId18"/>
    <sheet name="WP 2 Allocation of TRBAA" sheetId="17" r:id="rId19"/>
    <sheet name="WP 3 Standby Revenues" sheetId="147" r:id="rId20"/>
    <sheet name="WP 4 Monthly TRBAA " sheetId="111" r:id="rId21"/>
    <sheet name="WP 4 Footnotes" sheetId="89" r:id="rId22"/>
    <sheet name="WP 5 CAISO Charges" sheetId="56" r:id="rId23"/>
    <sheet name="WP 6 HV LV Alloc Summary" sheetId="143" r:id="rId24"/>
    <sheet name="WP 7 Wheeling Revenues" sheetId="79" r:id="rId25"/>
    <sheet name="WP 8 CT4575" sheetId="113" r:id="rId26"/>
    <sheet name="WP 9 ETC Cost Diffs" sheetId="144" r:id="rId27"/>
    <sheet name="WP 10 ETC Costs" sheetId="141" r:id="rId28"/>
    <sheet name="WP 11 Other PTO Forecast" sheetId="107" r:id="rId29"/>
    <sheet name="WP 12 PTO" sheetId="108" r:id="rId30"/>
  </sheets>
  <definedNames>
    <definedName name="_Fill" localSheetId="4" hidden="1">#REF!</definedName>
    <definedName name="_Fill" localSheetId="28" hidden="1">#REF!</definedName>
    <definedName name="_Fill" localSheetId="29" hidden="1">#REF!</definedName>
    <definedName name="_Fill" localSheetId="20" hidden="1">#REF!</definedName>
    <definedName name="_Fill" localSheetId="25" hidden="1">#REF!</definedName>
    <definedName name="_Fill" hidden="1">#REF!</definedName>
    <definedName name="_xlnm.Print_Area" localSheetId="6">'Stmt BG - Page 2'!$A$1:$J$45</definedName>
    <definedName name="_xlnm.Print_Area" localSheetId="9">'Stmt BH - Page 1'!$A$1:$J$45</definedName>
    <definedName name="_xlnm.Print_Area" localSheetId="10">'Stmt BH - Page 2'!$A$1:$J$46</definedName>
    <definedName name="_xlnm.Print_Area" localSheetId="11">'Stmt BH - Page 3'!$A$1:$K$46</definedName>
    <definedName name="_xlnm.Print_Area" localSheetId="16">'WP 1.1 Recorded Sales'!$A$1:$P$49</definedName>
    <definedName name="_xlnm.Print_Area" localSheetId="17">'WP 1.2 Forecast Sales'!$A$1:$P$49</definedName>
    <definedName name="_xlnm.Print_Area" localSheetId="27">'WP 10 ETC Costs'!$D$3:$Q$53</definedName>
    <definedName name="_xlnm.Print_Area" localSheetId="19">'WP 3 Standby Revenues'!$A$1:$G$20</definedName>
    <definedName name="_xlnm.Print_Area" localSheetId="20">'WP 4 Monthly TRBAA '!$A$1:$Q$44</definedName>
    <definedName name="_xlnm.Print_Area" localSheetId="22">'WP 5 CAISO Charges'!$A$1:$Q$20</definedName>
    <definedName name="_xlnm.Print_Area" localSheetId="23">'WP 6 HV LV Alloc Summary'!$A$1:$G$50</definedName>
    <definedName name="_xlnm.Print_Titles" localSheetId="27">'WP 10 ETC Costs'!$A:$C</definedName>
    <definedName name="_xlnm.Print_Titles" localSheetId="20">'WP 4 Monthly TRBAA '!$A:$B</definedName>
    <definedName name="_xlnm.Print_Titles" localSheetId="22">'WP 5 CAISO Charges'!$A:$B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47" l="1"/>
  <c r="C26" i="47"/>
  <c r="C28" i="46" l="1"/>
  <c r="C26" i="46"/>
  <c r="A6" i="141"/>
  <c r="P26" i="141"/>
  <c r="O46" i="141"/>
  <c r="O21" i="141"/>
  <c r="O20" i="141"/>
  <c r="N20" i="141"/>
  <c r="M20" i="141"/>
  <c r="L20" i="141"/>
  <c r="K20" i="141"/>
  <c r="J20" i="141"/>
  <c r="I20" i="141"/>
  <c r="H20" i="141"/>
  <c r="G20" i="141"/>
  <c r="F20" i="141"/>
  <c r="E20" i="141"/>
  <c r="D20" i="141"/>
  <c r="K5" i="141"/>
  <c r="J5" i="141"/>
  <c r="N46" i="141"/>
  <c r="M46" i="141"/>
  <c r="L46" i="141"/>
  <c r="K46" i="141"/>
  <c r="J46" i="141"/>
  <c r="I46" i="141"/>
  <c r="H46" i="141"/>
  <c r="G46" i="141"/>
  <c r="F46" i="141"/>
  <c r="E46" i="141"/>
  <c r="D46" i="141"/>
  <c r="J21" i="141"/>
  <c r="H21" i="141" l="1"/>
  <c r="H5" i="141"/>
  <c r="I50" i="111"/>
  <c r="D21" i="96"/>
  <c r="E21" i="96"/>
  <c r="F21" i="96"/>
  <c r="G21" i="96"/>
  <c r="H21" i="96"/>
  <c r="I21" i="96"/>
  <c r="J21" i="96"/>
  <c r="K21" i="96"/>
  <c r="L21" i="96"/>
  <c r="M21" i="96"/>
  <c r="N21" i="96"/>
  <c r="C21" i="96"/>
  <c r="O5" i="141"/>
  <c r="P12" i="141" l="1"/>
  <c r="Q6" i="108" l="1"/>
  <c r="Q7" i="108"/>
  <c r="Q8" i="108"/>
  <c r="Q9" i="108"/>
  <c r="Q10" i="108"/>
  <c r="Q11" i="108"/>
  <c r="Q12" i="108"/>
  <c r="Q13" i="108"/>
  <c r="Q14" i="108"/>
  <c r="Q15" i="108"/>
  <c r="Q16" i="108"/>
  <c r="Q17" i="108"/>
  <c r="Q5" i="108"/>
  <c r="P15" i="108"/>
  <c r="P13" i="108"/>
  <c r="P11" i="108"/>
  <c r="P9" i="108"/>
  <c r="P7" i="108"/>
  <c r="P5" i="108"/>
  <c r="G43" i="111"/>
  <c r="F43" i="111"/>
  <c r="F42" i="111"/>
  <c r="C43" i="111"/>
  <c r="C42" i="111"/>
  <c r="E5" i="111"/>
  <c r="D5" i="111"/>
  <c r="P30" i="108" l="1"/>
  <c r="P29" i="108"/>
  <c r="K48" i="141" l="1"/>
  <c r="J16" i="56" s="1"/>
  <c r="P21" i="141"/>
  <c r="N48" i="141"/>
  <c r="M16" i="56" s="1"/>
  <c r="M48" i="141"/>
  <c r="L16" i="56" s="1"/>
  <c r="L48" i="141"/>
  <c r="K16" i="56" s="1"/>
  <c r="F48" i="141"/>
  <c r="E16" i="56" s="1"/>
  <c r="P34" i="96"/>
  <c r="P35" i="96" s="1"/>
  <c r="D34" i="96"/>
  <c r="E34" i="96"/>
  <c r="F34" i="96"/>
  <c r="G34" i="96"/>
  <c r="H34" i="96"/>
  <c r="I34" i="96"/>
  <c r="J34" i="96"/>
  <c r="K34" i="96"/>
  <c r="L34" i="96"/>
  <c r="M34" i="96"/>
  <c r="N34" i="96"/>
  <c r="C34" i="96"/>
  <c r="A34" i="96"/>
  <c r="A35" i="96"/>
  <c r="O9" i="96"/>
  <c r="O10" i="96"/>
  <c r="P22" i="141"/>
  <c r="E48" i="141"/>
  <c r="G48" i="141"/>
  <c r="F16" i="56" s="1"/>
  <c r="L10" i="56"/>
  <c r="L17" i="111" s="1"/>
  <c r="O48" i="141"/>
  <c r="N16" i="56" s="1"/>
  <c r="D56" i="111"/>
  <c r="E56" i="111"/>
  <c r="F56" i="111"/>
  <c r="C56" i="111"/>
  <c r="G11" i="111"/>
  <c r="E3" i="141"/>
  <c r="E3" i="108" s="1"/>
  <c r="F3" i="141"/>
  <c r="F3" i="108" s="1"/>
  <c r="G3" i="141"/>
  <c r="G3" i="108" s="1"/>
  <c r="H3" i="141"/>
  <c r="H3" i="108" s="1"/>
  <c r="I3" i="141"/>
  <c r="I3" i="108" s="1"/>
  <c r="J3" i="141"/>
  <c r="J3" i="108" s="1"/>
  <c r="K3" i="141"/>
  <c r="K3" i="108" s="1"/>
  <c r="L3" i="141"/>
  <c r="L3" i="108" s="1"/>
  <c r="M3" i="141"/>
  <c r="M3" i="108" s="1"/>
  <c r="N3" i="141"/>
  <c r="N3" i="108" s="1"/>
  <c r="O3" i="141"/>
  <c r="O3" i="108" s="1"/>
  <c r="D3" i="141"/>
  <c r="D3" i="108" s="1"/>
  <c r="P23" i="141"/>
  <c r="A7" i="141"/>
  <c r="L5" i="111"/>
  <c r="L56" i="111" s="1"/>
  <c r="F5" i="111"/>
  <c r="G5" i="111" s="1"/>
  <c r="G56" i="111" s="1"/>
  <c r="B28" i="47"/>
  <c r="D10" i="114"/>
  <c r="D34" i="97"/>
  <c r="E34" i="97"/>
  <c r="F34" i="97"/>
  <c r="G34" i="97"/>
  <c r="H34" i="97"/>
  <c r="I34" i="97"/>
  <c r="J34" i="97"/>
  <c r="K34" i="97"/>
  <c r="L34" i="97"/>
  <c r="M34" i="97"/>
  <c r="N34" i="97"/>
  <c r="C34" i="97"/>
  <c r="P34" i="97"/>
  <c r="P35" i="97"/>
  <c r="A34" i="97"/>
  <c r="A35" i="97"/>
  <c r="O9" i="97"/>
  <c r="C14" i="97"/>
  <c r="C13" i="35" s="1"/>
  <c r="E13" i="35" s="1"/>
  <c r="D14" i="97"/>
  <c r="C14" i="35" s="1"/>
  <c r="E14" i="97"/>
  <c r="C15" i="35" s="1"/>
  <c r="F14" i="97"/>
  <c r="C16" i="35" s="1"/>
  <c r="E16" i="35" s="1"/>
  <c r="G14" i="97"/>
  <c r="C17" i="35" s="1"/>
  <c r="H14" i="97"/>
  <c r="I14" i="97"/>
  <c r="J14" i="97"/>
  <c r="K14" i="97"/>
  <c r="C21" i="35" s="1"/>
  <c r="L14" i="97"/>
  <c r="C22" i="35" s="1"/>
  <c r="E22" i="35" s="1"/>
  <c r="M14" i="97"/>
  <c r="C23" i="35" s="1"/>
  <c r="E23" i="35" s="1"/>
  <c r="N14" i="97"/>
  <c r="C24" i="35" s="1"/>
  <c r="E24" i="35" s="1"/>
  <c r="Q18" i="108"/>
  <c r="Q19" i="108" s="1"/>
  <c r="Q20" i="108" s="1"/>
  <c r="Q21" i="108" s="1"/>
  <c r="Q22" i="108" s="1"/>
  <c r="Q23" i="108" s="1"/>
  <c r="A16" i="108"/>
  <c r="A17" i="108"/>
  <c r="A18" i="108"/>
  <c r="A19" i="108"/>
  <c r="A20" i="108"/>
  <c r="A21" i="108"/>
  <c r="A22" i="108"/>
  <c r="A23" i="108"/>
  <c r="N43" i="111"/>
  <c r="M43" i="111"/>
  <c r="L43" i="111"/>
  <c r="K43" i="111"/>
  <c r="J43" i="111"/>
  <c r="I43" i="111"/>
  <c r="I44" i="111" s="1"/>
  <c r="P45" i="141"/>
  <c r="P44" i="141"/>
  <c r="P43" i="141"/>
  <c r="P42" i="141"/>
  <c r="P41" i="141"/>
  <c r="P40" i="141"/>
  <c r="P39" i="141"/>
  <c r="P38" i="141"/>
  <c r="P37" i="141"/>
  <c r="P36" i="141"/>
  <c r="P35" i="141"/>
  <c r="P34" i="141"/>
  <c r="P33" i="141"/>
  <c r="P32" i="141"/>
  <c r="P31" i="141"/>
  <c r="P30" i="141"/>
  <c r="P29" i="141"/>
  <c r="P28" i="141"/>
  <c r="P27" i="141"/>
  <c r="P19" i="141"/>
  <c r="P18" i="141"/>
  <c r="P17" i="141"/>
  <c r="P16" i="141"/>
  <c r="P15" i="141"/>
  <c r="P14" i="141"/>
  <c r="P13" i="141"/>
  <c r="P11" i="141"/>
  <c r="P10" i="141"/>
  <c r="P9" i="141"/>
  <c r="P8" i="141"/>
  <c r="P7" i="141"/>
  <c r="P6" i="141"/>
  <c r="H11" i="111"/>
  <c r="I11" i="111" s="1"/>
  <c r="J11" i="111" s="1"/>
  <c r="K11" i="111" s="1"/>
  <c r="L11" i="111" s="1"/>
  <c r="M11" i="111" s="1"/>
  <c r="N11" i="111" s="1"/>
  <c r="H43" i="111"/>
  <c r="D11" i="147"/>
  <c r="C11" i="147"/>
  <c r="G10" i="147"/>
  <c r="G11" i="147"/>
  <c r="G12" i="147"/>
  <c r="G13" i="147"/>
  <c r="G14" i="147"/>
  <c r="G15" i="147"/>
  <c r="A10" i="147"/>
  <c r="A11" i="147"/>
  <c r="A12" i="147"/>
  <c r="A13" i="147"/>
  <c r="A14" i="147"/>
  <c r="A15" i="147"/>
  <c r="D45" i="143"/>
  <c r="C45" i="143"/>
  <c r="P31" i="108"/>
  <c r="O17" i="108"/>
  <c r="O20" i="108" s="1"/>
  <c r="N17" i="108"/>
  <c r="M17" i="108"/>
  <c r="L17" i="108"/>
  <c r="L20" i="108" s="1"/>
  <c r="K17" i="108"/>
  <c r="K20" i="108" s="1"/>
  <c r="J17" i="108"/>
  <c r="J20" i="108" s="1"/>
  <c r="I17" i="108"/>
  <c r="H19" i="56" s="1"/>
  <c r="H17" i="108"/>
  <c r="H20" i="108" s="1"/>
  <c r="G17" i="108"/>
  <c r="G20" i="108" s="1"/>
  <c r="F17" i="108"/>
  <c r="E17" i="108"/>
  <c r="D19" i="56" s="1"/>
  <c r="D17" i="108"/>
  <c r="C19" i="56" s="1"/>
  <c r="A5" i="108"/>
  <c r="A6" i="108"/>
  <c r="A7" i="108"/>
  <c r="A8" i="108"/>
  <c r="A9" i="108"/>
  <c r="A10" i="108"/>
  <c r="A11" i="108"/>
  <c r="A12" i="108"/>
  <c r="A13" i="108"/>
  <c r="A14" i="108"/>
  <c r="A15" i="108"/>
  <c r="M42" i="111"/>
  <c r="M44" i="111" s="1"/>
  <c r="D43" i="111"/>
  <c r="E42" i="111"/>
  <c r="G42" i="111"/>
  <c r="N42" i="111"/>
  <c r="J42" i="111"/>
  <c r="K42" i="111"/>
  <c r="E43" i="111"/>
  <c r="E44" i="111" s="1"/>
  <c r="D42" i="111"/>
  <c r="H42" i="111"/>
  <c r="L42" i="111"/>
  <c r="I42" i="111"/>
  <c r="C30" i="111"/>
  <c r="E13" i="32"/>
  <c r="D24" i="35"/>
  <c r="D23" i="35"/>
  <c r="D22" i="35"/>
  <c r="D21" i="35"/>
  <c r="D20" i="35"/>
  <c r="D19" i="35"/>
  <c r="D18" i="35"/>
  <c r="D17" i="35"/>
  <c r="D26" i="35" s="1"/>
  <c r="D16" i="35"/>
  <c r="D15" i="35"/>
  <c r="D14" i="35"/>
  <c r="D13" i="35"/>
  <c r="D38" i="97"/>
  <c r="D13" i="51" s="1"/>
  <c r="E38" i="97"/>
  <c r="D14" i="51"/>
  <c r="F38" i="97"/>
  <c r="D15" i="51" s="1"/>
  <c r="G38" i="97"/>
  <c r="D16" i="51" s="1"/>
  <c r="H38" i="97"/>
  <c r="D17" i="51"/>
  <c r="I38" i="97"/>
  <c r="D18" i="51" s="1"/>
  <c r="J38" i="97"/>
  <c r="D19" i="51" s="1"/>
  <c r="K38" i="97"/>
  <c r="D20" i="51" s="1"/>
  <c r="L38" i="97"/>
  <c r="D21" i="51" s="1"/>
  <c r="M38" i="97"/>
  <c r="D22" i="51"/>
  <c r="N38" i="97"/>
  <c r="D23" i="51" s="1"/>
  <c r="C38" i="97"/>
  <c r="D12" i="51" s="1"/>
  <c r="O31" i="108"/>
  <c r="E12" i="146"/>
  <c r="E14" i="146"/>
  <c r="E16" i="146"/>
  <c r="E18" i="146"/>
  <c r="A12" i="146"/>
  <c r="A14" i="146"/>
  <c r="A16" i="146"/>
  <c r="A18" i="146"/>
  <c r="C14" i="146"/>
  <c r="C18" i="146" s="1"/>
  <c r="C6" i="89"/>
  <c r="A6" i="89"/>
  <c r="C7" i="89"/>
  <c r="D30" i="107"/>
  <c r="D28" i="107"/>
  <c r="D26" i="107"/>
  <c r="D24" i="107"/>
  <c r="D22" i="107"/>
  <c r="D20" i="107"/>
  <c r="D18" i="107"/>
  <c r="D16" i="107"/>
  <c r="D14" i="107"/>
  <c r="D12" i="107"/>
  <c r="D10" i="107"/>
  <c r="A9" i="107"/>
  <c r="A10" i="107"/>
  <c r="A11" i="107"/>
  <c r="E8" i="107"/>
  <c r="E9" i="107"/>
  <c r="E11" i="107"/>
  <c r="A12" i="107"/>
  <c r="E10" i="107"/>
  <c r="C30" i="113"/>
  <c r="C28" i="113"/>
  <c r="C26" i="113"/>
  <c r="C24" i="113"/>
  <c r="C22" i="113"/>
  <c r="C20" i="113"/>
  <c r="C18" i="113"/>
  <c r="C16" i="113"/>
  <c r="C14" i="113"/>
  <c r="C12" i="113"/>
  <c r="C10" i="113"/>
  <c r="C8" i="113"/>
  <c r="D30" i="144"/>
  <c r="D28" i="144"/>
  <c r="D26" i="144"/>
  <c r="D24" i="144"/>
  <c r="D22" i="144"/>
  <c r="D20" i="144"/>
  <c r="D18" i="144"/>
  <c r="D16" i="144"/>
  <c r="D14" i="144"/>
  <c r="D12" i="144"/>
  <c r="D10" i="144"/>
  <c r="A10" i="144"/>
  <c r="E10" i="144"/>
  <c r="A9" i="144"/>
  <c r="E9" i="144"/>
  <c r="E8" i="144"/>
  <c r="D30" i="113"/>
  <c r="D28" i="113"/>
  <c r="D26" i="113"/>
  <c r="D24" i="113"/>
  <c r="D22" i="113"/>
  <c r="D20" i="113"/>
  <c r="D18" i="113"/>
  <c r="D16" i="113"/>
  <c r="D14" i="113"/>
  <c r="D12" i="113"/>
  <c r="D10" i="113"/>
  <c r="A9" i="113"/>
  <c r="A10" i="113"/>
  <c r="A11" i="113"/>
  <c r="D16" i="143"/>
  <c r="C16" i="143"/>
  <c r="E14" i="143"/>
  <c r="E12" i="143"/>
  <c r="A9" i="143"/>
  <c r="A10" i="143"/>
  <c r="B28" i="120"/>
  <c r="B28" i="117"/>
  <c r="A11" i="144"/>
  <c r="E9" i="113"/>
  <c r="A11" i="143"/>
  <c r="G10" i="143"/>
  <c r="G9" i="143"/>
  <c r="E12" i="107"/>
  <c r="A13" i="107"/>
  <c r="C32" i="113"/>
  <c r="C34" i="113" s="1"/>
  <c r="E11" i="113"/>
  <c r="A12" i="113"/>
  <c r="E10" i="113"/>
  <c r="A12" i="144"/>
  <c r="E11" i="144"/>
  <c r="A12" i="143"/>
  <c r="G11" i="143"/>
  <c r="A14" i="107"/>
  <c r="E13" i="107"/>
  <c r="E12" i="113"/>
  <c r="A13" i="113"/>
  <c r="A13" i="144"/>
  <c r="E12" i="144"/>
  <c r="A13" i="143"/>
  <c r="G12" i="143"/>
  <c r="E14" i="107"/>
  <c r="A15" i="107"/>
  <c r="A14" i="113"/>
  <c r="E13" i="113"/>
  <c r="E31" i="35"/>
  <c r="A14" i="144"/>
  <c r="E13" i="144"/>
  <c r="G13" i="143"/>
  <c r="A14" i="143"/>
  <c r="A16" i="107"/>
  <c r="E15" i="107"/>
  <c r="E14" i="113"/>
  <c r="A15" i="113"/>
  <c r="A15" i="144"/>
  <c r="E14" i="144"/>
  <c r="A15" i="143"/>
  <c r="G14" i="143"/>
  <c r="A17" i="107"/>
  <c r="E16" i="107"/>
  <c r="A16" i="113"/>
  <c r="E15" i="113"/>
  <c r="A16" i="144"/>
  <c r="E15" i="144"/>
  <c r="A16" i="143"/>
  <c r="G15" i="143"/>
  <c r="A18" i="107"/>
  <c r="E17" i="107"/>
  <c r="A17" i="113"/>
  <c r="E16" i="113"/>
  <c r="A17" i="144"/>
  <c r="E16" i="144"/>
  <c r="G16" i="143"/>
  <c r="A17" i="143"/>
  <c r="E18" i="107"/>
  <c r="A19" i="107"/>
  <c r="A18" i="113"/>
  <c r="E17" i="113"/>
  <c r="E17" i="144"/>
  <c r="A18" i="144"/>
  <c r="A18" i="143"/>
  <c r="G17" i="143"/>
  <c r="E19" i="107"/>
  <c r="A20" i="107"/>
  <c r="A19" i="113"/>
  <c r="E18" i="113"/>
  <c r="A19" i="144"/>
  <c r="E18" i="144"/>
  <c r="G18" i="143"/>
  <c r="A19" i="143"/>
  <c r="A21" i="107"/>
  <c r="E20" i="107"/>
  <c r="E19" i="113"/>
  <c r="A20" i="113"/>
  <c r="C61" i="111"/>
  <c r="D21" i="120"/>
  <c r="E21" i="120"/>
  <c r="F21" i="120"/>
  <c r="G21" i="120"/>
  <c r="G43" i="120" s="1"/>
  <c r="G38" i="140" s="1"/>
  <c r="H21" i="120"/>
  <c r="C21" i="120"/>
  <c r="D19" i="120"/>
  <c r="E19" i="120"/>
  <c r="F19" i="120"/>
  <c r="G19" i="120"/>
  <c r="H19" i="120"/>
  <c r="C19" i="120"/>
  <c r="D17" i="120"/>
  <c r="E17" i="120"/>
  <c r="F17" i="120"/>
  <c r="G17" i="120"/>
  <c r="H17" i="120"/>
  <c r="C17" i="120"/>
  <c r="D13" i="120"/>
  <c r="E13" i="120"/>
  <c r="F13" i="120"/>
  <c r="G13" i="120"/>
  <c r="H13" i="120"/>
  <c r="C13" i="120"/>
  <c r="D11" i="120"/>
  <c r="E11" i="120"/>
  <c r="F11" i="120"/>
  <c r="G11" i="120"/>
  <c r="H11" i="120"/>
  <c r="C11" i="120"/>
  <c r="D21" i="119"/>
  <c r="E21" i="119"/>
  <c r="F21" i="119"/>
  <c r="F43" i="119" s="1"/>
  <c r="F20" i="140" s="1"/>
  <c r="G21" i="119"/>
  <c r="H21" i="119"/>
  <c r="C21" i="119"/>
  <c r="C43" i="119" s="1"/>
  <c r="C20" i="140" s="1"/>
  <c r="D19" i="119"/>
  <c r="E19" i="119"/>
  <c r="F19" i="119"/>
  <c r="F41" i="119" s="1"/>
  <c r="F18" i="140" s="1"/>
  <c r="G19" i="119"/>
  <c r="H19" i="119"/>
  <c r="C19" i="119"/>
  <c r="C41" i="119" s="1"/>
  <c r="C18" i="140" s="1"/>
  <c r="D17" i="119"/>
  <c r="D39" i="119" s="1"/>
  <c r="D16" i="140" s="1"/>
  <c r="E17" i="119"/>
  <c r="F17" i="119"/>
  <c r="G17" i="119"/>
  <c r="H17" i="119"/>
  <c r="C17" i="119"/>
  <c r="C39" i="119" s="1"/>
  <c r="C16" i="140" s="1"/>
  <c r="D13" i="119"/>
  <c r="E13" i="119"/>
  <c r="F13" i="119"/>
  <c r="F35" i="119" s="1"/>
  <c r="F12" i="140" s="1"/>
  <c r="G13" i="119"/>
  <c r="H13" i="119"/>
  <c r="C13" i="119"/>
  <c r="C35" i="119" s="1"/>
  <c r="D11" i="119"/>
  <c r="D33" i="119" s="1"/>
  <c r="D10" i="140" s="1"/>
  <c r="E11" i="119"/>
  <c r="F11" i="119"/>
  <c r="G11" i="119"/>
  <c r="H11" i="119"/>
  <c r="C11" i="119"/>
  <c r="C33" i="119" s="1"/>
  <c r="D21" i="117"/>
  <c r="E21" i="117"/>
  <c r="F21" i="117"/>
  <c r="G21" i="117"/>
  <c r="H21" i="117"/>
  <c r="C21" i="117"/>
  <c r="D19" i="117"/>
  <c r="E19" i="117"/>
  <c r="F19" i="117"/>
  <c r="G19" i="117"/>
  <c r="H19" i="117"/>
  <c r="C19" i="117"/>
  <c r="D17" i="117"/>
  <c r="E17" i="117"/>
  <c r="F17" i="117"/>
  <c r="G17" i="117"/>
  <c r="H17" i="117"/>
  <c r="C17" i="117"/>
  <c r="D13" i="117"/>
  <c r="E13" i="117"/>
  <c r="F13" i="117"/>
  <c r="G13" i="117"/>
  <c r="H13" i="117"/>
  <c r="C13" i="117"/>
  <c r="D11" i="117"/>
  <c r="E11" i="117"/>
  <c r="E23" i="117" s="1"/>
  <c r="F11" i="117"/>
  <c r="G11" i="117"/>
  <c r="H11" i="117"/>
  <c r="C11" i="117"/>
  <c r="D21" i="116"/>
  <c r="E21" i="116"/>
  <c r="F21" i="116"/>
  <c r="G21" i="116"/>
  <c r="H21" i="116"/>
  <c r="C21" i="116"/>
  <c r="D19" i="116"/>
  <c r="E19" i="116"/>
  <c r="F19" i="116"/>
  <c r="G19" i="116"/>
  <c r="H19" i="116"/>
  <c r="C19" i="116"/>
  <c r="D17" i="116"/>
  <c r="E17" i="116"/>
  <c r="F17" i="116"/>
  <c r="G17" i="116"/>
  <c r="H17" i="116"/>
  <c r="C17" i="116"/>
  <c r="D13" i="116"/>
  <c r="E13" i="116"/>
  <c r="F13" i="116"/>
  <c r="G13" i="116"/>
  <c r="H13" i="116"/>
  <c r="C13" i="116"/>
  <c r="D11" i="116"/>
  <c r="E11" i="116"/>
  <c r="F11" i="116"/>
  <c r="G11" i="116"/>
  <c r="H11" i="116"/>
  <c r="C11" i="116"/>
  <c r="A20" i="144"/>
  <c r="E19" i="144"/>
  <c r="A20" i="143"/>
  <c r="G19" i="143"/>
  <c r="A22" i="107"/>
  <c r="E21" i="107"/>
  <c r="A21" i="113"/>
  <c r="E20" i="113"/>
  <c r="A21" i="144"/>
  <c r="E20" i="144"/>
  <c r="G20" i="143"/>
  <c r="A21" i="143"/>
  <c r="E22" i="107"/>
  <c r="A23" i="107"/>
  <c r="A22" i="113"/>
  <c r="E21" i="113"/>
  <c r="E21" i="144"/>
  <c r="A22" i="144"/>
  <c r="A22" i="143"/>
  <c r="G21" i="143"/>
  <c r="E23" i="107"/>
  <c r="A24" i="107"/>
  <c r="E22" i="113"/>
  <c r="A23" i="113"/>
  <c r="Q5" i="141"/>
  <c r="E22" i="144"/>
  <c r="A23" i="144"/>
  <c r="G22" i="143"/>
  <c r="A23" i="143"/>
  <c r="A25" i="107"/>
  <c r="E24" i="107"/>
  <c r="A24" i="113"/>
  <c r="E23" i="113"/>
  <c r="P5" i="141"/>
  <c r="A24" i="144"/>
  <c r="E23" i="144"/>
  <c r="A24" i="143"/>
  <c r="G23" i="143"/>
  <c r="A26" i="107"/>
  <c r="E25" i="107"/>
  <c r="A25" i="113"/>
  <c r="E24" i="113"/>
  <c r="F50" i="111"/>
  <c r="E24" i="144"/>
  <c r="A25" i="144"/>
  <c r="A25" i="143"/>
  <c r="G24" i="143"/>
  <c r="A27" i="107"/>
  <c r="E26" i="107"/>
  <c r="E25" i="113"/>
  <c r="A26" i="113"/>
  <c r="E25" i="144"/>
  <c r="A26" i="144"/>
  <c r="G25" i="143"/>
  <c r="A26" i="143"/>
  <c r="E27" i="107"/>
  <c r="A28" i="107"/>
  <c r="A27" i="113"/>
  <c r="E26" i="113"/>
  <c r="B43" i="96"/>
  <c r="A4" i="120"/>
  <c r="A4" i="119"/>
  <c r="A5" i="140"/>
  <c r="A5" i="119" s="1"/>
  <c r="A5" i="117"/>
  <c r="A4" i="117"/>
  <c r="A5" i="116"/>
  <c r="A4" i="116"/>
  <c r="A5" i="139"/>
  <c r="A4" i="139"/>
  <c r="A27" i="144"/>
  <c r="E26" i="144"/>
  <c r="G26" i="143"/>
  <c r="G27" i="143"/>
  <c r="G28" i="143"/>
  <c r="G29" i="143"/>
  <c r="G30" i="143"/>
  <c r="G31" i="143"/>
  <c r="G32" i="143"/>
  <c r="G33" i="143"/>
  <c r="G34" i="143"/>
  <c r="G35" i="143"/>
  <c r="G36" i="143"/>
  <c r="G37" i="143"/>
  <c r="G38" i="143"/>
  <c r="G39" i="143"/>
  <c r="G40" i="143"/>
  <c r="G41" i="143"/>
  <c r="G42" i="143"/>
  <c r="G43" i="143"/>
  <c r="G44" i="143"/>
  <c r="G45" i="143"/>
  <c r="G46" i="143"/>
  <c r="G47" i="143"/>
  <c r="G48" i="143"/>
  <c r="A27" i="143"/>
  <c r="A28" i="143"/>
  <c r="A29" i="143"/>
  <c r="A30" i="143"/>
  <c r="A31" i="143"/>
  <c r="A32" i="143"/>
  <c r="A33" i="143"/>
  <c r="A34" i="143"/>
  <c r="A35" i="143"/>
  <c r="A36" i="143"/>
  <c r="A37" i="143"/>
  <c r="A38" i="143"/>
  <c r="A39" i="143"/>
  <c r="A40" i="143"/>
  <c r="A41" i="143"/>
  <c r="A42" i="143"/>
  <c r="A43" i="143"/>
  <c r="E28" i="107"/>
  <c r="A29" i="107"/>
  <c r="E27" i="113"/>
  <c r="A28" i="113"/>
  <c r="P23" i="111"/>
  <c r="D8" i="117"/>
  <c r="E8" i="117"/>
  <c r="F8" i="117"/>
  <c r="G8" i="117"/>
  <c r="H8" i="117"/>
  <c r="C8" i="117"/>
  <c r="D8" i="116"/>
  <c r="E8" i="116"/>
  <c r="F8" i="116"/>
  <c r="G8" i="116"/>
  <c r="H8" i="116"/>
  <c r="C8" i="116"/>
  <c r="D26" i="140"/>
  <c r="D8" i="120" s="1"/>
  <c r="E26" i="140"/>
  <c r="E8" i="120" s="1"/>
  <c r="F26" i="140"/>
  <c r="F8" i="120" s="1"/>
  <c r="G26" i="140"/>
  <c r="G8" i="120" s="1"/>
  <c r="H26" i="140"/>
  <c r="H8" i="120" s="1"/>
  <c r="C26" i="140"/>
  <c r="C8" i="120" s="1"/>
  <c r="D8" i="140"/>
  <c r="D8" i="119"/>
  <c r="E8" i="140"/>
  <c r="E8" i="119" s="1"/>
  <c r="F8" i="140"/>
  <c r="F8" i="119" s="1"/>
  <c r="G8" i="140"/>
  <c r="G8" i="119"/>
  <c r="H8" i="140"/>
  <c r="H8" i="119"/>
  <c r="C8" i="140"/>
  <c r="C8" i="119"/>
  <c r="I25" i="140"/>
  <c r="H25" i="140"/>
  <c r="G25" i="140"/>
  <c r="F25" i="140"/>
  <c r="E25" i="140"/>
  <c r="D25" i="140"/>
  <c r="C25" i="140"/>
  <c r="J11" i="140"/>
  <c r="J12" i="140"/>
  <c r="J13" i="140"/>
  <c r="J14" i="140"/>
  <c r="J15" i="140"/>
  <c r="J16" i="140"/>
  <c r="J17" i="140"/>
  <c r="J18" i="140"/>
  <c r="J19" i="140"/>
  <c r="J20" i="140"/>
  <c r="J21" i="140"/>
  <c r="J22" i="140"/>
  <c r="J28" i="140"/>
  <c r="J29" i="140"/>
  <c r="J30" i="140"/>
  <c r="J31" i="140"/>
  <c r="J32" i="140"/>
  <c r="J33" i="140"/>
  <c r="J34" i="140"/>
  <c r="J35" i="140"/>
  <c r="J36" i="140"/>
  <c r="J37" i="140"/>
  <c r="J38" i="140"/>
  <c r="J39" i="140"/>
  <c r="J40" i="140"/>
  <c r="A11" i="140"/>
  <c r="A12" i="140"/>
  <c r="A13" i="140"/>
  <c r="A14" i="140"/>
  <c r="A15" i="140"/>
  <c r="A16" i="140"/>
  <c r="A17" i="140"/>
  <c r="A18" i="140"/>
  <c r="A19" i="140"/>
  <c r="A20" i="140"/>
  <c r="A21" i="140"/>
  <c r="A22" i="140"/>
  <c r="A28" i="140"/>
  <c r="A29" i="140"/>
  <c r="A30" i="140"/>
  <c r="A31" i="140"/>
  <c r="A32" i="140"/>
  <c r="A33" i="140"/>
  <c r="A34" i="140"/>
  <c r="A35" i="140"/>
  <c r="A36" i="140"/>
  <c r="A37" i="140"/>
  <c r="A38" i="140"/>
  <c r="A39" i="140"/>
  <c r="A40" i="140"/>
  <c r="I25" i="139"/>
  <c r="H25" i="139"/>
  <c r="G25" i="139"/>
  <c r="F25" i="139"/>
  <c r="E25" i="139"/>
  <c r="D25" i="139"/>
  <c r="C25" i="139"/>
  <c r="J11" i="139"/>
  <c r="J12" i="139"/>
  <c r="J13" i="139"/>
  <c r="J14" i="139"/>
  <c r="J15" i="139"/>
  <c r="J16" i="139"/>
  <c r="J17" i="139"/>
  <c r="J18" i="139"/>
  <c r="J19" i="139"/>
  <c r="J20" i="139"/>
  <c r="J21" i="139"/>
  <c r="J22" i="139"/>
  <c r="J28" i="139"/>
  <c r="J29" i="139"/>
  <c r="J30" i="139"/>
  <c r="J31" i="139"/>
  <c r="J32" i="139"/>
  <c r="J33" i="139"/>
  <c r="J34" i="139"/>
  <c r="J35" i="139"/>
  <c r="J36" i="139"/>
  <c r="J37" i="139"/>
  <c r="J38" i="139"/>
  <c r="J39" i="139"/>
  <c r="J40" i="139"/>
  <c r="A11" i="139"/>
  <c r="A12" i="139"/>
  <c r="A13" i="139"/>
  <c r="A14" i="139"/>
  <c r="A15" i="139"/>
  <c r="A16" i="139"/>
  <c r="A17" i="139"/>
  <c r="A18" i="139"/>
  <c r="A19" i="139"/>
  <c r="A20" i="139"/>
  <c r="A21" i="139"/>
  <c r="A22" i="139"/>
  <c r="A28" i="139"/>
  <c r="A29" i="139"/>
  <c r="A30" i="139"/>
  <c r="A31" i="139"/>
  <c r="A32" i="139"/>
  <c r="A33" i="139"/>
  <c r="A34" i="139"/>
  <c r="A35" i="139"/>
  <c r="A36" i="139"/>
  <c r="A37" i="139"/>
  <c r="A38" i="139"/>
  <c r="A39" i="139"/>
  <c r="A40" i="139"/>
  <c r="A44" i="143"/>
  <c r="A45" i="143"/>
  <c r="A46" i="143"/>
  <c r="A47" i="143"/>
  <c r="A48" i="143"/>
  <c r="A49" i="143"/>
  <c r="A50" i="143"/>
  <c r="A28" i="144"/>
  <c r="E27" i="144"/>
  <c r="G49" i="143"/>
  <c r="G50" i="143"/>
  <c r="A30" i="107"/>
  <c r="E29" i="107"/>
  <c r="A29" i="113"/>
  <c r="E28" i="113"/>
  <c r="A29" i="144"/>
  <c r="E28" i="144"/>
  <c r="E30" i="107"/>
  <c r="A31" i="107"/>
  <c r="A30" i="113"/>
  <c r="E29" i="113"/>
  <c r="A30" i="144"/>
  <c r="E29" i="144"/>
  <c r="A32" i="107"/>
  <c r="E31" i="107"/>
  <c r="E30" i="113"/>
  <c r="A31" i="113"/>
  <c r="E30" i="144"/>
  <c r="A31" i="144"/>
  <c r="E32" i="107"/>
  <c r="A33" i="107"/>
  <c r="A32" i="113"/>
  <c r="E31" i="113"/>
  <c r="A32" i="144"/>
  <c r="E31" i="144"/>
  <c r="A34" i="107"/>
  <c r="A35" i="107"/>
  <c r="E33" i="107"/>
  <c r="E34" i="107"/>
  <c r="E35" i="107"/>
  <c r="E32" i="113"/>
  <c r="A33" i="113"/>
  <c r="E32" i="144"/>
  <c r="A33" i="144"/>
  <c r="A34" i="113"/>
  <c r="E33" i="113"/>
  <c r="A34" i="144"/>
  <c r="E33" i="144"/>
  <c r="A35" i="113"/>
  <c r="E34" i="113"/>
  <c r="E35" i="113"/>
  <c r="A35" i="144"/>
  <c r="E34" i="144"/>
  <c r="E35" i="144"/>
  <c r="B3" i="17"/>
  <c r="E10" i="56"/>
  <c r="E17" i="111" s="1"/>
  <c r="O9" i="56"/>
  <c r="A7" i="89"/>
  <c r="A8" i="89"/>
  <c r="N9" i="138"/>
  <c r="N13" i="138" s="1"/>
  <c r="J28" i="117"/>
  <c r="D20" i="47"/>
  <c r="F33" i="79"/>
  <c r="F31" i="79"/>
  <c r="F29" i="79"/>
  <c r="F27" i="79"/>
  <c r="F25" i="79"/>
  <c r="F23" i="79"/>
  <c r="F21" i="79"/>
  <c r="F19" i="79"/>
  <c r="F17" i="79"/>
  <c r="F15" i="79"/>
  <c r="F13" i="79"/>
  <c r="D18" i="47"/>
  <c r="G15" i="35"/>
  <c r="G16" i="35"/>
  <c r="G17" i="35"/>
  <c r="G18" i="35"/>
  <c r="G19" i="35"/>
  <c r="G20" i="35"/>
  <c r="G21" i="35"/>
  <c r="G22" i="35"/>
  <c r="G23" i="35"/>
  <c r="G24" i="35"/>
  <c r="G14" i="35"/>
  <c r="F14" i="51"/>
  <c r="F15" i="51"/>
  <c r="F16" i="51"/>
  <c r="F17" i="51"/>
  <c r="F18" i="51"/>
  <c r="F19" i="51"/>
  <c r="F20" i="51"/>
  <c r="F21" i="51"/>
  <c r="F22" i="51"/>
  <c r="F23" i="51"/>
  <c r="F13" i="51"/>
  <c r="F14" i="24"/>
  <c r="F15" i="24"/>
  <c r="F16" i="24"/>
  <c r="F17" i="24"/>
  <c r="F18" i="24"/>
  <c r="F19" i="24"/>
  <c r="F20" i="24"/>
  <c r="F21" i="24"/>
  <c r="F22" i="24"/>
  <c r="F23" i="24"/>
  <c r="F13" i="24"/>
  <c r="A3" i="79"/>
  <c r="A3" i="143" s="1"/>
  <c r="A3" i="144"/>
  <c r="N58" i="111"/>
  <c r="M58" i="111"/>
  <c r="F61" i="111"/>
  <c r="K58" i="111"/>
  <c r="K61" i="111" s="1"/>
  <c r="K63" i="111" s="1"/>
  <c r="J58" i="111"/>
  <c r="N59" i="111"/>
  <c r="O59" i="111" s="1"/>
  <c r="M59" i="111"/>
  <c r="K59" i="111"/>
  <c r="J59" i="111"/>
  <c r="I59" i="111"/>
  <c r="I61" i="111"/>
  <c r="I63" i="111" s="1"/>
  <c r="H59" i="111"/>
  <c r="E59" i="111"/>
  <c r="D59" i="111"/>
  <c r="G59" i="111"/>
  <c r="L59" i="111"/>
  <c r="L61" i="111" s="1"/>
  <c r="L63" i="111" s="1"/>
  <c r="M61" i="111"/>
  <c r="M63" i="111" s="1"/>
  <c r="B33" i="79"/>
  <c r="B30" i="107" s="1"/>
  <c r="B31" i="79"/>
  <c r="B29" i="79"/>
  <c r="B26" i="113" s="1"/>
  <c r="B27" i="79"/>
  <c r="B25" i="79"/>
  <c r="B22" i="113" s="1"/>
  <c r="B23" i="79"/>
  <c r="B20" i="113" s="1"/>
  <c r="B21" i="79"/>
  <c r="B18" i="107" s="1"/>
  <c r="B19" i="79"/>
  <c r="B16" i="107" s="1"/>
  <c r="B17" i="79"/>
  <c r="B14" i="107" s="1"/>
  <c r="B15" i="79"/>
  <c r="B13" i="79"/>
  <c r="B10" i="144" s="1"/>
  <c r="B11" i="79"/>
  <c r="B8" i="144" s="1"/>
  <c r="B12" i="113"/>
  <c r="B12" i="144"/>
  <c r="B12" i="107"/>
  <c r="B28" i="113"/>
  <c r="B28" i="144"/>
  <c r="B28" i="107"/>
  <c r="B22" i="107"/>
  <c r="B22" i="144"/>
  <c r="B16" i="144"/>
  <c r="B16" i="113"/>
  <c r="B24" i="107"/>
  <c r="B24" i="144"/>
  <c r="B24" i="113"/>
  <c r="B18" i="113"/>
  <c r="B26" i="144"/>
  <c r="B8" i="107"/>
  <c r="B4" i="46"/>
  <c r="B3" i="147" s="1"/>
  <c r="J28" i="120"/>
  <c r="J27" i="120"/>
  <c r="C28" i="120"/>
  <c r="C43" i="120" s="1"/>
  <c r="C38" i="140" s="1"/>
  <c r="G28" i="120"/>
  <c r="G39" i="120" s="1"/>
  <c r="G34" i="140" s="1"/>
  <c r="K12" i="120"/>
  <c r="K13" i="120"/>
  <c r="K14" i="120"/>
  <c r="K15" i="120"/>
  <c r="K16" i="120"/>
  <c r="K17" i="120"/>
  <c r="K18" i="120"/>
  <c r="K19" i="120"/>
  <c r="K20" i="120"/>
  <c r="K21" i="120"/>
  <c r="K22" i="120"/>
  <c r="K23" i="120"/>
  <c r="K24" i="120"/>
  <c r="K25" i="120"/>
  <c r="A12" i="120"/>
  <c r="A13" i="120"/>
  <c r="A14" i="120"/>
  <c r="A15" i="120"/>
  <c r="A16" i="120"/>
  <c r="A17" i="120"/>
  <c r="A18" i="120"/>
  <c r="A19" i="120"/>
  <c r="A20" i="120"/>
  <c r="A21" i="120"/>
  <c r="A22" i="120"/>
  <c r="A23" i="120"/>
  <c r="A24" i="120"/>
  <c r="A25" i="120"/>
  <c r="F28" i="119"/>
  <c r="E28" i="119"/>
  <c r="J12" i="119"/>
  <c r="J13" i="119"/>
  <c r="J14" i="119"/>
  <c r="J15" i="119"/>
  <c r="J16" i="119"/>
  <c r="J17" i="119"/>
  <c r="J18" i="119"/>
  <c r="J19" i="119"/>
  <c r="J20" i="119"/>
  <c r="J21" i="119"/>
  <c r="J22" i="119"/>
  <c r="J23" i="119"/>
  <c r="J24" i="119"/>
  <c r="J25" i="119"/>
  <c r="A12" i="119"/>
  <c r="A13" i="119"/>
  <c r="A14" i="119"/>
  <c r="A15" i="119"/>
  <c r="A16" i="119"/>
  <c r="A17" i="119"/>
  <c r="A18" i="119"/>
  <c r="A19" i="119"/>
  <c r="A20" i="119"/>
  <c r="A21" i="119"/>
  <c r="A22" i="119"/>
  <c r="A23" i="119"/>
  <c r="A24" i="119"/>
  <c r="A25" i="119"/>
  <c r="E35" i="119"/>
  <c r="E12" i="140" s="1"/>
  <c r="E33" i="119"/>
  <c r="E10" i="140" s="1"/>
  <c r="F33" i="119"/>
  <c r="K26" i="120"/>
  <c r="K27" i="120"/>
  <c r="K28" i="120"/>
  <c r="A26" i="120"/>
  <c r="A27" i="120"/>
  <c r="A28" i="120"/>
  <c r="A26" i="119"/>
  <c r="A27" i="119"/>
  <c r="A28" i="119"/>
  <c r="J26" i="119"/>
  <c r="J27" i="119"/>
  <c r="J28" i="119"/>
  <c r="D28" i="119"/>
  <c r="D35" i="119" s="1"/>
  <c r="D12" i="140" s="1"/>
  <c r="H28" i="119"/>
  <c r="G28" i="119"/>
  <c r="A29" i="120"/>
  <c r="A30" i="120"/>
  <c r="A31" i="120"/>
  <c r="A32" i="120"/>
  <c r="A33" i="120"/>
  <c r="A34" i="120"/>
  <c r="A35" i="120"/>
  <c r="A36" i="120"/>
  <c r="A37" i="120"/>
  <c r="A38" i="120"/>
  <c r="A39" i="120"/>
  <c r="A40" i="120"/>
  <c r="A41" i="120"/>
  <c r="A42" i="120"/>
  <c r="A43" i="120"/>
  <c r="A44" i="120"/>
  <c r="A45" i="120"/>
  <c r="A29" i="119"/>
  <c r="A30" i="119"/>
  <c r="A31" i="119"/>
  <c r="A32" i="119"/>
  <c r="A33" i="119"/>
  <c r="A34" i="119"/>
  <c r="A35" i="119"/>
  <c r="A36" i="119"/>
  <c r="A37" i="119"/>
  <c r="A38" i="119"/>
  <c r="A39" i="119"/>
  <c r="A40" i="119"/>
  <c r="A41" i="119"/>
  <c r="A42" i="119"/>
  <c r="A43" i="119"/>
  <c r="A44" i="119"/>
  <c r="A45" i="119"/>
  <c r="K29" i="120"/>
  <c r="K30" i="120"/>
  <c r="K31" i="120"/>
  <c r="K32" i="120"/>
  <c r="K33" i="120"/>
  <c r="K34" i="120"/>
  <c r="K35" i="120"/>
  <c r="K36" i="120"/>
  <c r="K37" i="120"/>
  <c r="K38" i="120"/>
  <c r="K39" i="120"/>
  <c r="K40" i="120"/>
  <c r="K41" i="120"/>
  <c r="K42" i="120"/>
  <c r="K43" i="120"/>
  <c r="K44" i="120"/>
  <c r="K45" i="120"/>
  <c r="J29" i="119"/>
  <c r="J30" i="119"/>
  <c r="J31" i="119"/>
  <c r="J32" i="119"/>
  <c r="J33" i="119"/>
  <c r="J34" i="119"/>
  <c r="J35" i="119"/>
  <c r="J36" i="119"/>
  <c r="J37" i="119"/>
  <c r="J38" i="119"/>
  <c r="J39" i="119"/>
  <c r="J40" i="119"/>
  <c r="J41" i="119"/>
  <c r="J42" i="119"/>
  <c r="J43" i="119"/>
  <c r="J44" i="119"/>
  <c r="J45" i="119"/>
  <c r="G39" i="119"/>
  <c r="G16" i="140" s="1"/>
  <c r="G41" i="119"/>
  <c r="G18" i="140" s="1"/>
  <c r="K12" i="117"/>
  <c r="K13" i="117"/>
  <c r="K14" i="117"/>
  <c r="K15" i="117"/>
  <c r="K16" i="117"/>
  <c r="K17" i="117"/>
  <c r="K18" i="117"/>
  <c r="K19" i="117"/>
  <c r="K20" i="117"/>
  <c r="K21" i="117"/>
  <c r="K22" i="117"/>
  <c r="K23" i="117"/>
  <c r="K24" i="117"/>
  <c r="K25" i="117"/>
  <c r="A12" i="117"/>
  <c r="A13" i="117"/>
  <c r="A14" i="117"/>
  <c r="A15" i="117"/>
  <c r="A16" i="117"/>
  <c r="A17" i="117"/>
  <c r="A18" i="117"/>
  <c r="A19" i="117"/>
  <c r="A20" i="117"/>
  <c r="A21" i="117"/>
  <c r="A22" i="117"/>
  <c r="A23" i="117"/>
  <c r="A24" i="117"/>
  <c r="A25" i="117"/>
  <c r="J12" i="116"/>
  <c r="J13" i="116"/>
  <c r="J14" i="116"/>
  <c r="J15" i="116"/>
  <c r="J16" i="116"/>
  <c r="J17" i="116"/>
  <c r="J18" i="116"/>
  <c r="J19" i="116"/>
  <c r="J20" i="116"/>
  <c r="J21" i="116"/>
  <c r="J22" i="116"/>
  <c r="J23" i="116"/>
  <c r="J24" i="116"/>
  <c r="J25" i="116"/>
  <c r="A12" i="116"/>
  <c r="A13" i="116"/>
  <c r="A14" i="116"/>
  <c r="A15" i="116"/>
  <c r="A16" i="116"/>
  <c r="A17" i="116"/>
  <c r="A18" i="116"/>
  <c r="A19" i="116"/>
  <c r="A20" i="116"/>
  <c r="A21" i="116"/>
  <c r="A22" i="116"/>
  <c r="A23" i="116"/>
  <c r="A24" i="116"/>
  <c r="A25" i="116"/>
  <c r="I15" i="114"/>
  <c r="I16" i="114"/>
  <c r="I17" i="114"/>
  <c r="I18" i="114"/>
  <c r="I19" i="114"/>
  <c r="I20" i="114"/>
  <c r="I21" i="114"/>
  <c r="I22" i="114"/>
  <c r="I23" i="114"/>
  <c r="I24" i="114"/>
  <c r="I25" i="114"/>
  <c r="I26" i="114"/>
  <c r="I27" i="114"/>
  <c r="A15" i="114"/>
  <c r="A16" i="114"/>
  <c r="A17" i="114"/>
  <c r="A18" i="114"/>
  <c r="A19" i="114"/>
  <c r="A20" i="114"/>
  <c r="A21" i="114"/>
  <c r="A22" i="114"/>
  <c r="A23" i="114"/>
  <c r="A24" i="114"/>
  <c r="A25" i="114"/>
  <c r="A26" i="114"/>
  <c r="A27" i="114"/>
  <c r="J26" i="116"/>
  <c r="J27" i="116"/>
  <c r="J28" i="116"/>
  <c r="K26" i="117"/>
  <c r="K27" i="117"/>
  <c r="K28" i="117"/>
  <c r="A26" i="117"/>
  <c r="A27" i="117"/>
  <c r="A28" i="117"/>
  <c r="A26" i="116"/>
  <c r="A27" i="116"/>
  <c r="A28" i="116"/>
  <c r="J29" i="116"/>
  <c r="J30" i="116"/>
  <c r="J31" i="116"/>
  <c r="J32" i="116"/>
  <c r="J33" i="116"/>
  <c r="J34" i="116"/>
  <c r="J35" i="116"/>
  <c r="J36" i="116"/>
  <c r="J37" i="116"/>
  <c r="J38" i="116"/>
  <c r="J39" i="116"/>
  <c r="J40" i="116"/>
  <c r="J41" i="116"/>
  <c r="J42" i="116"/>
  <c r="J43" i="116"/>
  <c r="J44" i="116"/>
  <c r="J45" i="116"/>
  <c r="A29" i="116"/>
  <c r="A30" i="116"/>
  <c r="A31" i="116"/>
  <c r="A32" i="116"/>
  <c r="A33" i="116"/>
  <c r="A34" i="116"/>
  <c r="A35" i="116"/>
  <c r="A36" i="116"/>
  <c r="A37" i="116"/>
  <c r="A38" i="116"/>
  <c r="A39" i="116"/>
  <c r="A40" i="116"/>
  <c r="A41" i="116"/>
  <c r="A42" i="116"/>
  <c r="A43" i="116"/>
  <c r="A44" i="116"/>
  <c r="A45" i="116"/>
  <c r="A29" i="117"/>
  <c r="A30" i="117"/>
  <c r="A31" i="117"/>
  <c r="A32" i="117"/>
  <c r="A33" i="117"/>
  <c r="A34" i="117"/>
  <c r="A35" i="117"/>
  <c r="A36" i="117"/>
  <c r="A37" i="117"/>
  <c r="A38" i="117"/>
  <c r="A39" i="117"/>
  <c r="A40" i="117"/>
  <c r="A41" i="117"/>
  <c r="A42" i="117"/>
  <c r="A43" i="117"/>
  <c r="A44" i="117"/>
  <c r="A45" i="117"/>
  <c r="K29" i="117"/>
  <c r="K30" i="117"/>
  <c r="K31" i="117"/>
  <c r="K32" i="117"/>
  <c r="K33" i="117"/>
  <c r="K34" i="117"/>
  <c r="K35" i="117"/>
  <c r="K36" i="117"/>
  <c r="K37" i="117"/>
  <c r="K38" i="117"/>
  <c r="K39" i="117"/>
  <c r="K40" i="117"/>
  <c r="K41" i="117"/>
  <c r="K42" i="117"/>
  <c r="K43" i="117"/>
  <c r="K44" i="117"/>
  <c r="K45" i="117"/>
  <c r="O62" i="111"/>
  <c r="F63" i="111"/>
  <c r="C63" i="111"/>
  <c r="O60" i="111"/>
  <c r="H58" i="111"/>
  <c r="G58" i="111"/>
  <c r="G61" i="111" s="1"/>
  <c r="G63" i="111" s="1"/>
  <c r="E58" i="111"/>
  <c r="E61" i="111" s="1"/>
  <c r="D58" i="111"/>
  <c r="C50" i="111"/>
  <c r="C51" i="111" s="1"/>
  <c r="F11" i="111" s="1"/>
  <c r="N44" i="111"/>
  <c r="L44" i="111"/>
  <c r="K44" i="111"/>
  <c r="J44" i="111"/>
  <c r="H44" i="111"/>
  <c r="G44" i="111"/>
  <c r="F44" i="111"/>
  <c r="D44" i="111"/>
  <c r="C44" i="111"/>
  <c r="O36" i="111"/>
  <c r="N33" i="111"/>
  <c r="M33" i="111"/>
  <c r="L33" i="111"/>
  <c r="K33" i="111"/>
  <c r="J33" i="111"/>
  <c r="I33" i="111"/>
  <c r="H33" i="111"/>
  <c r="G33" i="111"/>
  <c r="F33" i="111"/>
  <c r="E33" i="111"/>
  <c r="D33" i="111"/>
  <c r="C33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O23" i="111"/>
  <c r="O24" i="111"/>
  <c r="C11" i="111"/>
  <c r="D11" i="111" s="1"/>
  <c r="E11" i="111" s="1"/>
  <c r="Q8" i="111"/>
  <c r="Q9" i="111"/>
  <c r="Q10" i="111"/>
  <c r="Q11" i="111"/>
  <c r="Q12" i="111"/>
  <c r="Q13" i="111"/>
  <c r="Q14" i="111"/>
  <c r="Q15" i="111"/>
  <c r="Q16" i="111"/>
  <c r="Q17" i="111"/>
  <c r="Q18" i="111"/>
  <c r="Q19" i="111"/>
  <c r="Q20" i="111"/>
  <c r="Q21" i="111"/>
  <c r="Q22" i="111"/>
  <c r="Q23" i="111"/>
  <c r="Q24" i="111"/>
  <c r="Q25" i="111"/>
  <c r="Q26" i="111"/>
  <c r="Q27" i="111"/>
  <c r="Q28" i="111"/>
  <c r="Q29" i="111"/>
  <c r="Q30" i="111"/>
  <c r="Q31" i="111"/>
  <c r="Q32" i="111"/>
  <c r="Q33" i="111"/>
  <c r="Q34" i="111"/>
  <c r="A8" i="111"/>
  <c r="A9" i="111"/>
  <c r="A10" i="111"/>
  <c r="A11" i="111"/>
  <c r="A12" i="111"/>
  <c r="A13" i="111"/>
  <c r="A14" i="111"/>
  <c r="A15" i="111"/>
  <c r="A16" i="111"/>
  <c r="A17" i="111"/>
  <c r="A18" i="111"/>
  <c r="A19" i="111"/>
  <c r="A20" i="111"/>
  <c r="A21" i="111"/>
  <c r="A22" i="111"/>
  <c r="A23" i="111"/>
  <c r="A24" i="111"/>
  <c r="A25" i="111"/>
  <c r="A26" i="111"/>
  <c r="A27" i="111"/>
  <c r="A28" i="111"/>
  <c r="A29" i="111"/>
  <c r="A30" i="111"/>
  <c r="A31" i="111"/>
  <c r="A32" i="111"/>
  <c r="A33" i="111"/>
  <c r="A34" i="111"/>
  <c r="O7" i="111"/>
  <c r="D61" i="111"/>
  <c r="D63" i="111"/>
  <c r="Q35" i="111"/>
  <c r="Q36" i="111"/>
  <c r="Q37" i="111"/>
  <c r="Q38" i="111"/>
  <c r="A35" i="111"/>
  <c r="A36" i="111"/>
  <c r="A37" i="111"/>
  <c r="A38" i="111"/>
  <c r="A39" i="111"/>
  <c r="A40" i="111"/>
  <c r="A41" i="111"/>
  <c r="A42" i="111"/>
  <c r="A43" i="111"/>
  <c r="A44" i="111"/>
  <c r="Q39" i="111"/>
  <c r="Q40" i="111"/>
  <c r="Q41" i="111"/>
  <c r="Q42" i="111"/>
  <c r="Q43" i="111"/>
  <c r="Q44" i="111"/>
  <c r="M19" i="56"/>
  <c r="C28" i="107" s="1"/>
  <c r="L19" i="56"/>
  <c r="C26" i="107" s="1"/>
  <c r="I19" i="56"/>
  <c r="C20" i="107" s="1"/>
  <c r="E19" i="56"/>
  <c r="C12" i="107" s="1"/>
  <c r="N20" i="108"/>
  <c r="M20" i="108"/>
  <c r="F20" i="108"/>
  <c r="E20" i="108"/>
  <c r="O43" i="97"/>
  <c r="N30" i="97"/>
  <c r="N43" i="97" s="1"/>
  <c r="M30" i="97"/>
  <c r="M43" i="97" s="1"/>
  <c r="L30" i="97"/>
  <c r="L43" i="97" s="1"/>
  <c r="K30" i="97"/>
  <c r="K43" i="97" s="1"/>
  <c r="J30" i="97"/>
  <c r="J43" i="97" s="1"/>
  <c r="I30" i="97"/>
  <c r="I43" i="97" s="1"/>
  <c r="H30" i="97"/>
  <c r="H43" i="97" s="1"/>
  <c r="G30" i="97"/>
  <c r="G43" i="97" s="1"/>
  <c r="F30" i="97"/>
  <c r="F43" i="97" s="1"/>
  <c r="E30" i="97"/>
  <c r="E43" i="97" s="1"/>
  <c r="D30" i="97"/>
  <c r="D43" i="97" s="1"/>
  <c r="C30" i="97"/>
  <c r="C43" i="97" s="1"/>
  <c r="B28" i="97"/>
  <c r="P5" i="97"/>
  <c r="P6" i="97"/>
  <c r="P7" i="97"/>
  <c r="P8" i="97"/>
  <c r="A5" i="97"/>
  <c r="A6" i="97"/>
  <c r="A7" i="97"/>
  <c r="A8" i="97"/>
  <c r="N47" i="97"/>
  <c r="M47" i="97"/>
  <c r="L47" i="97"/>
  <c r="K47" i="97"/>
  <c r="J47" i="97"/>
  <c r="I47" i="97"/>
  <c r="H47" i="97"/>
  <c r="G47" i="97"/>
  <c r="F47" i="97"/>
  <c r="E47" i="97"/>
  <c r="D47" i="97"/>
  <c r="C47" i="97"/>
  <c r="N46" i="97"/>
  <c r="K46" i="97"/>
  <c r="J46" i="97"/>
  <c r="J48" i="97" s="1"/>
  <c r="J33" i="97" s="1"/>
  <c r="I46" i="97"/>
  <c r="H23" i="97"/>
  <c r="G46" i="97"/>
  <c r="G48" i="97" s="1"/>
  <c r="G33" i="97" s="1"/>
  <c r="F46" i="97"/>
  <c r="D23" i="97"/>
  <c r="C46" i="97"/>
  <c r="M45" i="97"/>
  <c r="L45" i="97"/>
  <c r="K45" i="97"/>
  <c r="I45" i="97"/>
  <c r="H45" i="97"/>
  <c r="E45" i="97"/>
  <c r="D45" i="97"/>
  <c r="O18" i="97"/>
  <c r="N18" i="97"/>
  <c r="M18" i="97"/>
  <c r="L18" i="97"/>
  <c r="K18" i="97"/>
  <c r="J18" i="97"/>
  <c r="I18" i="97"/>
  <c r="H18" i="97"/>
  <c r="G18" i="97"/>
  <c r="F18" i="97"/>
  <c r="E18" i="97"/>
  <c r="D18" i="97"/>
  <c r="C18" i="97"/>
  <c r="N47" i="96"/>
  <c r="M47" i="96"/>
  <c r="L47" i="96"/>
  <c r="K47" i="96"/>
  <c r="J47" i="96"/>
  <c r="I47" i="96"/>
  <c r="H47" i="96"/>
  <c r="G47" i="96"/>
  <c r="F47" i="96"/>
  <c r="E47" i="96"/>
  <c r="D47" i="96"/>
  <c r="C47" i="96"/>
  <c r="N46" i="96"/>
  <c r="N48" i="96" s="1"/>
  <c r="N33" i="96" s="1"/>
  <c r="M46" i="96"/>
  <c r="L46" i="96"/>
  <c r="L48" i="96" s="1"/>
  <c r="L33" i="96" s="1"/>
  <c r="K46" i="96"/>
  <c r="K48" i="96" s="1"/>
  <c r="K33" i="96" s="1"/>
  <c r="J46" i="96"/>
  <c r="I46" i="96"/>
  <c r="H46" i="96"/>
  <c r="G46" i="96"/>
  <c r="G48" i="96" s="1"/>
  <c r="G33" i="96" s="1"/>
  <c r="F46" i="96"/>
  <c r="E46" i="96"/>
  <c r="D46" i="96"/>
  <c r="C46" i="96"/>
  <c r="C48" i="96" s="1"/>
  <c r="C33" i="96" s="1"/>
  <c r="N45" i="96"/>
  <c r="M45" i="96"/>
  <c r="L45" i="96"/>
  <c r="K45" i="96"/>
  <c r="J45" i="96"/>
  <c r="I45" i="96"/>
  <c r="H45" i="96"/>
  <c r="G45" i="96"/>
  <c r="F45" i="96"/>
  <c r="F48" i="96" s="1"/>
  <c r="F33" i="96" s="1"/>
  <c r="E45" i="96"/>
  <c r="O45" i="96" s="1"/>
  <c r="D45" i="96"/>
  <c r="C45" i="96"/>
  <c r="O43" i="96"/>
  <c r="N38" i="96"/>
  <c r="D23" i="24" s="1"/>
  <c r="M38" i="96"/>
  <c r="D22" i="24" s="1"/>
  <c r="L38" i="96"/>
  <c r="K38" i="96"/>
  <c r="D20" i="24" s="1"/>
  <c r="J38" i="96"/>
  <c r="I38" i="96"/>
  <c r="H38" i="96"/>
  <c r="D17" i="24" s="1"/>
  <c r="G38" i="96"/>
  <c r="D16" i="24" s="1"/>
  <c r="F38" i="96"/>
  <c r="D15" i="24" s="1"/>
  <c r="E38" i="96"/>
  <c r="D38" i="96"/>
  <c r="D13" i="24" s="1"/>
  <c r="C38" i="96"/>
  <c r="D12" i="24" s="1"/>
  <c r="N37" i="96"/>
  <c r="M37" i="96"/>
  <c r="L37" i="96"/>
  <c r="K37" i="96"/>
  <c r="J37" i="96"/>
  <c r="I37" i="96"/>
  <c r="H37" i="96"/>
  <c r="G37" i="96"/>
  <c r="F37" i="96"/>
  <c r="E37" i="96"/>
  <c r="D37" i="96"/>
  <c r="C37" i="96"/>
  <c r="N36" i="96"/>
  <c r="M36" i="96"/>
  <c r="L36" i="96"/>
  <c r="K36" i="96"/>
  <c r="J36" i="96"/>
  <c r="I36" i="96"/>
  <c r="H36" i="96"/>
  <c r="G36" i="96"/>
  <c r="F36" i="96"/>
  <c r="E36" i="96"/>
  <c r="D36" i="96"/>
  <c r="C36" i="96"/>
  <c r="N35" i="96"/>
  <c r="M35" i="96"/>
  <c r="L35" i="96"/>
  <c r="K35" i="96"/>
  <c r="J35" i="96"/>
  <c r="I35" i="96"/>
  <c r="H35" i="96"/>
  <c r="G35" i="96"/>
  <c r="F35" i="96"/>
  <c r="E35" i="96"/>
  <c r="D35" i="96"/>
  <c r="C35" i="96"/>
  <c r="N32" i="96"/>
  <c r="M32" i="96"/>
  <c r="L32" i="96"/>
  <c r="K32" i="96"/>
  <c r="J32" i="96"/>
  <c r="I32" i="96"/>
  <c r="H32" i="96"/>
  <c r="G32" i="96"/>
  <c r="F32" i="96"/>
  <c r="E32" i="96"/>
  <c r="D32" i="96"/>
  <c r="C32" i="96"/>
  <c r="N31" i="96"/>
  <c r="M31" i="96"/>
  <c r="L31" i="96"/>
  <c r="K31" i="96"/>
  <c r="J31" i="96"/>
  <c r="I31" i="96"/>
  <c r="H31" i="96"/>
  <c r="G31" i="96"/>
  <c r="F31" i="96"/>
  <c r="E31" i="96"/>
  <c r="D31" i="96"/>
  <c r="C31" i="96"/>
  <c r="N30" i="96"/>
  <c r="N43" i="96" s="1"/>
  <c r="M30" i="96"/>
  <c r="M43" i="96" s="1"/>
  <c r="L30" i="96"/>
  <c r="L43" i="96" s="1"/>
  <c r="K30" i="96"/>
  <c r="K43" i="96" s="1"/>
  <c r="J30" i="96"/>
  <c r="J43" i="96" s="1"/>
  <c r="I30" i="96"/>
  <c r="I43" i="96" s="1"/>
  <c r="H30" i="96"/>
  <c r="H43" i="96" s="1"/>
  <c r="G30" i="96"/>
  <c r="G43" i="96" s="1"/>
  <c r="F30" i="96"/>
  <c r="F43" i="96" s="1"/>
  <c r="E30" i="96"/>
  <c r="E43" i="96" s="1"/>
  <c r="D30" i="96"/>
  <c r="D43" i="96" s="1"/>
  <c r="C30" i="96"/>
  <c r="C43" i="96" s="1"/>
  <c r="B28" i="96"/>
  <c r="P5" i="96"/>
  <c r="P6" i="96" s="1"/>
  <c r="P7" i="96" s="1"/>
  <c r="P8" i="96" s="1"/>
  <c r="P9" i="96" s="1"/>
  <c r="P10" i="96" s="1"/>
  <c r="A5" i="96"/>
  <c r="A6" i="96" s="1"/>
  <c r="A7" i="96" s="1"/>
  <c r="A8" i="96" s="1"/>
  <c r="N23" i="96"/>
  <c r="M23" i="96"/>
  <c r="L23" i="96"/>
  <c r="K23" i="96"/>
  <c r="J23" i="96"/>
  <c r="I23" i="96"/>
  <c r="H23" i="96"/>
  <c r="G23" i="96"/>
  <c r="F23" i="96"/>
  <c r="E23" i="96"/>
  <c r="D23" i="96"/>
  <c r="C23" i="96"/>
  <c r="O22" i="96"/>
  <c r="O21" i="96"/>
  <c r="O20" i="96"/>
  <c r="O18" i="96"/>
  <c r="N18" i="96"/>
  <c r="M18" i="96"/>
  <c r="L18" i="96"/>
  <c r="K18" i="96"/>
  <c r="J18" i="96"/>
  <c r="I18" i="96"/>
  <c r="H18" i="96"/>
  <c r="G18" i="96"/>
  <c r="F18" i="96"/>
  <c r="E18" i="96"/>
  <c r="D18" i="96"/>
  <c r="C18" i="96"/>
  <c r="O13" i="96"/>
  <c r="O12" i="96"/>
  <c r="O11" i="96"/>
  <c r="O7" i="96"/>
  <c r="O6" i="96"/>
  <c r="G12" i="79"/>
  <c r="G13" i="79"/>
  <c r="G14" i="79"/>
  <c r="G15" i="79"/>
  <c r="G16" i="79"/>
  <c r="G17" i="79"/>
  <c r="G18" i="79"/>
  <c r="G19" i="79"/>
  <c r="G20" i="79"/>
  <c r="G21" i="79"/>
  <c r="G22" i="79"/>
  <c r="G23" i="79"/>
  <c r="G24" i="79"/>
  <c r="G25" i="79"/>
  <c r="G26" i="79"/>
  <c r="G27" i="79"/>
  <c r="G28" i="79"/>
  <c r="G29" i="79"/>
  <c r="G30" i="79"/>
  <c r="G31" i="79"/>
  <c r="G32" i="79"/>
  <c r="G33" i="79"/>
  <c r="G34" i="79"/>
  <c r="G35" i="79"/>
  <c r="G36" i="79"/>
  <c r="G37" i="79"/>
  <c r="G38" i="79"/>
  <c r="A12" i="79"/>
  <c r="A13" i="79"/>
  <c r="A14" i="79"/>
  <c r="A15" i="79"/>
  <c r="A16" i="79"/>
  <c r="A17" i="79"/>
  <c r="A18" i="79"/>
  <c r="A19" i="79"/>
  <c r="A20" i="79"/>
  <c r="A21" i="79"/>
  <c r="A22" i="79"/>
  <c r="A23" i="79"/>
  <c r="A24" i="79"/>
  <c r="A25" i="79"/>
  <c r="A26" i="79"/>
  <c r="A27" i="79"/>
  <c r="A28" i="79"/>
  <c r="A29" i="79"/>
  <c r="A30" i="79"/>
  <c r="A31" i="79"/>
  <c r="A32" i="79"/>
  <c r="A33" i="79"/>
  <c r="A34" i="79"/>
  <c r="A35" i="79"/>
  <c r="A36" i="79"/>
  <c r="A37" i="79"/>
  <c r="A38" i="79"/>
  <c r="Q8" i="56"/>
  <c r="A8" i="56"/>
  <c r="N5" i="56"/>
  <c r="M5" i="56"/>
  <c r="L5" i="56"/>
  <c r="K5" i="56"/>
  <c r="J5" i="56"/>
  <c r="I5" i="56"/>
  <c r="H5" i="56"/>
  <c r="G5" i="56"/>
  <c r="F5" i="56"/>
  <c r="E5" i="56"/>
  <c r="D5" i="56"/>
  <c r="P9" i="97"/>
  <c r="P10" i="97"/>
  <c r="P11" i="97"/>
  <c r="P12" i="97"/>
  <c r="P13" i="97"/>
  <c r="P14" i="97"/>
  <c r="P15" i="97"/>
  <c r="P16" i="97"/>
  <c r="P17" i="97"/>
  <c r="P18" i="97"/>
  <c r="P19" i="97"/>
  <c r="P20" i="97"/>
  <c r="P21" i="97"/>
  <c r="P22" i="97"/>
  <c r="P23" i="97"/>
  <c r="P24" i="97"/>
  <c r="P29" i="97"/>
  <c r="P30" i="97"/>
  <c r="P31" i="97"/>
  <c r="P32" i="97"/>
  <c r="P33" i="97"/>
  <c r="P36" i="97"/>
  <c r="P37" i="97"/>
  <c r="P38" i="97"/>
  <c r="P39" i="97"/>
  <c r="P40" i="97"/>
  <c r="P41" i="97"/>
  <c r="P42" i="97"/>
  <c r="P43" i="97"/>
  <c r="P44" i="97"/>
  <c r="P45" i="97"/>
  <c r="P46" i="97"/>
  <c r="P47" i="97"/>
  <c r="P48" i="97"/>
  <c r="P49" i="97"/>
  <c r="A9" i="97"/>
  <c r="A10" i="97"/>
  <c r="A11" i="97"/>
  <c r="A12" i="97"/>
  <c r="A13" i="97"/>
  <c r="A14" i="97"/>
  <c r="A15" i="97"/>
  <c r="A16" i="97"/>
  <c r="A17" i="97"/>
  <c r="A18" i="97"/>
  <c r="A19" i="97"/>
  <c r="A20" i="97"/>
  <c r="A21" i="97"/>
  <c r="A22" i="97"/>
  <c r="A23" i="97"/>
  <c r="A24" i="97"/>
  <c r="A29" i="97"/>
  <c r="A30" i="97"/>
  <c r="A31" i="97"/>
  <c r="A32" i="97"/>
  <c r="A33" i="97"/>
  <c r="A36" i="97"/>
  <c r="A37" i="97"/>
  <c r="A38" i="97"/>
  <c r="A39" i="97"/>
  <c r="A40" i="97"/>
  <c r="A41" i="97"/>
  <c r="A42" i="97"/>
  <c r="A43" i="97"/>
  <c r="A44" i="97"/>
  <c r="A45" i="97"/>
  <c r="A46" i="97"/>
  <c r="A47" i="97"/>
  <c r="A48" i="97"/>
  <c r="A49" i="97"/>
  <c r="D15" i="116"/>
  <c r="D15" i="119"/>
  <c r="D37" i="119" s="1"/>
  <c r="D14" i="140" s="1"/>
  <c r="H15" i="119"/>
  <c r="H15" i="116"/>
  <c r="F16" i="96"/>
  <c r="J14" i="96"/>
  <c r="N16" i="96"/>
  <c r="C14" i="96"/>
  <c r="D14" i="96"/>
  <c r="H14" i="96"/>
  <c r="L16" i="96"/>
  <c r="Q9" i="56"/>
  <c r="Q10" i="56"/>
  <c r="Q11" i="56"/>
  <c r="Q12" i="56"/>
  <c r="Q13" i="56"/>
  <c r="Q14" i="56"/>
  <c r="Q15" i="56"/>
  <c r="Q16" i="56"/>
  <c r="Q17" i="56"/>
  <c r="Q18" i="56"/>
  <c r="Q19" i="56"/>
  <c r="Q20" i="56"/>
  <c r="A9" i="56"/>
  <c r="A10" i="56"/>
  <c r="A11" i="56"/>
  <c r="A12" i="56"/>
  <c r="A13" i="56"/>
  <c r="A14" i="56"/>
  <c r="A15" i="56"/>
  <c r="G31" i="97"/>
  <c r="C32" i="97"/>
  <c r="K32" i="97"/>
  <c r="N35" i="97"/>
  <c r="N36" i="97"/>
  <c r="N37" i="97"/>
  <c r="F31" i="97"/>
  <c r="J31" i="97"/>
  <c r="N31" i="97"/>
  <c r="F32" i="97"/>
  <c r="J32" i="97"/>
  <c r="N32" i="97"/>
  <c r="E35" i="97"/>
  <c r="I35" i="97"/>
  <c r="M35" i="97"/>
  <c r="E36" i="97"/>
  <c r="I36" i="97"/>
  <c r="M36" i="97"/>
  <c r="E37" i="97"/>
  <c r="I37" i="97"/>
  <c r="M37" i="97"/>
  <c r="C31" i="97"/>
  <c r="G32" i="97"/>
  <c r="J35" i="97"/>
  <c r="F36" i="97"/>
  <c r="O36" i="97" s="1"/>
  <c r="F37" i="97"/>
  <c r="D32" i="97"/>
  <c r="H32" i="97"/>
  <c r="L32" i="97"/>
  <c r="G35" i="97"/>
  <c r="K35" i="97"/>
  <c r="C36" i="97"/>
  <c r="G36" i="97"/>
  <c r="K36" i="97"/>
  <c r="C37" i="97"/>
  <c r="G37" i="97"/>
  <c r="K37" i="97"/>
  <c r="K31" i="97"/>
  <c r="F35" i="97"/>
  <c r="J36" i="97"/>
  <c r="J37" i="97"/>
  <c r="I31" i="97"/>
  <c r="E32" i="97"/>
  <c r="I32" i="97"/>
  <c r="M32" i="97"/>
  <c r="D35" i="97"/>
  <c r="H35" i="97"/>
  <c r="L35" i="97"/>
  <c r="D36" i="97"/>
  <c r="H36" i="97"/>
  <c r="L36" i="97"/>
  <c r="D37" i="97"/>
  <c r="H37" i="97"/>
  <c r="L37" i="97"/>
  <c r="I18" i="111"/>
  <c r="M18" i="111"/>
  <c r="O18" i="111" s="1"/>
  <c r="F18" i="111"/>
  <c r="N18" i="111"/>
  <c r="C18" i="111"/>
  <c r="G18" i="111"/>
  <c r="K18" i="111"/>
  <c r="E18" i="111"/>
  <c r="J18" i="111"/>
  <c r="D18" i="111"/>
  <c r="H18" i="111"/>
  <c r="L18" i="111"/>
  <c r="L23" i="97"/>
  <c r="D35" i="79"/>
  <c r="D37" i="79"/>
  <c r="D22" i="143"/>
  <c r="D26" i="143"/>
  <c r="O10" i="97"/>
  <c r="O11" i="97"/>
  <c r="O20" i="97"/>
  <c r="H16" i="97"/>
  <c r="I23" i="97"/>
  <c r="C45" i="97"/>
  <c r="F23" i="97"/>
  <c r="J23" i="97"/>
  <c r="N23" i="97"/>
  <c r="E23" i="97"/>
  <c r="M23" i="97"/>
  <c r="G16" i="96"/>
  <c r="G14" i="96"/>
  <c r="K16" i="96"/>
  <c r="K14" i="96"/>
  <c r="F14" i="96"/>
  <c r="N14" i="96"/>
  <c r="O22" i="97"/>
  <c r="D46" i="97"/>
  <c r="D48" i="97" s="1"/>
  <c r="D33" i="97" s="1"/>
  <c r="L46" i="97"/>
  <c r="L48" i="97" s="1"/>
  <c r="L33" i="97" s="1"/>
  <c r="G23" i="97"/>
  <c r="D31" i="97"/>
  <c r="L31" i="97"/>
  <c r="C35" i="97"/>
  <c r="F45" i="97"/>
  <c r="F48" i="97" s="1"/>
  <c r="F33" i="97" s="1"/>
  <c r="N45" i="97"/>
  <c r="N48" i="97" s="1"/>
  <c r="N33" i="97" s="1"/>
  <c r="E46" i="97"/>
  <c r="M46" i="97"/>
  <c r="M48" i="97" s="1"/>
  <c r="M33" i="97" s="1"/>
  <c r="D16" i="97"/>
  <c r="E31" i="97"/>
  <c r="M31" i="97"/>
  <c r="G45" i="97"/>
  <c r="H46" i="97"/>
  <c r="O7" i="97"/>
  <c r="C23" i="97"/>
  <c r="K23" i="97"/>
  <c r="H31" i="97"/>
  <c r="J45" i="97"/>
  <c r="O12" i="97"/>
  <c r="O6" i="97"/>
  <c r="O21" i="97"/>
  <c r="E14" i="96"/>
  <c r="E16" i="96"/>
  <c r="I14" i="96"/>
  <c r="I16" i="96"/>
  <c r="M14" i="96"/>
  <c r="M16" i="96"/>
  <c r="O13" i="56"/>
  <c r="E12" i="17"/>
  <c r="D19" i="32"/>
  <c r="C15" i="116"/>
  <c r="C15" i="119"/>
  <c r="F15" i="119"/>
  <c r="F37" i="119" s="1"/>
  <c r="F14" i="140" s="1"/>
  <c r="F15" i="116"/>
  <c r="E15" i="119"/>
  <c r="E37" i="119" s="1"/>
  <c r="E15" i="116"/>
  <c r="H15" i="120"/>
  <c r="H15" i="117"/>
  <c r="C15" i="117"/>
  <c r="C15" i="120"/>
  <c r="C37" i="120" s="1"/>
  <c r="C32" i="140" s="1"/>
  <c r="F15" i="120"/>
  <c r="F15" i="117"/>
  <c r="E15" i="120"/>
  <c r="E15" i="117"/>
  <c r="G15" i="119"/>
  <c r="G37" i="119" s="1"/>
  <c r="G14" i="140" s="1"/>
  <c r="G15" i="116"/>
  <c r="G15" i="120"/>
  <c r="G15" i="117"/>
  <c r="D15" i="120"/>
  <c r="D15" i="117"/>
  <c r="L14" i="96"/>
  <c r="D16" i="96"/>
  <c r="H16" i="96"/>
  <c r="C16" i="96"/>
  <c r="J16" i="96"/>
  <c r="O8" i="96"/>
  <c r="F16" i="97"/>
  <c r="K16" i="97"/>
  <c r="J16" i="97"/>
  <c r="C16" i="97"/>
  <c r="L16" i="97"/>
  <c r="I16" i="97"/>
  <c r="N16" i="97"/>
  <c r="F10" i="140"/>
  <c r="D10" i="56"/>
  <c r="D17" i="111" s="1"/>
  <c r="J10" i="56"/>
  <c r="C25" i="79" s="1"/>
  <c r="E25" i="79" s="1"/>
  <c r="K10" i="56"/>
  <c r="C27" i="79" s="1"/>
  <c r="E27" i="79" s="1"/>
  <c r="I10" i="56"/>
  <c r="I17" i="111" s="1"/>
  <c r="G10" i="56"/>
  <c r="C19" i="79" s="1"/>
  <c r="E19" i="79" s="1"/>
  <c r="M10" i="56"/>
  <c r="C31" i="79" s="1"/>
  <c r="N10" i="56"/>
  <c r="C33" i="79" s="1"/>
  <c r="E33" i="79" s="1"/>
  <c r="H10" i="56"/>
  <c r="C21" i="79" s="1"/>
  <c r="E21" i="79" s="1"/>
  <c r="C10" i="56"/>
  <c r="F10" i="56"/>
  <c r="M16" i="97"/>
  <c r="O8" i="97"/>
  <c r="G16" i="97"/>
  <c r="E16" i="97"/>
  <c r="C37" i="119"/>
  <c r="C14" i="140" s="1"/>
  <c r="C17" i="79"/>
  <c r="E17" i="79" s="1"/>
  <c r="F17" i="111"/>
  <c r="C29" i="79"/>
  <c r="E29" i="79" s="1"/>
  <c r="C11" i="79"/>
  <c r="E11" i="79" s="1"/>
  <c r="C17" i="111"/>
  <c r="K17" i="111"/>
  <c r="J17" i="111"/>
  <c r="O8" i="56"/>
  <c r="D26" i="47"/>
  <c r="D28" i="47"/>
  <c r="D24" i="47"/>
  <c r="D16" i="47"/>
  <c r="D14" i="47"/>
  <c r="D10" i="47"/>
  <c r="B4" i="22"/>
  <c r="B4" i="47"/>
  <c r="B15" i="32"/>
  <c r="B4" i="32"/>
  <c r="A4" i="51"/>
  <c r="A4" i="35" s="1"/>
  <c r="D21" i="24"/>
  <c r="D19" i="24"/>
  <c r="D18" i="24"/>
  <c r="D14" i="24"/>
  <c r="B23" i="35"/>
  <c r="B22" i="35"/>
  <c r="B21" i="35"/>
  <c r="B20" i="35"/>
  <c r="B19" i="35"/>
  <c r="B18" i="35"/>
  <c r="B17" i="35"/>
  <c r="B16" i="35"/>
  <c r="B15" i="35"/>
  <c r="B14" i="35"/>
  <c r="B13" i="35"/>
  <c r="A9" i="89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H11" i="17"/>
  <c r="H12" i="17"/>
  <c r="H13" i="17"/>
  <c r="H14" i="17"/>
  <c r="H15" i="17"/>
  <c r="H16" i="17"/>
  <c r="H17" i="17"/>
  <c r="H18" i="17"/>
  <c r="H19" i="17"/>
  <c r="H20" i="17"/>
  <c r="H21" i="17"/>
  <c r="H22" i="17"/>
  <c r="A11" i="17"/>
  <c r="A12" i="17"/>
  <c r="A13" i="17"/>
  <c r="A14" i="17"/>
  <c r="A15" i="17"/>
  <c r="A16" i="17"/>
  <c r="A17" i="17"/>
  <c r="A18" i="17"/>
  <c r="A19" i="17"/>
  <c r="A20" i="17"/>
  <c r="G14" i="32"/>
  <c r="G15" i="32" s="1"/>
  <c r="G16" i="32" s="1"/>
  <c r="G17" i="32" s="1"/>
  <c r="G18" i="32" s="1"/>
  <c r="G19" i="32" s="1"/>
  <c r="G20" i="32" s="1"/>
  <c r="G21" i="32" s="1"/>
  <c r="G22" i="32" s="1"/>
  <c r="G23" i="32" s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A14" i="32"/>
  <c r="A15" i="32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E11" i="47"/>
  <c r="E12" i="47"/>
  <c r="E13" i="47"/>
  <c r="E14" i="47"/>
  <c r="E15" i="47"/>
  <c r="E16" i="47"/>
  <c r="E17" i="47"/>
  <c r="A11" i="46"/>
  <c r="A12" i="46"/>
  <c r="A13" i="46"/>
  <c r="A14" i="46"/>
  <c r="A15" i="46"/>
  <c r="A16" i="46"/>
  <c r="A17" i="46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E11" i="46"/>
  <c r="E12" i="46"/>
  <c r="E13" i="46"/>
  <c r="E14" i="46"/>
  <c r="E15" i="46"/>
  <c r="E16" i="46"/>
  <c r="E17" i="46"/>
  <c r="A11" i="47"/>
  <c r="A12" i="47"/>
  <c r="A13" i="47"/>
  <c r="A14" i="47"/>
  <c r="A15" i="47"/>
  <c r="A16" i="47"/>
  <c r="A17" i="47"/>
  <c r="D13" i="22"/>
  <c r="C13" i="22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14" i="22"/>
  <c r="A15" i="22"/>
  <c r="A16" i="22"/>
  <c r="A17" i="22"/>
  <c r="A18" i="22"/>
  <c r="A19" i="22"/>
  <c r="A20" i="22"/>
  <c r="A21" i="22"/>
  <c r="A22" i="22"/>
  <c r="A23" i="22"/>
  <c r="G14" i="22"/>
  <c r="G15" i="22"/>
  <c r="G16" i="22"/>
  <c r="G17" i="22"/>
  <c r="G18" i="22"/>
  <c r="G19" i="22"/>
  <c r="G20" i="22"/>
  <c r="G21" i="22"/>
  <c r="G22" i="22"/>
  <c r="G23" i="22"/>
  <c r="A40" i="35"/>
  <c r="A21" i="17"/>
  <c r="A22" i="17"/>
  <c r="A23" i="17"/>
  <c r="A24" i="17"/>
  <c r="H23" i="17"/>
  <c r="H24" i="17"/>
  <c r="C8" i="89"/>
  <c r="C9" i="89"/>
  <c r="E18" i="47"/>
  <c r="E19" i="47"/>
  <c r="E20" i="47"/>
  <c r="E21" i="47"/>
  <c r="E22" i="47"/>
  <c r="E23" i="47"/>
  <c r="E24" i="47"/>
  <c r="E25" i="47"/>
  <c r="A18" i="47"/>
  <c r="A19" i="47"/>
  <c r="A20" i="47"/>
  <c r="A21" i="47"/>
  <c r="A22" i="47"/>
  <c r="A23" i="47"/>
  <c r="A24" i="47"/>
  <c r="A25" i="47"/>
  <c r="E18" i="46"/>
  <c r="E19" i="46"/>
  <c r="E20" i="46"/>
  <c r="E21" i="46"/>
  <c r="E22" i="46"/>
  <c r="E23" i="46"/>
  <c r="E24" i="46"/>
  <c r="E25" i="46"/>
  <c r="A18" i="46"/>
  <c r="A19" i="46"/>
  <c r="A20" i="46"/>
  <c r="A21" i="46"/>
  <c r="A22" i="46"/>
  <c r="A23" i="46"/>
  <c r="A24" i="46"/>
  <c r="B24" i="35"/>
  <c r="E26" i="47"/>
  <c r="E27" i="47"/>
  <c r="E28" i="47"/>
  <c r="E29" i="47"/>
  <c r="E30" i="47"/>
  <c r="E31" i="47"/>
  <c r="E32" i="47"/>
  <c r="E33" i="47"/>
  <c r="E34" i="47"/>
  <c r="E35" i="47"/>
  <c r="E36" i="47"/>
  <c r="A26" i="47"/>
  <c r="A27" i="47"/>
  <c r="A28" i="47"/>
  <c r="A29" i="47"/>
  <c r="A30" i="47"/>
  <c r="A31" i="47"/>
  <c r="A32" i="47"/>
  <c r="A33" i="47"/>
  <c r="A34" i="47"/>
  <c r="A35" i="47"/>
  <c r="A36" i="47"/>
  <c r="A25" i="46"/>
  <c r="A26" i="46"/>
  <c r="A27" i="46"/>
  <c r="A28" i="46"/>
  <c r="A29" i="46"/>
  <c r="A30" i="46"/>
  <c r="A31" i="46"/>
  <c r="A32" i="46"/>
  <c r="E26" i="46"/>
  <c r="E27" i="46"/>
  <c r="E28" i="46"/>
  <c r="E29" i="46"/>
  <c r="E30" i="46"/>
  <c r="E31" i="46"/>
  <c r="E32" i="46"/>
  <c r="C18" i="35"/>
  <c r="E18" i="35" s="1"/>
  <c r="C20" i="35"/>
  <c r="C19" i="35"/>
  <c r="O13" i="97"/>
  <c r="A16" i="56"/>
  <c r="A17" i="56"/>
  <c r="A18" i="56"/>
  <c r="A19" i="56"/>
  <c r="A20" i="56"/>
  <c r="C16" i="47" l="1"/>
  <c r="E30" i="143"/>
  <c r="C16" i="46"/>
  <c r="D20" i="111"/>
  <c r="E21" i="108" s="1"/>
  <c r="E22" i="108" s="1"/>
  <c r="C10" i="107"/>
  <c r="M20" i="111"/>
  <c r="N21" i="108" s="1"/>
  <c r="L20" i="111"/>
  <c r="M21" i="108" s="1"/>
  <c r="O23" i="97"/>
  <c r="E48" i="97"/>
  <c r="E33" i="97" s="1"/>
  <c r="E15" i="35"/>
  <c r="C23" i="117"/>
  <c r="E14" i="35"/>
  <c r="O31" i="97"/>
  <c r="O37" i="97"/>
  <c r="C23" i="120"/>
  <c r="E20" i="35"/>
  <c r="F20" i="35" s="1"/>
  <c r="D23" i="120"/>
  <c r="D23" i="116"/>
  <c r="D23" i="117"/>
  <c r="E17" i="35"/>
  <c r="F18" i="35"/>
  <c r="F14" i="35"/>
  <c r="F24" i="35"/>
  <c r="F23" i="35"/>
  <c r="F22" i="35"/>
  <c r="F15" i="35"/>
  <c r="F16" i="35"/>
  <c r="F17" i="35"/>
  <c r="J61" i="111"/>
  <c r="J63" i="111" s="1"/>
  <c r="H61" i="111"/>
  <c r="H63" i="111" s="1"/>
  <c r="N61" i="111"/>
  <c r="N63" i="111" s="1"/>
  <c r="C23" i="79"/>
  <c r="E23" i="79" s="1"/>
  <c r="H48" i="97"/>
  <c r="H33" i="97" s="1"/>
  <c r="H41" i="97" s="1"/>
  <c r="O45" i="97"/>
  <c r="L39" i="97"/>
  <c r="C21" i="51" s="1"/>
  <c r="E21" i="51" s="1"/>
  <c r="O46" i="97"/>
  <c r="I48" i="97"/>
  <c r="I33" i="97" s="1"/>
  <c r="I39" i="97" s="1"/>
  <c r="C18" i="51" s="1"/>
  <c r="E18" i="51" s="1"/>
  <c r="O47" i="97"/>
  <c r="O48" i="97" s="1"/>
  <c r="D26" i="51"/>
  <c r="G43" i="119"/>
  <c r="G20" i="140" s="1"/>
  <c r="I13" i="120"/>
  <c r="E23" i="120"/>
  <c r="O34" i="97"/>
  <c r="J41" i="97"/>
  <c r="O32" i="97"/>
  <c r="I21" i="120"/>
  <c r="I15" i="120"/>
  <c r="O35" i="97"/>
  <c r="I11" i="117"/>
  <c r="H23" i="116"/>
  <c r="I21" i="117"/>
  <c r="H23" i="119"/>
  <c r="F23" i="119"/>
  <c r="G23" i="120"/>
  <c r="I17" i="120"/>
  <c r="E21" i="35"/>
  <c r="O14" i="97"/>
  <c r="C39" i="120"/>
  <c r="C34" i="140" s="1"/>
  <c r="I19" i="120"/>
  <c r="E19" i="35"/>
  <c r="F19" i="35" s="1"/>
  <c r="D23" i="119"/>
  <c r="D43" i="119"/>
  <c r="D20" i="140" s="1"/>
  <c r="I11" i="120"/>
  <c r="C23" i="116"/>
  <c r="G23" i="116"/>
  <c r="I19" i="117"/>
  <c r="G23" i="117"/>
  <c r="O38" i="97"/>
  <c r="O16" i="97"/>
  <c r="F23" i="116"/>
  <c r="F23" i="120"/>
  <c r="F41" i="97"/>
  <c r="I15" i="117"/>
  <c r="H23" i="117"/>
  <c r="F23" i="117"/>
  <c r="H39" i="119"/>
  <c r="H16" i="140" s="1"/>
  <c r="J19" i="56"/>
  <c r="C22" i="107" s="1"/>
  <c r="E20" i="111"/>
  <c r="F21" i="108" s="1"/>
  <c r="F22" i="108" s="1"/>
  <c r="C20" i="111"/>
  <c r="D21" i="108" s="1"/>
  <c r="C8" i="107"/>
  <c r="D20" i="108"/>
  <c r="K19" i="56"/>
  <c r="M22" i="108"/>
  <c r="D16" i="56"/>
  <c r="D24" i="56" s="1"/>
  <c r="G17" i="111"/>
  <c r="C15" i="79"/>
  <c r="E15" i="79" s="1"/>
  <c r="H5" i="111"/>
  <c r="H56" i="111" s="1"/>
  <c r="M5" i="111"/>
  <c r="M56" i="111" s="1"/>
  <c r="H37" i="119"/>
  <c r="H14" i="140" s="1"/>
  <c r="D28" i="120"/>
  <c r="C41" i="120"/>
  <c r="C36" i="140" s="1"/>
  <c r="H41" i="119"/>
  <c r="H18" i="140" s="1"/>
  <c r="G35" i="120"/>
  <c r="G30" i="140" s="1"/>
  <c r="B20" i="144"/>
  <c r="B20" i="107"/>
  <c r="B18" i="144"/>
  <c r="E45" i="143"/>
  <c r="I20" i="111"/>
  <c r="J21" i="108" s="1"/>
  <c r="J22" i="108" s="1"/>
  <c r="N22" i="108"/>
  <c r="J20" i="111"/>
  <c r="K21" i="108" s="1"/>
  <c r="K22" i="108" s="1"/>
  <c r="G19" i="56"/>
  <c r="F19" i="56"/>
  <c r="F24" i="56" s="1"/>
  <c r="N19" i="56"/>
  <c r="C30" i="107" s="1"/>
  <c r="G51" i="141"/>
  <c r="H48" i="141"/>
  <c r="G16" i="56" s="1"/>
  <c r="I48" i="141"/>
  <c r="H16" i="56" s="1"/>
  <c r="O10" i="56"/>
  <c r="E16" i="143"/>
  <c r="C18" i="143" s="1"/>
  <c r="H17" i="111"/>
  <c r="C13" i="79"/>
  <c r="E13" i="79" s="1"/>
  <c r="O61" i="111"/>
  <c r="E63" i="111"/>
  <c r="O63" i="111" s="1"/>
  <c r="N5" i="111"/>
  <c r="N56" i="111" s="1"/>
  <c r="K5" i="111"/>
  <c r="K56" i="111" s="1"/>
  <c r="J5" i="111"/>
  <c r="J56" i="111" s="1"/>
  <c r="I5" i="111"/>
  <c r="I56" i="111" s="1"/>
  <c r="E11" i="147"/>
  <c r="D13" i="147" s="1"/>
  <c r="D15" i="147" s="1"/>
  <c r="D35" i="32" s="1"/>
  <c r="D17" i="22" s="1"/>
  <c r="H43" i="119"/>
  <c r="H20" i="140" s="1"/>
  <c r="G41" i="120"/>
  <c r="G36" i="140" s="1"/>
  <c r="E28" i="120"/>
  <c r="H35" i="119"/>
  <c r="H12" i="140" s="1"/>
  <c r="E43" i="119"/>
  <c r="E20" i="140" s="1"/>
  <c r="F28" i="120"/>
  <c r="G35" i="119"/>
  <c r="G12" i="140" s="1"/>
  <c r="F39" i="119"/>
  <c r="F16" i="140" s="1"/>
  <c r="F22" i="140" s="1"/>
  <c r="E41" i="119"/>
  <c r="E18" i="140" s="1"/>
  <c r="D33" i="120"/>
  <c r="D28" i="140" s="1"/>
  <c r="H28" i="120"/>
  <c r="E39" i="119"/>
  <c r="E16" i="140" s="1"/>
  <c r="D41" i="119"/>
  <c r="D18" i="140" s="1"/>
  <c r="G37" i="120"/>
  <c r="G32" i="140" s="1"/>
  <c r="D35" i="120"/>
  <c r="D30" i="140" s="1"/>
  <c r="G33" i="120"/>
  <c r="G28" i="140" s="1"/>
  <c r="C33" i="120"/>
  <c r="C28" i="140" s="1"/>
  <c r="G33" i="119"/>
  <c r="G10" i="140" s="1"/>
  <c r="A5" i="120"/>
  <c r="F21" i="35"/>
  <c r="D41" i="97"/>
  <c r="J39" i="97"/>
  <c r="C19" i="51" s="1"/>
  <c r="E19" i="51" s="1"/>
  <c r="M41" i="97"/>
  <c r="L41" i="97"/>
  <c r="N41" i="97"/>
  <c r="F39" i="97"/>
  <c r="C15" i="51" s="1"/>
  <c r="E15" i="51" s="1"/>
  <c r="K48" i="97"/>
  <c r="K33" i="97" s="1"/>
  <c r="K41" i="97" s="1"/>
  <c r="C48" i="97"/>
  <c r="C33" i="97" s="1"/>
  <c r="K39" i="97"/>
  <c r="C20" i="51" s="1"/>
  <c r="E20" i="51" s="1"/>
  <c r="G41" i="97"/>
  <c r="D39" i="97"/>
  <c r="C13" i="51" s="1"/>
  <c r="E13" i="51" s="1"/>
  <c r="E41" i="97"/>
  <c r="H39" i="97"/>
  <c r="C17" i="51" s="1"/>
  <c r="E17" i="51" s="1"/>
  <c r="E14" i="140"/>
  <c r="F13" i="35"/>
  <c r="C12" i="140"/>
  <c r="C10" i="140"/>
  <c r="C45" i="119"/>
  <c r="N39" i="97"/>
  <c r="C23" i="51" s="1"/>
  <c r="E23" i="51" s="1"/>
  <c r="M39" i="97"/>
  <c r="C22" i="51" s="1"/>
  <c r="E22" i="51" s="1"/>
  <c r="H23" i="120"/>
  <c r="E23" i="116"/>
  <c r="C41" i="97"/>
  <c r="I41" i="97"/>
  <c r="I13" i="117"/>
  <c r="E41" i="120"/>
  <c r="E36" i="140" s="1"/>
  <c r="C26" i="35"/>
  <c r="E39" i="97"/>
  <c r="C14" i="51" s="1"/>
  <c r="E14" i="51" s="1"/>
  <c r="C23" i="119"/>
  <c r="C35" i="120"/>
  <c r="C30" i="140" s="1"/>
  <c r="I17" i="117"/>
  <c r="G39" i="97"/>
  <c r="C16" i="51" s="1"/>
  <c r="E16" i="51" s="1"/>
  <c r="E23" i="119"/>
  <c r="H33" i="119"/>
  <c r="G23" i="119"/>
  <c r="J48" i="96"/>
  <c r="J33" i="96" s="1"/>
  <c r="J41" i="96" s="1"/>
  <c r="J10" i="111" s="1"/>
  <c r="J12" i="111" s="1"/>
  <c r="O34" i="96"/>
  <c r="G39" i="96"/>
  <c r="C16" i="24" s="1"/>
  <c r="E16" i="24" s="1"/>
  <c r="O35" i="96"/>
  <c r="B10" i="107"/>
  <c r="B14" i="113"/>
  <c r="B10" i="113"/>
  <c r="B30" i="113"/>
  <c r="B14" i="144"/>
  <c r="B26" i="107"/>
  <c r="B30" i="144"/>
  <c r="A3" i="113"/>
  <c r="A3" i="107" s="1"/>
  <c r="B8" i="113"/>
  <c r="E13" i="22"/>
  <c r="Q6" i="141"/>
  <c r="D48" i="141"/>
  <c r="K19" i="111"/>
  <c r="L51" i="141"/>
  <c r="A8" i="141"/>
  <c r="Q7" i="141"/>
  <c r="J48" i="141"/>
  <c r="I16" i="56" s="1"/>
  <c r="P17" i="108"/>
  <c r="E43" i="143" s="1"/>
  <c r="O51" i="141"/>
  <c r="N19" i="111"/>
  <c r="O52" i="141" s="1"/>
  <c r="C30" i="144"/>
  <c r="N17" i="111"/>
  <c r="P46" i="141"/>
  <c r="F51" i="141"/>
  <c r="M51" i="141"/>
  <c r="J19" i="111"/>
  <c r="K52" i="141" s="1"/>
  <c r="C22" i="144"/>
  <c r="J24" i="56"/>
  <c r="K51" i="141"/>
  <c r="C14" i="144"/>
  <c r="F19" i="111"/>
  <c r="G52" i="141" s="1"/>
  <c r="E24" i="56"/>
  <c r="E19" i="111"/>
  <c r="F52" i="141" s="1"/>
  <c r="C12" i="144"/>
  <c r="P20" i="141"/>
  <c r="E51" i="141"/>
  <c r="C18" i="107"/>
  <c r="H20" i="111"/>
  <c r="I20" i="108"/>
  <c r="O23" i="96"/>
  <c r="L19" i="111"/>
  <c r="L21" i="111" s="1"/>
  <c r="C26" i="144"/>
  <c r="L24" i="56"/>
  <c r="N51" i="141"/>
  <c r="C28" i="144"/>
  <c r="M19" i="111"/>
  <c r="M24" i="56"/>
  <c r="E31" i="79"/>
  <c r="E35" i="79" s="1"/>
  <c r="E37" i="79" s="1"/>
  <c r="C35" i="79"/>
  <c r="C37" i="79" s="1"/>
  <c r="C22" i="143" s="1"/>
  <c r="M17" i="111"/>
  <c r="M48" i="96"/>
  <c r="M33" i="96" s="1"/>
  <c r="M41" i="96" s="1"/>
  <c r="M10" i="111" s="1"/>
  <c r="M12" i="111" s="1"/>
  <c r="M13" i="111" s="1"/>
  <c r="M14" i="111" s="1"/>
  <c r="D48" i="96"/>
  <c r="D33" i="96" s="1"/>
  <c r="D41" i="96" s="1"/>
  <c r="D10" i="111" s="1"/>
  <c r="D12" i="111" s="1"/>
  <c r="D13" i="111" s="1"/>
  <c r="D14" i="111" s="1"/>
  <c r="H48" i="96"/>
  <c r="H33" i="96" s="1"/>
  <c r="H41" i="96" s="1"/>
  <c r="H10" i="111" s="1"/>
  <c r="H12" i="111" s="1"/>
  <c r="N41" i="96"/>
  <c r="N10" i="111" s="1"/>
  <c r="N12" i="111" s="1"/>
  <c r="N13" i="111" s="1"/>
  <c r="I48" i="96"/>
  <c r="I33" i="96" s="1"/>
  <c r="I39" i="96" s="1"/>
  <c r="C18" i="24" s="1"/>
  <c r="E18" i="24" s="1"/>
  <c r="A9" i="96"/>
  <c r="A10" i="96" s="1"/>
  <c r="A11" i="96" s="1"/>
  <c r="A12" i="96" s="1"/>
  <c r="A13" i="96" s="1"/>
  <c r="A14" i="96" s="1"/>
  <c r="A15" i="96" s="1"/>
  <c r="A16" i="96" s="1"/>
  <c r="A17" i="96" s="1"/>
  <c r="A18" i="96" s="1"/>
  <c r="A19" i="96" s="1"/>
  <c r="A20" i="96" s="1"/>
  <c r="A21" i="96" s="1"/>
  <c r="A22" i="96" s="1"/>
  <c r="A23" i="96" s="1"/>
  <c r="A24" i="96" s="1"/>
  <c r="A29" i="96" s="1"/>
  <c r="A30" i="96" s="1"/>
  <c r="A31" i="96" s="1"/>
  <c r="A32" i="96" s="1"/>
  <c r="A33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A48" i="96" s="1"/>
  <c r="A49" i="96" s="1"/>
  <c r="O47" i="96"/>
  <c r="P11" i="96"/>
  <c r="P12" i="96" s="1"/>
  <c r="P13" i="96" s="1"/>
  <c r="P14" i="96" s="1"/>
  <c r="P15" i="96" s="1"/>
  <c r="P16" i="96" s="1"/>
  <c r="P17" i="96" s="1"/>
  <c r="P18" i="96" s="1"/>
  <c r="P19" i="96" s="1"/>
  <c r="P20" i="96" s="1"/>
  <c r="P21" i="96" s="1"/>
  <c r="P22" i="96" s="1"/>
  <c r="P23" i="96" s="1"/>
  <c r="P24" i="96" s="1"/>
  <c r="P29" i="96" s="1"/>
  <c r="P30" i="96" s="1"/>
  <c r="P31" i="96" s="1"/>
  <c r="P32" i="96" s="1"/>
  <c r="P33" i="96" s="1"/>
  <c r="P36" i="96" s="1"/>
  <c r="P37" i="96" s="1"/>
  <c r="P38" i="96" s="1"/>
  <c r="P39" i="96" s="1"/>
  <c r="P40" i="96" s="1"/>
  <c r="P41" i="96" s="1"/>
  <c r="P42" i="96" s="1"/>
  <c r="P43" i="96" s="1"/>
  <c r="P44" i="96" s="1"/>
  <c r="P45" i="96" s="1"/>
  <c r="P46" i="96" s="1"/>
  <c r="P47" i="96" s="1"/>
  <c r="P48" i="96" s="1"/>
  <c r="P49" i="96" s="1"/>
  <c r="O16" i="96"/>
  <c r="O46" i="96"/>
  <c r="O48" i="96" s="1"/>
  <c r="N39" i="96"/>
  <c r="C23" i="24" s="1"/>
  <c r="E23" i="24" s="1"/>
  <c r="O36" i="96"/>
  <c r="D26" i="24"/>
  <c r="O31" i="96"/>
  <c r="O37" i="96"/>
  <c r="C41" i="96"/>
  <c r="C10" i="111" s="1"/>
  <c r="C12" i="111" s="1"/>
  <c r="C13" i="111" s="1"/>
  <c r="C39" i="96"/>
  <c r="C12" i="24" s="1"/>
  <c r="E12" i="24" s="1"/>
  <c r="K41" i="96"/>
  <c r="K10" i="111" s="1"/>
  <c r="K12" i="111" s="1"/>
  <c r="K13" i="111" s="1"/>
  <c r="L41" i="96"/>
  <c r="L10" i="111" s="1"/>
  <c r="L12" i="111" s="1"/>
  <c r="L13" i="111" s="1"/>
  <c r="F39" i="96"/>
  <c r="C15" i="24" s="1"/>
  <c r="E15" i="24" s="1"/>
  <c r="G41" i="96"/>
  <c r="G10" i="111" s="1"/>
  <c r="G12" i="111" s="1"/>
  <c r="G13" i="111" s="1"/>
  <c r="G14" i="111" s="1"/>
  <c r="E48" i="96"/>
  <c r="E33" i="96" s="1"/>
  <c r="F41" i="96"/>
  <c r="F10" i="111" s="1"/>
  <c r="F12" i="111" s="1"/>
  <c r="O32" i="96"/>
  <c r="O38" i="96"/>
  <c r="O14" i="96"/>
  <c r="K39" i="96"/>
  <c r="C20" i="24" s="1"/>
  <c r="E20" i="24" s="1"/>
  <c r="L39" i="96"/>
  <c r="C21" i="24" s="1"/>
  <c r="E21" i="24" s="1"/>
  <c r="N20" i="111" l="1"/>
  <c r="O21" i="108" s="1"/>
  <c r="O22" i="108" s="1"/>
  <c r="M39" i="96"/>
  <c r="C22" i="24" s="1"/>
  <c r="E22" i="24" s="1"/>
  <c r="D22" i="108"/>
  <c r="O33" i="97"/>
  <c r="O39" i="97" s="1"/>
  <c r="I23" i="117"/>
  <c r="C40" i="140"/>
  <c r="E26" i="35"/>
  <c r="E28" i="35" s="1"/>
  <c r="F26" i="35"/>
  <c r="F34" i="35" s="1"/>
  <c r="F40" i="35" s="1"/>
  <c r="O41" i="97"/>
  <c r="D18" i="143"/>
  <c r="D33" i="143" s="1"/>
  <c r="C39" i="97"/>
  <c r="C12" i="51" s="1"/>
  <c r="E12" i="51" s="1"/>
  <c r="E26" i="51" s="1"/>
  <c r="R42" i="97" s="1"/>
  <c r="D22" i="140"/>
  <c r="I23" i="120"/>
  <c r="G22" i="140"/>
  <c r="D19" i="111"/>
  <c r="E52" i="141" s="1"/>
  <c r="E53" i="141" s="1"/>
  <c r="C10" i="144"/>
  <c r="K20" i="111"/>
  <c r="L21" i="108" s="1"/>
  <c r="L22" i="108" s="1"/>
  <c r="C24" i="107"/>
  <c r="H51" i="141"/>
  <c r="G19" i="111"/>
  <c r="C16" i="56"/>
  <c r="C19" i="111" s="1"/>
  <c r="D52" i="141" s="1"/>
  <c r="E45" i="119"/>
  <c r="F45" i="119"/>
  <c r="G40" i="140"/>
  <c r="D39" i="120"/>
  <c r="D34" i="140" s="1"/>
  <c r="D41" i="120"/>
  <c r="D36" i="140" s="1"/>
  <c r="D43" i="120"/>
  <c r="D38" i="140" s="1"/>
  <c r="D37" i="120"/>
  <c r="G45" i="120"/>
  <c r="J39" i="96"/>
  <c r="C19" i="24" s="1"/>
  <c r="E19" i="24" s="1"/>
  <c r="C13" i="147"/>
  <c r="E13" i="147" s="1"/>
  <c r="E47" i="143"/>
  <c r="C47" i="143" s="1"/>
  <c r="C49" i="143" s="1"/>
  <c r="O19" i="56"/>
  <c r="F20" i="111"/>
  <c r="G21" i="108" s="1"/>
  <c r="G22" i="108" s="1"/>
  <c r="C14" i="107"/>
  <c r="N24" i="56"/>
  <c r="C16" i="107"/>
  <c r="G20" i="111"/>
  <c r="H21" i="108" s="1"/>
  <c r="H22" i="108" s="1"/>
  <c r="G53" i="141"/>
  <c r="I51" i="141"/>
  <c r="H24" i="56"/>
  <c r="C18" i="144"/>
  <c r="H19" i="111"/>
  <c r="I52" i="141" s="1"/>
  <c r="K24" i="56"/>
  <c r="J51" i="141"/>
  <c r="D51" i="141"/>
  <c r="L52" i="141"/>
  <c r="L53" i="141" s="1"/>
  <c r="C24" i="144"/>
  <c r="D45" i="119"/>
  <c r="F37" i="120"/>
  <c r="F32" i="140" s="1"/>
  <c r="F33" i="120"/>
  <c r="F28" i="140" s="1"/>
  <c r="F35" i="120"/>
  <c r="F30" i="140" s="1"/>
  <c r="F43" i="120"/>
  <c r="F38" i="140" s="1"/>
  <c r="F41" i="120"/>
  <c r="F36" i="140" s="1"/>
  <c r="F39" i="120"/>
  <c r="F34" i="140" s="1"/>
  <c r="C45" i="120"/>
  <c r="H37" i="120"/>
  <c r="H32" i="140" s="1"/>
  <c r="H39" i="120"/>
  <c r="H34" i="140" s="1"/>
  <c r="H33" i="120"/>
  <c r="H41" i="120"/>
  <c r="H36" i="140" s="1"/>
  <c r="H43" i="120"/>
  <c r="H38" i="140" s="1"/>
  <c r="E22" i="140"/>
  <c r="G45" i="119"/>
  <c r="H35" i="120"/>
  <c r="H30" i="140" s="1"/>
  <c r="E43" i="120"/>
  <c r="E33" i="120"/>
  <c r="E28" i="140" s="1"/>
  <c r="E37" i="120"/>
  <c r="E39" i="120"/>
  <c r="E35" i="120"/>
  <c r="E30" i="140" s="1"/>
  <c r="I35" i="120"/>
  <c r="C26" i="51"/>
  <c r="H10" i="140"/>
  <c r="H22" i="140" s="1"/>
  <c r="H45" i="119"/>
  <c r="C22" i="140"/>
  <c r="C21" i="22"/>
  <c r="E21" i="22"/>
  <c r="D21" i="22"/>
  <c r="P20" i="108"/>
  <c r="E21" i="111"/>
  <c r="E25" i="56" s="1"/>
  <c r="E26" i="56" s="1"/>
  <c r="Q8" i="141"/>
  <c r="A9" i="141"/>
  <c r="A10" i="141" s="1"/>
  <c r="N21" i="111"/>
  <c r="N25" i="111" s="1"/>
  <c r="O53" i="141"/>
  <c r="P48" i="141"/>
  <c r="P51" i="141" s="1"/>
  <c r="F53" i="141"/>
  <c r="J21" i="111"/>
  <c r="K53" i="141"/>
  <c r="I19" i="111"/>
  <c r="I24" i="56"/>
  <c r="C20" i="144"/>
  <c r="I21" i="108"/>
  <c r="I22" i="108" s="1"/>
  <c r="M52" i="141"/>
  <c r="M53" i="141" s="1"/>
  <c r="L25" i="111"/>
  <c r="L25" i="56"/>
  <c r="L26" i="56" s="1"/>
  <c r="N52" i="141"/>
  <c r="C33" i="143"/>
  <c r="O17" i="111"/>
  <c r="M21" i="111"/>
  <c r="C14" i="46"/>
  <c r="C14" i="47"/>
  <c r="E22" i="143"/>
  <c r="K14" i="111"/>
  <c r="H39" i="96"/>
  <c r="C17" i="24" s="1"/>
  <c r="E17" i="24" s="1"/>
  <c r="O33" i="96"/>
  <c r="O39" i="96" s="1"/>
  <c r="D39" i="96"/>
  <c r="C13" i="24" s="1"/>
  <c r="E13" i="24" s="1"/>
  <c r="N14" i="111"/>
  <c r="I41" i="96"/>
  <c r="I10" i="111" s="1"/>
  <c r="I12" i="111" s="1"/>
  <c r="I13" i="111" s="1"/>
  <c r="I14" i="111" s="1"/>
  <c r="L14" i="111"/>
  <c r="E39" i="96"/>
  <c r="C14" i="24" s="1"/>
  <c r="E14" i="24" s="1"/>
  <c r="E41" i="96"/>
  <c r="E10" i="111" s="1"/>
  <c r="E12" i="111" s="1"/>
  <c r="H13" i="111"/>
  <c r="H14" i="111" s="1"/>
  <c r="C14" i="111"/>
  <c r="F13" i="111"/>
  <c r="F14" i="111" s="1"/>
  <c r="J13" i="111"/>
  <c r="J14" i="111" s="1"/>
  <c r="D21" i="111" l="1"/>
  <c r="D25" i="56" s="1"/>
  <c r="D26" i="56" s="1"/>
  <c r="D25" i="111"/>
  <c r="D27" i="111" s="1"/>
  <c r="D31" i="111" s="1"/>
  <c r="E18" i="143"/>
  <c r="C24" i="143" s="1"/>
  <c r="E24" i="143" s="1"/>
  <c r="F40" i="140"/>
  <c r="I36" i="140"/>
  <c r="D22" i="114" s="1"/>
  <c r="I30" i="140"/>
  <c r="D16" i="114" s="1"/>
  <c r="C24" i="56"/>
  <c r="F21" i="111"/>
  <c r="F25" i="56" s="1"/>
  <c r="F26" i="56" s="1"/>
  <c r="C8" i="144"/>
  <c r="O20" i="111"/>
  <c r="P21" i="108" s="1"/>
  <c r="P22" i="108" s="1"/>
  <c r="K21" i="111"/>
  <c r="K25" i="111" s="1"/>
  <c r="K27" i="111" s="1"/>
  <c r="K31" i="111" s="1"/>
  <c r="D53" i="141"/>
  <c r="C21" i="111"/>
  <c r="C25" i="111" s="1"/>
  <c r="C27" i="111" s="1"/>
  <c r="D32" i="140"/>
  <c r="D40" i="140" s="1"/>
  <c r="D45" i="120"/>
  <c r="C15" i="147"/>
  <c r="C35" i="32" s="1"/>
  <c r="C17" i="22" s="1"/>
  <c r="E17" i="22" s="1"/>
  <c r="I53" i="141"/>
  <c r="D47" i="143"/>
  <c r="D49" i="143" s="1"/>
  <c r="E18" i="17" s="1"/>
  <c r="G24" i="56"/>
  <c r="C16" i="144"/>
  <c r="O16" i="56"/>
  <c r="C32" i="107"/>
  <c r="C34" i="107" s="1"/>
  <c r="H21" i="111"/>
  <c r="H25" i="111" s="1"/>
  <c r="H27" i="111" s="1"/>
  <c r="H31" i="111" s="1"/>
  <c r="E25" i="111"/>
  <c r="E45" i="120"/>
  <c r="E34" i="140"/>
  <c r="I34" i="140" s="1"/>
  <c r="D20" i="114" s="1"/>
  <c r="I39" i="120"/>
  <c r="E32" i="140"/>
  <c r="I37" i="120"/>
  <c r="H28" i="140"/>
  <c r="H40" i="140" s="1"/>
  <c r="H45" i="120"/>
  <c r="E38" i="140"/>
  <c r="I38" i="140" s="1"/>
  <c r="D24" i="114" s="1"/>
  <c r="I43" i="120"/>
  <c r="I41" i="120"/>
  <c r="F45" i="120"/>
  <c r="I33" i="120"/>
  <c r="O41" i="96"/>
  <c r="C26" i="143"/>
  <c r="E26" i="143" s="1"/>
  <c r="O19" i="111"/>
  <c r="Q9" i="141"/>
  <c r="N25" i="56"/>
  <c r="N26" i="56" s="1"/>
  <c r="N27" i="111"/>
  <c r="N31" i="111" s="1"/>
  <c r="J25" i="56"/>
  <c r="J26" i="56" s="1"/>
  <c r="J25" i="111"/>
  <c r="J27" i="111" s="1"/>
  <c r="J31" i="111" s="1"/>
  <c r="J52" i="141"/>
  <c r="J53" i="141" s="1"/>
  <c r="I21" i="111"/>
  <c r="H52" i="141"/>
  <c r="H53" i="141" s="1"/>
  <c r="G21" i="111"/>
  <c r="L27" i="111"/>
  <c r="L31" i="111" s="1"/>
  <c r="N53" i="141"/>
  <c r="C25" i="32"/>
  <c r="D18" i="17"/>
  <c r="C21" i="32"/>
  <c r="E33" i="143"/>
  <c r="D14" i="17"/>
  <c r="E14" i="17"/>
  <c r="D21" i="32"/>
  <c r="M25" i="56"/>
  <c r="M25" i="111"/>
  <c r="M27" i="111" s="1"/>
  <c r="M31" i="111" s="1"/>
  <c r="O10" i="111"/>
  <c r="C26" i="24"/>
  <c r="E26" i="24"/>
  <c r="C34" i="47" s="1"/>
  <c r="O12" i="111"/>
  <c r="E13" i="111"/>
  <c r="O13" i="111" s="1"/>
  <c r="O24" i="56" l="1"/>
  <c r="I28" i="140"/>
  <c r="D14" i="114" s="1"/>
  <c r="F25" i="111"/>
  <c r="F27" i="111" s="1"/>
  <c r="F31" i="111" s="1"/>
  <c r="C25" i="56"/>
  <c r="C26" i="56" s="1"/>
  <c r="K25" i="56"/>
  <c r="K26" i="56" s="1"/>
  <c r="O21" i="111"/>
  <c r="O25" i="111" s="1"/>
  <c r="C32" i="144"/>
  <c r="C34" i="144" s="1"/>
  <c r="C18" i="46" s="1"/>
  <c r="D12" i="17"/>
  <c r="F12" i="17" s="1"/>
  <c r="E15" i="147"/>
  <c r="E35" i="32"/>
  <c r="E49" i="143"/>
  <c r="D25" i="32"/>
  <c r="E25" i="32" s="1"/>
  <c r="C20" i="46"/>
  <c r="C20" i="47"/>
  <c r="H25" i="56"/>
  <c r="H26" i="56" s="1"/>
  <c r="C19" i="32"/>
  <c r="E19" i="32" s="1"/>
  <c r="I32" i="140"/>
  <c r="D18" i="114" s="1"/>
  <c r="E40" i="140"/>
  <c r="I45" i="120"/>
  <c r="F14" i="17"/>
  <c r="F18" i="17"/>
  <c r="P52" i="141"/>
  <c r="P53" i="141" s="1"/>
  <c r="I25" i="56"/>
  <c r="I26" i="56" s="1"/>
  <c r="I25" i="111"/>
  <c r="I27" i="111" s="1"/>
  <c r="I31" i="111" s="1"/>
  <c r="G25" i="56"/>
  <c r="G26" i="56" s="1"/>
  <c r="G25" i="111"/>
  <c r="G27" i="111" s="1"/>
  <c r="G31" i="111" s="1"/>
  <c r="E21" i="32"/>
  <c r="M26" i="56"/>
  <c r="R42" i="96"/>
  <c r="E14" i="111"/>
  <c r="C31" i="111"/>
  <c r="C32" i="111" s="1"/>
  <c r="C34" i="111" s="1"/>
  <c r="C38" i="111" s="1"/>
  <c r="D7" i="111" s="1"/>
  <c r="C18" i="47" l="1"/>
  <c r="C22" i="47" s="1"/>
  <c r="E37" i="143"/>
  <c r="D39" i="143" s="1"/>
  <c r="D23" i="32" s="1"/>
  <c r="D27" i="32" s="1"/>
  <c r="C22" i="46"/>
  <c r="D27" i="114"/>
  <c r="O25" i="56"/>
  <c r="O26" i="56" s="1"/>
  <c r="I40" i="140"/>
  <c r="A11" i="141"/>
  <c r="A12" i="141" s="1"/>
  <c r="Q10" i="141"/>
  <c r="E27" i="111"/>
  <c r="E31" i="111" s="1"/>
  <c r="O14" i="111"/>
  <c r="O27" i="111" s="1"/>
  <c r="D30" i="111"/>
  <c r="D32" i="111" s="1"/>
  <c r="D34" i="111" s="1"/>
  <c r="D38" i="111" s="1"/>
  <c r="E7" i="111" s="1"/>
  <c r="C39" i="143" l="1"/>
  <c r="C23" i="32" s="1"/>
  <c r="E23" i="32" s="1"/>
  <c r="E27" i="32" s="1"/>
  <c r="A13" i="141"/>
  <c r="Q13" i="141" s="1"/>
  <c r="Q12" i="141"/>
  <c r="E16" i="17"/>
  <c r="E20" i="17" s="1"/>
  <c r="Q11" i="141"/>
  <c r="E30" i="111"/>
  <c r="E32" i="111" s="1"/>
  <c r="E34" i="111" s="1"/>
  <c r="D16" i="17" l="1"/>
  <c r="D20" i="17" s="1"/>
  <c r="E39" i="143"/>
  <c r="C27" i="32"/>
  <c r="A14" i="141"/>
  <c r="E38" i="111"/>
  <c r="F7" i="111" s="1"/>
  <c r="F16" i="17" l="1"/>
  <c r="F20" i="17" s="1"/>
  <c r="E22" i="17" s="1"/>
  <c r="A15" i="141"/>
  <c r="Q14" i="141"/>
  <c r="F30" i="111"/>
  <c r="F32" i="111" s="1"/>
  <c r="F34" i="111" s="1"/>
  <c r="F38" i="111" s="1"/>
  <c r="G7" i="111" s="1"/>
  <c r="D22" i="17" l="1"/>
  <c r="F22" i="17" s="1"/>
  <c r="A16" i="141"/>
  <c r="Q15" i="141"/>
  <c r="G30" i="111"/>
  <c r="G32" i="111" s="1"/>
  <c r="G34" i="111" s="1"/>
  <c r="G38" i="111" s="1"/>
  <c r="H7" i="111" s="1"/>
  <c r="A17" i="141" l="1"/>
  <c r="Q16" i="141"/>
  <c r="H30" i="111"/>
  <c r="H32" i="111" s="1"/>
  <c r="H34" i="111" s="1"/>
  <c r="H38" i="111" s="1"/>
  <c r="I7" i="111" s="1"/>
  <c r="A18" i="141" l="1"/>
  <c r="Q17" i="141"/>
  <c r="I30" i="111"/>
  <c r="I32" i="111" s="1"/>
  <c r="I34" i="111" s="1"/>
  <c r="I38" i="111" s="1"/>
  <c r="J7" i="111" s="1"/>
  <c r="A19" i="141" l="1"/>
  <c r="Q18" i="141"/>
  <c r="J30" i="111"/>
  <c r="J32" i="111" s="1"/>
  <c r="J34" i="111" s="1"/>
  <c r="J38" i="111" s="1"/>
  <c r="K7" i="111" s="1"/>
  <c r="A20" i="141" l="1"/>
  <c r="Q19" i="141"/>
  <c r="K30" i="111"/>
  <c r="K32" i="111" s="1"/>
  <c r="K34" i="111" s="1"/>
  <c r="K38" i="111" s="1"/>
  <c r="L7" i="111" s="1"/>
  <c r="A21" i="141" l="1"/>
  <c r="Q20" i="141"/>
  <c r="L30" i="111"/>
  <c r="L32" i="111" s="1"/>
  <c r="L34" i="111" s="1"/>
  <c r="L38" i="111" s="1"/>
  <c r="M7" i="111" s="1"/>
  <c r="Q21" i="141" l="1"/>
  <c r="A22" i="141"/>
  <c r="M30" i="111"/>
  <c r="M32" i="111" s="1"/>
  <c r="M34" i="111" s="1"/>
  <c r="M38" i="111" s="1"/>
  <c r="N7" i="111" s="1"/>
  <c r="Q22" i="141" l="1"/>
  <c r="A23" i="141"/>
  <c r="A24" i="141" s="1"/>
  <c r="N30" i="111"/>
  <c r="N32" i="111" s="1"/>
  <c r="N34" i="111" s="1"/>
  <c r="O34" i="111" l="1"/>
  <c r="O38" i="111" s="1"/>
  <c r="A25" i="141"/>
  <c r="A26" i="141" s="1"/>
  <c r="Q24" i="141"/>
  <c r="Q23" i="141"/>
  <c r="Q26" i="141" l="1"/>
  <c r="A27" i="141"/>
  <c r="A28" i="141" s="1"/>
  <c r="A29" i="141" s="1"/>
  <c r="A30" i="141" s="1"/>
  <c r="A31" i="141" s="1"/>
  <c r="A32" i="141" s="1"/>
  <c r="A33" i="141" s="1"/>
  <c r="A34" i="141" s="1"/>
  <c r="A35" i="141" s="1"/>
  <c r="A36" i="141" s="1"/>
  <c r="A37" i="141" s="1"/>
  <c r="A38" i="141" s="1"/>
  <c r="A39" i="141" s="1"/>
  <c r="A40" i="141" s="1"/>
  <c r="A41" i="141" s="1"/>
  <c r="A42" i="141" s="1"/>
  <c r="A43" i="141" s="1"/>
  <c r="A44" i="141" s="1"/>
  <c r="A45" i="141" s="1"/>
  <c r="A46" i="141" s="1"/>
  <c r="A47" i="141" s="1"/>
  <c r="A48" i="141" s="1"/>
  <c r="A49" i="141" s="1"/>
  <c r="A50" i="141" s="1"/>
  <c r="A51" i="141" s="1"/>
  <c r="A52" i="141" s="1"/>
  <c r="A53" i="141" s="1"/>
  <c r="C10" i="17"/>
  <c r="E24" i="17" s="1"/>
  <c r="D15" i="32" s="1"/>
  <c r="D29" i="32" s="1"/>
  <c r="D31" i="32" s="1"/>
  <c r="C10" i="47"/>
  <c r="C24" i="47" s="1"/>
  <c r="C10" i="46"/>
  <c r="C24" i="46" s="1"/>
  <c r="N38" i="111"/>
  <c r="Q25" i="141"/>
  <c r="D24" i="17" l="1"/>
  <c r="C15" i="32" s="1"/>
  <c r="D33" i="32"/>
  <c r="C30" i="46" l="1"/>
  <c r="C32" i="46" s="1"/>
  <c r="F24" i="17"/>
  <c r="C32" i="47"/>
  <c r="C36" i="47" s="1"/>
  <c r="C28" i="116" s="1"/>
  <c r="C37" i="116" s="1"/>
  <c r="C30" i="47"/>
  <c r="Q27" i="141"/>
  <c r="E15" i="32"/>
  <c r="E29" i="32" s="1"/>
  <c r="C29" i="32"/>
  <c r="C31" i="32" s="1"/>
  <c r="D15" i="22"/>
  <c r="D19" i="22" s="1"/>
  <c r="D23" i="22" s="1"/>
  <c r="D37" i="32"/>
  <c r="C28" i="117" l="1"/>
  <c r="H28" i="117" s="1"/>
  <c r="C43" i="116"/>
  <c r="C20" i="139" s="1"/>
  <c r="C39" i="116"/>
  <c r="C16" i="139" s="1"/>
  <c r="C35" i="116"/>
  <c r="C12" i="139" s="1"/>
  <c r="C33" i="116"/>
  <c r="C10" i="139" s="1"/>
  <c r="D28" i="116"/>
  <c r="D37" i="116" s="1"/>
  <c r="D14" i="139" s="1"/>
  <c r="C41" i="116"/>
  <c r="C18" i="139" s="1"/>
  <c r="G28" i="116"/>
  <c r="G37" i="116" s="1"/>
  <c r="G14" i="139" s="1"/>
  <c r="E28" i="116"/>
  <c r="E39" i="116" s="1"/>
  <c r="E16" i="139" s="1"/>
  <c r="F28" i="116"/>
  <c r="F43" i="116" s="1"/>
  <c r="F20" i="139" s="1"/>
  <c r="H28" i="116"/>
  <c r="H39" i="116" s="1"/>
  <c r="H16" i="139" s="1"/>
  <c r="C14" i="139"/>
  <c r="E31" i="32"/>
  <c r="E33" i="32" s="1"/>
  <c r="E37" i="32" s="1"/>
  <c r="F33" i="116" l="1"/>
  <c r="F10" i="139" s="1"/>
  <c r="F39" i="116"/>
  <c r="F16" i="139" s="1"/>
  <c r="F41" i="116"/>
  <c r="F18" i="139" s="1"/>
  <c r="F37" i="116"/>
  <c r="F14" i="139" s="1"/>
  <c r="H37" i="116"/>
  <c r="H14" i="139" s="1"/>
  <c r="F35" i="116"/>
  <c r="F12" i="139" s="1"/>
  <c r="H43" i="116"/>
  <c r="H20" i="139" s="1"/>
  <c r="H33" i="116"/>
  <c r="H10" i="139" s="1"/>
  <c r="H35" i="116"/>
  <c r="H12" i="139" s="1"/>
  <c r="H41" i="116"/>
  <c r="H18" i="139" s="1"/>
  <c r="F28" i="117"/>
  <c r="F39" i="117" s="1"/>
  <c r="F34" i="139" s="1"/>
  <c r="D28" i="117"/>
  <c r="D33" i="117" s="1"/>
  <c r="D35" i="116"/>
  <c r="D12" i="139" s="1"/>
  <c r="C45" i="116"/>
  <c r="E33" i="116"/>
  <c r="E10" i="139" s="1"/>
  <c r="E43" i="116"/>
  <c r="E20" i="139" s="1"/>
  <c r="G28" i="117"/>
  <c r="G33" i="117" s="1"/>
  <c r="C33" i="117"/>
  <c r="C28" i="139" s="1"/>
  <c r="D41" i="116"/>
  <c r="D18" i="139" s="1"/>
  <c r="E28" i="117"/>
  <c r="E41" i="117" s="1"/>
  <c r="E36" i="139" s="1"/>
  <c r="C39" i="117"/>
  <c r="C34" i="139" s="1"/>
  <c r="E37" i="116"/>
  <c r="E14" i="139" s="1"/>
  <c r="G35" i="116"/>
  <c r="G12" i="139" s="1"/>
  <c r="C35" i="117"/>
  <c r="C30" i="139" s="1"/>
  <c r="E41" i="116"/>
  <c r="E18" i="139" s="1"/>
  <c r="C43" i="117"/>
  <c r="C38" i="139" s="1"/>
  <c r="C41" i="117"/>
  <c r="C36" i="139" s="1"/>
  <c r="E35" i="116"/>
  <c r="E12" i="139" s="1"/>
  <c r="C37" i="117"/>
  <c r="C32" i="139" s="1"/>
  <c r="D33" i="116"/>
  <c r="G41" i="116"/>
  <c r="G18" i="139" s="1"/>
  <c r="G39" i="116"/>
  <c r="G16" i="139" s="1"/>
  <c r="D39" i="116"/>
  <c r="D16" i="139" s="1"/>
  <c r="G43" i="116"/>
  <c r="G20" i="139" s="1"/>
  <c r="D43" i="116"/>
  <c r="D20" i="139" s="1"/>
  <c r="G33" i="116"/>
  <c r="G10" i="139" s="1"/>
  <c r="Q28" i="141"/>
  <c r="C33" i="32"/>
  <c r="C37" i="32" s="1"/>
  <c r="H41" i="117"/>
  <c r="H36" i="139" s="1"/>
  <c r="H35" i="117"/>
  <c r="H30" i="139" s="1"/>
  <c r="H33" i="117"/>
  <c r="H39" i="117"/>
  <c r="H34" i="139" s="1"/>
  <c r="H43" i="117"/>
  <c r="H38" i="139" s="1"/>
  <c r="H37" i="117"/>
  <c r="H32" i="139" s="1"/>
  <c r="C22" i="139"/>
  <c r="F33" i="117" l="1"/>
  <c r="F28" i="139" s="1"/>
  <c r="F43" i="117"/>
  <c r="F38" i="139" s="1"/>
  <c r="G39" i="117"/>
  <c r="G34" i="139" s="1"/>
  <c r="G35" i="117"/>
  <c r="G30" i="139" s="1"/>
  <c r="G43" i="117"/>
  <c r="G38" i="139" s="1"/>
  <c r="G37" i="117"/>
  <c r="G32" i="139" s="1"/>
  <c r="F41" i="117"/>
  <c r="F36" i="139" s="1"/>
  <c r="D37" i="117"/>
  <c r="D32" i="139" s="1"/>
  <c r="D41" i="117"/>
  <c r="D36" i="139" s="1"/>
  <c r="G41" i="117"/>
  <c r="G36" i="139" s="1"/>
  <c r="D43" i="117"/>
  <c r="D38" i="139" s="1"/>
  <c r="F35" i="117"/>
  <c r="F30" i="139" s="1"/>
  <c r="D39" i="117"/>
  <c r="D34" i="139" s="1"/>
  <c r="H45" i="116"/>
  <c r="D35" i="117"/>
  <c r="D30" i="139" s="1"/>
  <c r="F45" i="116"/>
  <c r="F22" i="139"/>
  <c r="H22" i="139"/>
  <c r="F37" i="117"/>
  <c r="F32" i="139" s="1"/>
  <c r="D45" i="116"/>
  <c r="E33" i="117"/>
  <c r="C45" i="117"/>
  <c r="E45" i="116"/>
  <c r="C40" i="139"/>
  <c r="E22" i="139"/>
  <c r="E43" i="117"/>
  <c r="E38" i="139" s="1"/>
  <c r="D10" i="139"/>
  <c r="D22" i="139" s="1"/>
  <c r="E37" i="117"/>
  <c r="E32" i="139" s="1"/>
  <c r="E35" i="117"/>
  <c r="E30" i="139" s="1"/>
  <c r="E39" i="117"/>
  <c r="E34" i="139" s="1"/>
  <c r="G22" i="139"/>
  <c r="G45" i="116"/>
  <c r="Q29" i="141"/>
  <c r="C15" i="22"/>
  <c r="E15" i="22" s="1"/>
  <c r="E19" i="22" s="1"/>
  <c r="E23" i="22" s="1"/>
  <c r="H45" i="117"/>
  <c r="H28" i="139"/>
  <c r="H40" i="139" s="1"/>
  <c r="D28" i="139"/>
  <c r="G28" i="139"/>
  <c r="I33" i="117" l="1"/>
  <c r="E28" i="139"/>
  <c r="I28" i="139" s="1"/>
  <c r="I41" i="117"/>
  <c r="I38" i="139"/>
  <c r="C24" i="114" s="1"/>
  <c r="E24" i="114" s="1"/>
  <c r="I34" i="139"/>
  <c r="C20" i="114" s="1"/>
  <c r="E20" i="114" s="1"/>
  <c r="I36" i="139"/>
  <c r="C22" i="114" s="1"/>
  <c r="F22" i="114" s="1"/>
  <c r="G40" i="139"/>
  <c r="F40" i="139"/>
  <c r="F45" i="117"/>
  <c r="G45" i="117"/>
  <c r="I39" i="117"/>
  <c r="D45" i="117"/>
  <c r="D40" i="139"/>
  <c r="I30" i="139"/>
  <c r="C16" i="114" s="1"/>
  <c r="E16" i="114" s="1"/>
  <c r="I32" i="139"/>
  <c r="C18" i="114" s="1"/>
  <c r="E18" i="114" s="1"/>
  <c r="I43" i="117"/>
  <c r="I37" i="117"/>
  <c r="I35" i="117"/>
  <c r="E45" i="117"/>
  <c r="C19" i="22"/>
  <c r="C23" i="22" s="1"/>
  <c r="Q30" i="141"/>
  <c r="E40" i="139" l="1"/>
  <c r="E22" i="114"/>
  <c r="F24" i="114"/>
  <c r="F20" i="114"/>
  <c r="F16" i="114"/>
  <c r="I45" i="117"/>
  <c r="F18" i="114"/>
  <c r="Q31" i="141"/>
  <c r="I40" i="139"/>
  <c r="C14" i="114"/>
  <c r="Q32" i="141" l="1"/>
  <c r="C27" i="114"/>
  <c r="F27" i="114" s="1"/>
  <c r="E14" i="114"/>
  <c r="E27" i="114" s="1"/>
  <c r="F14" i="114"/>
  <c r="Q33" i="141" l="1"/>
  <c r="Q34" i="141" l="1"/>
  <c r="Q35" i="141" l="1"/>
  <c r="Q36" i="141" l="1"/>
  <c r="Q37" i="141" l="1"/>
  <c r="Q38" i="141" l="1"/>
  <c r="Q39" i="141" l="1"/>
  <c r="Q40" i="141" l="1"/>
  <c r="Q41" i="141" l="1"/>
  <c r="Q42" i="141" l="1"/>
  <c r="Q43" i="141" l="1"/>
  <c r="Q44" i="141" l="1"/>
  <c r="Q45" i="141" l="1"/>
  <c r="Q46" i="141" l="1"/>
  <c r="Q47" i="141" l="1"/>
  <c r="Q48" i="141" l="1"/>
  <c r="Q49" i="141" l="1"/>
  <c r="Q50" i="141" l="1"/>
  <c r="Q51" i="141" l="1"/>
  <c r="Q52" i="141" l="1"/>
  <c r="Q53" i="141"/>
</calcChain>
</file>

<file path=xl/sharedStrings.xml><?xml version="1.0" encoding="utf-8"?>
<sst xmlns="http://schemas.openxmlformats.org/spreadsheetml/2006/main" count="1173" uniqueCount="529">
  <si>
    <t>Statement BD</t>
  </si>
  <si>
    <t>San Diego Gas &amp; Electric Company</t>
  </si>
  <si>
    <t>Allocation Energy and Supporting Data</t>
  </si>
  <si>
    <t>(A)</t>
  </si>
  <si>
    <t>(B)</t>
  </si>
  <si>
    <t>(C) = (A) - (B)</t>
  </si>
  <si>
    <t>Retail Energy Sales</t>
  </si>
  <si>
    <t>Sale for Resale</t>
  </si>
  <si>
    <t>Line</t>
  </si>
  <si>
    <t>@ Meter Level</t>
  </si>
  <si>
    <t xml:space="preserve">(City of </t>
  </si>
  <si>
    <t>No.</t>
  </si>
  <si>
    <t>Date</t>
  </si>
  <si>
    <t>Plus Sale for Resale</t>
  </si>
  <si>
    <r>
      <t xml:space="preserve">Escondido)  </t>
    </r>
    <r>
      <rPr>
        <b/>
        <vertAlign val="superscript"/>
        <sz val="12"/>
        <rFont val="Times New Roman"/>
        <family val="1"/>
      </rPr>
      <t>1</t>
    </r>
  </si>
  <si>
    <t>Net of Sale for Resale</t>
  </si>
  <si>
    <t>Reference</t>
  </si>
  <si>
    <t>Workpaper No. 1; Page 1.1; Lines 30; 29</t>
  </si>
  <si>
    <t>Total</t>
  </si>
  <si>
    <t>Sum Lines 1 thru 12</t>
  </si>
  <si>
    <t>City of Escondido sales are excluded from the KWh total because they are classified as sales to wholesale customers.</t>
  </si>
  <si>
    <t xml:space="preserve">(B) </t>
  </si>
  <si>
    <t>Workpaper No. 1; Page 1.2; Lines 30; 29</t>
  </si>
  <si>
    <t>City of Escondido sales are excluded from the KWh total because they are classified as sales to wholesale customers not retail.</t>
  </si>
  <si>
    <t>Forecast sales are used to develop Statements BG and BH, Revenues at Proposed Rates and Revenues at Present Rates.</t>
  </si>
  <si>
    <t>SAN DIEGO GAS &amp; ELECTRIC COMPANY</t>
  </si>
  <si>
    <t>MWH SALES FORECAST @ Transmission Level</t>
  </si>
  <si>
    <t>(D) = (C) x  Line 19, Col. C</t>
  </si>
  <si>
    <t xml:space="preserve">Retail Energy </t>
  </si>
  <si>
    <t>Energy Sales</t>
  </si>
  <si>
    <t>Sales</t>
  </si>
  <si>
    <t>@ Transmission</t>
  </si>
  <si>
    <t>Months</t>
  </si>
  <si>
    <t>MWh Sales</t>
  </si>
  <si>
    <t>(City of Escondido)</t>
  </si>
  <si>
    <t>Level</t>
  </si>
  <si>
    <t>Cols. A to C, WP No. 1; Page 1.2; Lines 10, 9 &amp; 12</t>
  </si>
  <si>
    <t>Retail Sales Forecast @ Meter Level</t>
  </si>
  <si>
    <t>Col. C; Line 14</t>
  </si>
  <si>
    <r>
      <t xml:space="preserve">Transmission Loss Factor  </t>
    </r>
    <r>
      <rPr>
        <b/>
        <vertAlign val="superscript"/>
        <sz val="12"/>
        <rFont val="Times New Roman"/>
        <family val="1"/>
      </rPr>
      <t>2</t>
    </r>
  </si>
  <si>
    <t>Column B / Column A</t>
  </si>
  <si>
    <t>Retail Sales Forecast @ Transmission Level</t>
  </si>
  <si>
    <t>Col. D; Line 14</t>
  </si>
  <si>
    <r>
      <t xml:space="preserve">Lake Hodges Pumped Storage Facilities </t>
    </r>
    <r>
      <rPr>
        <b/>
        <vertAlign val="superscript"/>
        <sz val="12"/>
        <rFont val="Times New Roman"/>
        <family val="1"/>
      </rPr>
      <t xml:space="preserve"> 3</t>
    </r>
  </si>
  <si>
    <t>Statement BD WP; Page 4 of 5</t>
  </si>
  <si>
    <r>
      <t xml:space="preserve">Pumped Storage True Up Adjustment </t>
    </r>
    <r>
      <rPr>
        <b/>
        <vertAlign val="superscript"/>
        <sz val="12"/>
        <rFont val="Times New Roman"/>
        <family val="1"/>
      </rPr>
      <t>4</t>
    </r>
  </si>
  <si>
    <t>Statement BD WP; Page 5 of 5</t>
  </si>
  <si>
    <t>Total Gross Load Forecast</t>
  </si>
  <si>
    <t>Sum Lines 22 thru 26</t>
  </si>
  <si>
    <t>This information is used for CAISO TAC purposes as shown in Statement BL -Wholesale. The sales forecast excludes Sale for Resale.</t>
  </si>
  <si>
    <t>Energy used for pumping at the Lake Hodges Pumped Storage Facilities is measured at 69kV and gets adjusted by a distribution loss factor to derive the Gross Load forecast.</t>
  </si>
  <si>
    <t>Represents the difference between actual and forecast load associated with the Lake Hodges Pumped Storage Facility for the base year.</t>
  </si>
  <si>
    <t>SAN DIEGO GAS AND ELECTRIC COMPANY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</si>
  <si>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</si>
  <si>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</si>
  <si>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</si>
  <si>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</si>
  <si>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</si>
  <si>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</si>
  <si>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</si>
  <si>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</si>
  <si>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</si>
  <si>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</si>
  <si>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</si>
  <si>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</si>
  <si>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Olivenhain-Lake Hodges Pumping Load</t>
  </si>
  <si>
    <t>Primary Level Distribution Loss Factor</t>
  </si>
  <si>
    <t>Total Lake Hodges Pumping Load</t>
  </si>
  <si>
    <t>Lake Hodges Pumping Load Adjustment Mechanism</t>
  </si>
  <si>
    <t>Line No.</t>
  </si>
  <si>
    <t>Description</t>
  </si>
  <si>
    <t>Amount</t>
  </si>
  <si>
    <t xml:space="preserve">Pumped Storage Facility - Actual Load </t>
  </si>
  <si>
    <t>SDG&amp;E Records</t>
  </si>
  <si>
    <t xml:space="preserve">Pumped Storage Facility - Forecast Load </t>
  </si>
  <si>
    <t>Difference</t>
  </si>
  <si>
    <t>Line 1 Minus Line 2</t>
  </si>
  <si>
    <r>
      <t xml:space="preserve">Pumped Storage - True Up Adjustment  </t>
    </r>
    <r>
      <rPr>
        <b/>
        <vertAlign val="superscript"/>
        <sz val="12"/>
        <rFont val="Times New Roman"/>
        <family val="1"/>
      </rPr>
      <t>1</t>
    </r>
  </si>
  <si>
    <t>Line 3 x Line 4</t>
  </si>
  <si>
    <t>The pumped storage True-Up Adjustment reconciles the difference between the prior year's forecast and actual load data.</t>
  </si>
  <si>
    <t>Statement BG</t>
  </si>
  <si>
    <t>Transmission Revenue Balancing Account Adjustment (TRBAA) Revenues Data to Reflect Changed Rates</t>
  </si>
  <si>
    <t>Comparison of Revenues</t>
  </si>
  <si>
    <t>(D) = (C) / (B)</t>
  </si>
  <si>
    <t>(Statement BG)</t>
  </si>
  <si>
    <t>(Statement BH)</t>
  </si>
  <si>
    <t>TRBAA Revenues</t>
  </si>
  <si>
    <t>(%)</t>
  </si>
  <si>
    <t>Customer Classes</t>
  </si>
  <si>
    <t>@ Changed Rates</t>
  </si>
  <si>
    <r>
      <t xml:space="preserve">@ Present Rates </t>
    </r>
    <r>
      <rPr>
        <b/>
        <vertAlign val="superscript"/>
        <sz val="12"/>
        <rFont val="Times New Roman"/>
        <family val="1"/>
      </rPr>
      <t>1</t>
    </r>
  </si>
  <si>
    <t>($) Change</t>
  </si>
  <si>
    <t>Change</t>
  </si>
  <si>
    <t>Residential Customers</t>
  </si>
  <si>
    <t>Statement BG; Page 2 of 4; Line 14</t>
  </si>
  <si>
    <t>Statement BH; Page 1 of 3; Line 14</t>
  </si>
  <si>
    <t>Small Commercial Customers</t>
  </si>
  <si>
    <t>Statement BG; Page 2 of 4; Line 16</t>
  </si>
  <si>
    <t>Statement BH; Page 1 of 3; Line 16</t>
  </si>
  <si>
    <t xml:space="preserve">Medium and Large Commercial/Industrial  </t>
  </si>
  <si>
    <t>Statement BG; Page 2 of 4; Line 18</t>
  </si>
  <si>
    <t>Statement BH; Page 1 of 3; Line 18</t>
  </si>
  <si>
    <t>Agriculture (PA and TOU-PA)</t>
  </si>
  <si>
    <t>Statement BG; Page 2 of 4; Line 20</t>
  </si>
  <si>
    <t>Statement BH; Page 1 of 3; Line 20</t>
  </si>
  <si>
    <t>Agriculture (PA-T-1)</t>
  </si>
  <si>
    <t>Statement BG; Page 2 of 4; Line 22</t>
  </si>
  <si>
    <t>Statement BH; Page 1 of 3; Line 22</t>
  </si>
  <si>
    <t>Street Lighting Customers</t>
  </si>
  <si>
    <t>Statement BG; Page 2 of 4; Line 24</t>
  </si>
  <si>
    <t>Statement BH; Page 1 of 3; Line 24</t>
  </si>
  <si>
    <t xml:space="preserve">     Grand Total</t>
  </si>
  <si>
    <t>Sum Lines 1 through 11</t>
  </si>
  <si>
    <t>(C)</t>
  </si>
  <si>
    <t>(D)</t>
  </si>
  <si>
    <t>(E)</t>
  </si>
  <si>
    <t>(F)</t>
  </si>
  <si>
    <t>(G)</t>
  </si>
  <si>
    <r>
      <t xml:space="preserve">Residential  </t>
    </r>
    <r>
      <rPr>
        <b/>
        <vertAlign val="superscript"/>
        <sz val="12"/>
        <rFont val="Times New Roman"/>
        <family val="1"/>
      </rPr>
      <t>1</t>
    </r>
  </si>
  <si>
    <r>
      <t xml:space="preserve">Small Commercial 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</t>
    </r>
  </si>
  <si>
    <r>
      <t xml:space="preserve">Medium and Large Commercial/Industrial  </t>
    </r>
    <r>
      <rPr>
        <b/>
        <vertAlign val="superscript"/>
        <sz val="12"/>
        <rFont val="Times New Roman"/>
        <family val="1"/>
      </rPr>
      <t>3</t>
    </r>
  </si>
  <si>
    <r>
      <t xml:space="preserve">Agriculture (PA and TOU-PA)  </t>
    </r>
    <r>
      <rPr>
        <b/>
        <vertAlign val="superscript"/>
        <sz val="12"/>
        <rFont val="Times New Roman"/>
        <family val="1"/>
      </rPr>
      <t>4</t>
    </r>
  </si>
  <si>
    <r>
      <t xml:space="preserve">Agriculture (PA-T-1)  </t>
    </r>
    <r>
      <rPr>
        <b/>
        <vertAlign val="superscript"/>
        <sz val="12"/>
        <rFont val="Times New Roman"/>
        <family val="1"/>
      </rPr>
      <t>5</t>
    </r>
  </si>
  <si>
    <r>
      <t xml:space="preserve">Street Lighting  </t>
    </r>
    <r>
      <rPr>
        <b/>
        <vertAlign val="superscript"/>
        <sz val="12"/>
        <rFont val="Times New Roman"/>
        <family val="1"/>
      </rPr>
      <t>6</t>
    </r>
  </si>
  <si>
    <t>TOTAL</t>
  </si>
  <si>
    <t>1</t>
  </si>
  <si>
    <t>See Stmt BG pages 3 of 4 and 4 of 4, Line 23.</t>
  </si>
  <si>
    <t>See Stmt BG pages 3 of 4 and 4 of 4, Line 29.</t>
  </si>
  <si>
    <t>See Stmt BG pages 3 of 4 and 4 of 4, Line 25.</t>
  </si>
  <si>
    <t>See Stmt BG pages 3 of 4 and 4 of 4, Line 31.</t>
  </si>
  <si>
    <t>See Stmt BG pages 3 of 4 and 4 of 4, Line 27.</t>
  </si>
  <si>
    <t>See Stmt BG pages 3 of 4 and 4 of 4, Line 33.</t>
  </si>
  <si>
    <t>Energy (kWh)</t>
  </si>
  <si>
    <t>Workpaper No. 1; Page 1.2; Line 23</t>
  </si>
  <si>
    <t xml:space="preserve">Small Commercial </t>
  </si>
  <si>
    <t>Workpaper No. 1; Page 1.2; Line 24</t>
  </si>
  <si>
    <t>Workpaper No. 1; Page 1.2; Line 25</t>
  </si>
  <si>
    <t>Workpaper No. 1; Page 1.2; Line 26</t>
  </si>
  <si>
    <t>Workpaper No. 1; Page 1.2; Line 27</t>
  </si>
  <si>
    <t>Street Lighting</t>
  </si>
  <si>
    <t>Workpaper No. 1; Page 1.2; Line 28</t>
  </si>
  <si>
    <t>Sum Lines 1 thru 11</t>
  </si>
  <si>
    <t>$/(kWh)</t>
  </si>
  <si>
    <t>Retail TRBAA Rate ($/kWh) @ Changed Rate</t>
  </si>
  <si>
    <t>Statement BL (Retail); Page 1; Line 27</t>
  </si>
  <si>
    <t>Revenues @ Changed Rates</t>
  </si>
  <si>
    <t>Line 1 x Line 18</t>
  </si>
  <si>
    <t>Line 3 x Line 18</t>
  </si>
  <si>
    <t>Line 5 x Line 18</t>
  </si>
  <si>
    <t>Line 7 x Line 18</t>
  </si>
  <si>
    <t>Line 9 x Line 18</t>
  </si>
  <si>
    <t>Line 11 x Line 18</t>
  </si>
  <si>
    <t>Sum Lines 23 through 33</t>
  </si>
  <si>
    <t>(H)</t>
  </si>
  <si>
    <t>(I)</t>
  </si>
  <si>
    <t>(J)</t>
  </si>
  <si>
    <t>(K)</t>
  </si>
  <si>
    <t>(L)</t>
  </si>
  <si>
    <t>(M)</t>
  </si>
  <si>
    <t>(N)</t>
  </si>
  <si>
    <t>(O)</t>
  </si>
  <si>
    <t xml:space="preserve">   TOTAL</t>
  </si>
  <si>
    <t>Statement BH</t>
  </si>
  <si>
    <t>See Stmt BH pages 2 of 3 and 3 of 3, Line 23.</t>
  </si>
  <si>
    <t>See Stmt BH pages 2 of 3 and 3 of 3, Line 29.</t>
  </si>
  <si>
    <t>See Stmt BH pages 2 of 3 and 3 of 3, Line 25.</t>
  </si>
  <si>
    <t>See Stmt BH pages 2 of 3 and 3 of 3, Line 31.</t>
  </si>
  <si>
    <t>See Stmt BH pages 2 of 3 and 3 of 3, Line 27.</t>
  </si>
  <si>
    <t>See Stmt BH pages 2 of 3 and 3 of 3, Line 33.</t>
  </si>
  <si>
    <t>Retail TRBAA Rate ($/kWh) @ Present Rate</t>
  </si>
  <si>
    <t>TRBAA @ Present Rates</t>
  </si>
  <si>
    <t>Statement BK-1</t>
  </si>
  <si>
    <t>Total Retail TRBAA Forecast - Including Franchise Fees &amp; Uncollectible Expense</t>
  </si>
  <si>
    <t>Components</t>
  </si>
  <si>
    <t xml:space="preserve">Retail - TRBAA </t>
  </si>
  <si>
    <t>Work paper No. 4; Page 4.4; Line 32</t>
  </si>
  <si>
    <t>Transmission Revenue Credits Forecast:</t>
  </si>
  <si>
    <t xml:space="preserve">   Wheeling Revenues </t>
  </si>
  <si>
    <t>Work paper No. 7; Page 7.1; Line 27</t>
  </si>
  <si>
    <t xml:space="preserve">   Settlements, Metering and Client Relations </t>
  </si>
  <si>
    <t>Work paper No. 8; Page 8.1; Line 27</t>
  </si>
  <si>
    <t xml:space="preserve">   Existing Transmission Contract (ETC) Cost Differentials</t>
  </si>
  <si>
    <t>Work paper No. 9; Page 9.1; Line 27</t>
  </si>
  <si>
    <t xml:space="preserve">   Other PTO Related Revenue (Credits)/Charges</t>
  </si>
  <si>
    <t>Work paper No. 11; Page 11.1; Line 27</t>
  </si>
  <si>
    <t>Total Transmission Revenue Credits Forecast</t>
  </si>
  <si>
    <t>Sum {Line 5 thru Line 11}</t>
  </si>
  <si>
    <t>Total TRBAA Before Franchise Fees and Uncollectibles</t>
  </si>
  <si>
    <t>Line 1 + Line 13</t>
  </si>
  <si>
    <t>Total Franchise Fees and Uncollectible</t>
  </si>
  <si>
    <t>Line 17 + Line 19</t>
  </si>
  <si>
    <t>Total Retail TRBAA Forecast Including FF&amp;U</t>
  </si>
  <si>
    <t>Line 15 + Line 21</t>
  </si>
  <si>
    <t>Statement BK-2</t>
  </si>
  <si>
    <t>Wholesale Customers - HVTRR &amp; LVTRR Calculation</t>
  </si>
  <si>
    <t>(C) = (A) + (B)</t>
  </si>
  <si>
    <t>HIGH VOLTAGE</t>
  </si>
  <si>
    <t>LOW VOLTAGE</t>
  </si>
  <si>
    <t>Transmission</t>
  </si>
  <si>
    <t>Transmission Revenue</t>
  </si>
  <si>
    <t xml:space="preserve">Revenue </t>
  </si>
  <si>
    <t>Requirements</t>
  </si>
  <si>
    <r>
      <t xml:space="preserve">Wholesale Base Transmission Revenue Requirement  </t>
    </r>
    <r>
      <rPr>
        <b/>
        <vertAlign val="superscript"/>
        <sz val="12"/>
        <rFont val="Times New Roman"/>
        <family val="1"/>
      </rPr>
      <t>1</t>
    </r>
  </si>
  <si>
    <t>See Note 1</t>
  </si>
  <si>
    <t>Work paper No. 2 Page 2.1; Line 15</t>
  </si>
  <si>
    <t xml:space="preserve">   Wheeling Revenues</t>
  </si>
  <si>
    <t>Work paper No. 6; Page 6.1; Line 19</t>
  </si>
  <si>
    <t xml:space="preserve">   Settlements, Metering and Client Relations</t>
  </si>
  <si>
    <t>Work paper No. 6; Page 6.1; Line 26</t>
  </si>
  <si>
    <t xml:space="preserve">   ETC Cost Differentials</t>
  </si>
  <si>
    <t>Work paper No. 6; Page 6.1; Line 32</t>
  </si>
  <si>
    <t>Work paper No. 6; Page 6.1; Line 42</t>
  </si>
  <si>
    <t>Sum {Line 7 through Line 13}</t>
  </si>
  <si>
    <t>Total Wholesale TRBAA Before Franchise Fees</t>
  </si>
  <si>
    <t xml:space="preserve">Line 3 + Line 15 </t>
  </si>
  <si>
    <t>Total Wholesale TRBAA Forecast Including Franchise Fees</t>
  </si>
  <si>
    <r>
      <t>Transmission Standby 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 xml:space="preserve"> 2</t>
    </r>
  </si>
  <si>
    <t>Work paper No. 3; Page 3.1; Line 7</t>
  </si>
  <si>
    <t>Wholesale Transmission Revenue Requirement</t>
  </si>
  <si>
    <t>Line 1 + Line 21 + Line 23</t>
  </si>
  <si>
    <t>Statement BL</t>
  </si>
  <si>
    <t>Retail TRBAA Rate Calculation</t>
  </si>
  <si>
    <t>Sum {Line 5 through Line 11}</t>
  </si>
  <si>
    <t>Statement BD; Pg. 1 of 5; Col. C; Ln. 15</t>
  </si>
  <si>
    <t>Retail TRBAA Rate ($/kWh)</t>
  </si>
  <si>
    <t>Line 23 / Line 25</t>
  </si>
  <si>
    <t>High Voltage &amp; Low Voltage Component</t>
  </si>
  <si>
    <t>Combined</t>
  </si>
  <si>
    <t>High Voltage</t>
  </si>
  <si>
    <t>Low Voltage</t>
  </si>
  <si>
    <t>TRR</t>
  </si>
  <si>
    <t>Notes &amp; Reference</t>
  </si>
  <si>
    <r>
      <t xml:space="preserve">Total Wholesale TRBAA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</si>
  <si>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BK-2; Page 1; Line 21</t>
  </si>
  <si>
    <r>
      <t xml:space="preserve">Transmission Standby Revenue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</si>
  <si>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See Note 3</t>
  </si>
  <si>
    <t>Wholesale Transmission Revenue Requirements</t>
  </si>
  <si>
    <t>Sum ( Lines 1, 3, &amp; 5 )</t>
  </si>
  <si>
    <t>Gross Load - MWh</t>
  </si>
  <si>
    <t>Utility Specific Access Charges ($/MWh)</t>
  </si>
  <si>
    <t>Line 7 / Line 9</t>
  </si>
  <si>
    <t>NOTES:</t>
  </si>
  <si>
    <t>The Wholesale TRBAA amount comes from the instant filing, in Statement BK-2; Page 1; Line 21</t>
  </si>
  <si>
    <t>San Diego Gas &amp; Electric Co.</t>
  </si>
  <si>
    <t>System Delivery Determinants</t>
  </si>
  <si>
    <t>Customer Class Deliveries (MWh)</t>
  </si>
  <si>
    <t>Residential</t>
  </si>
  <si>
    <t>Small Commercial</t>
  </si>
  <si>
    <t>Med. &amp; Large Comm./Ind.</t>
  </si>
  <si>
    <t>Agriculture (PA)</t>
  </si>
  <si>
    <t>Lighting</t>
  </si>
  <si>
    <t>Total System</t>
  </si>
  <si>
    <t>Total System - EXCLUDING Sale for Resale</t>
  </si>
  <si>
    <t>INPUT FROM RECORDED SALES FILE:</t>
  </si>
  <si>
    <t>Medium &amp; Large Details - Deliveries in MWH:</t>
  </si>
  <si>
    <t>Med &amp; Large C/I (AD)</t>
  </si>
  <si>
    <t>Med &amp; Large C/I (AL+AY+DGR)</t>
  </si>
  <si>
    <t>Med &amp; Large C/I (A6)</t>
  </si>
  <si>
    <t>San Diego Gas &amp; Electric</t>
  </si>
  <si>
    <t>Customer Class Deliveries (kWh)</t>
  </si>
  <si>
    <t>Medium &amp; Large Details - Deliveries in kWh:</t>
  </si>
  <si>
    <t xml:space="preserve">Med. &amp; Large Comm./Ind. </t>
  </si>
  <si>
    <t>INPUT FROM FORECAST INFORMATION:</t>
  </si>
  <si>
    <t>Allocation Of Beginning TRBAA Balance Based on Forecast Balances</t>
  </si>
  <si>
    <t>Beginning</t>
  </si>
  <si>
    <t>TRBAA Balance</t>
  </si>
  <si>
    <t>TRBAA</t>
  </si>
  <si>
    <t>Forecast - Wheeling Revenues</t>
  </si>
  <si>
    <t>Forecast - Settlements, Metering and Client Relations</t>
  </si>
  <si>
    <t>Forecast - ETC Cost Differentials</t>
  </si>
  <si>
    <t>Forecast - Other PTO Related Revenue (Credits)/Charges</t>
  </si>
  <si>
    <t>Sum Lines 3 through 9</t>
  </si>
  <si>
    <t>Allocation Factors Based on Revenue Credit Forecast</t>
  </si>
  <si>
    <t>Ratios Per Line 11</t>
  </si>
  <si>
    <r>
      <t xml:space="preserve">Allocation of Beginning TRBAA Balance  </t>
    </r>
    <r>
      <rPr>
        <b/>
        <vertAlign val="superscript"/>
        <sz val="12"/>
        <rFont val="Times New Roman"/>
        <family val="1"/>
      </rPr>
      <t>1</t>
    </r>
  </si>
  <si>
    <t>Column (A) Line 1 x Line 13</t>
  </si>
  <si>
    <t>The beginning TRBAA balance on line 1, Column (A), is allocated between High Voltage and Low Voltage, using the ratios that were developed on line 13.</t>
  </si>
  <si>
    <t>Standby Revenues</t>
  </si>
  <si>
    <t>(1)</t>
  </si>
  <si>
    <t>(2)</t>
  </si>
  <si>
    <t>(3) = (1) + (2)</t>
  </si>
  <si>
    <t>Combined TRR</t>
  </si>
  <si>
    <t xml:space="preserve">Total Standby Revenues  </t>
  </si>
  <si>
    <t>See Note 2</t>
  </si>
  <si>
    <t>HV-LV Allocation Factors</t>
  </si>
  <si>
    <t>Ratios Based on Line 2</t>
  </si>
  <si>
    <t>Total HV-LV Standby Revenue Credits</t>
  </si>
  <si>
    <t xml:space="preserve">Col. 3; Line 1 x Line 5 Ratios </t>
  </si>
  <si>
    <t>October</t>
  </si>
  <si>
    <t>November</t>
  </si>
  <si>
    <t>December</t>
  </si>
  <si>
    <t>January</t>
  </si>
  <si>
    <t>February</t>
  </si>
  <si>
    <t>March</t>
  </si>
  <si>
    <t>April</t>
  </si>
  <si>
    <t>August</t>
  </si>
  <si>
    <t>September</t>
  </si>
  <si>
    <t>Beginning Balance (Overcollection)/Undercollection</t>
  </si>
  <si>
    <t>Previous Month's Balance</t>
  </si>
  <si>
    <t>TRBAA Refund</t>
  </si>
  <si>
    <t xml:space="preserve">   Kwh (Excluding Sales for Resale).</t>
  </si>
  <si>
    <t>Work Paper No. 1; Page 1.1; Line 32</t>
  </si>
  <si>
    <t xml:space="preserve">   TRBAA Rate</t>
  </si>
  <si>
    <t xml:space="preserve">        Total TRBAA Refund Including Franchise Fees &amp; Uncollectibles</t>
  </si>
  <si>
    <t>Line 4 x Line 5</t>
  </si>
  <si>
    <t xml:space="preserve">   Franchise Fees &amp; Uncollectible Expense Adjustment</t>
  </si>
  <si>
    <t>(Line 6 / (1+ Line 38)) * Line 38</t>
  </si>
  <si>
    <t xml:space="preserve">   TRBAA Refunds/Collections Excluding Uncollectibles</t>
  </si>
  <si>
    <t>Line 6 - Line 7</t>
  </si>
  <si>
    <t>PTO Related - ISO Charge Types:</t>
  </si>
  <si>
    <t xml:space="preserve">    CT 384/ CT 382 - HV Wheeling Revenues Due TO/Due ISO (Net)</t>
  </si>
  <si>
    <t>Work Paper No. 5; Page 5.1-5.2; Line 4</t>
  </si>
  <si>
    <t xml:space="preserve">    CT 4575 - Settlements, Metering, Client Relations </t>
  </si>
  <si>
    <t>Work Paper No. 5; Page 5.1-5.2; Line 7</t>
  </si>
  <si>
    <t xml:space="preserve">    ETC Cost Differentials</t>
  </si>
  <si>
    <t>Work Paper No. 5; Page 5.1-5.2; Line 10</t>
  </si>
  <si>
    <t xml:space="preserve">    Other PTO Related Revenue (Credits)/Charges</t>
  </si>
  <si>
    <t>Work Paper No. 5; Page 5.1-5.2; Line 13</t>
  </si>
  <si>
    <t xml:space="preserve">          Sub-Total Monthly PTO Related Activity</t>
  </si>
  <si>
    <t>Sum Lines 11 thru 14</t>
  </si>
  <si>
    <t>Other CAISO Adjustment</t>
  </si>
  <si>
    <t xml:space="preserve">          Sub-Total Adjustment</t>
  </si>
  <si>
    <t>Sum Line 17</t>
  </si>
  <si>
    <t xml:space="preserve">               Total </t>
  </si>
  <si>
    <t>Sum Lines 15; 18</t>
  </si>
  <si>
    <t>Net Monthly Activity (Net Refunds, Revenues, Expenses, &amp; Adjustments)</t>
  </si>
  <si>
    <t>Interest Expense Calculations:</t>
  </si>
  <si>
    <t xml:space="preserve">      Beginning Balance for Interest Calculation</t>
  </si>
  <si>
    <t xml:space="preserve">      Monthly Activity Included in Interest Calculation Basis</t>
  </si>
  <si>
    <t>Interest Calculation Basis</t>
  </si>
  <si>
    <t xml:space="preserve">      Basis for Interest Expense Calculation</t>
  </si>
  <si>
    <t>Line 24 + Line 25</t>
  </si>
  <si>
    <t xml:space="preserve">      Monthly Interest Rate</t>
  </si>
  <si>
    <t>FERC Monthly Rates</t>
  </si>
  <si>
    <t xml:space="preserve">         Interest Expense</t>
  </si>
  <si>
    <t>Line 26 x Line 27</t>
  </si>
  <si>
    <t>Other Adjustment (rounding)</t>
  </si>
  <si>
    <t>Ending Balance (Overcollection)/Undercollection</t>
  </si>
  <si>
    <t>Line 1 + Line 21 + Line 28 + Line 30</t>
  </si>
  <si>
    <t>Franchise Fees &amp; Uncollectible Adjustment:</t>
  </si>
  <si>
    <t>Franchise Fees Expense Rate</t>
  </si>
  <si>
    <t>Uncollectible Expense Adjustment Rate</t>
  </si>
  <si>
    <t xml:space="preserve">     Combined FF&amp;U Adjustment Rate</t>
  </si>
  <si>
    <t>Line 36 + Line 37</t>
  </si>
  <si>
    <t>Franchise Fee Rate</t>
  </si>
  <si>
    <t>Uncollectible Rate</t>
  </si>
  <si>
    <t xml:space="preserve">      Total</t>
  </si>
  <si>
    <t>Total Rate</t>
  </si>
  <si>
    <t>Verification of Interest Rates</t>
  </si>
  <si>
    <t>FERC INTEREST RATE</t>
  </si>
  <si>
    <t>Days in Year</t>
  </si>
  <si>
    <t>Days in Month</t>
  </si>
  <si>
    <t>Monthly Interest Rate - Calculated</t>
  </si>
  <si>
    <t>FERC Interest Rates - Website</t>
  </si>
  <si>
    <t>FOOTNOTES to Monthly TRBAA Balance:</t>
  </si>
  <si>
    <r>
      <t xml:space="preserve"> </t>
    </r>
    <r>
      <rPr>
        <b/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  The Franchise Fees and Uncollectible expense amount adjustment are removed from the amount collected from/(refunded) to customers to properly balance in the TRBAA mechanism only the approved revenue credits and CAISO charges.</t>
    </r>
  </si>
  <si>
    <r>
      <t xml:space="preserve">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  Existing Transmission Contract (ETC) Cost Differentials related to APS-IID pertains to SDG&amp;E as the Scheduling Coordinator for Arizona Public Service - Imperial Irrigation District ("APS-IID") (See Work Paper No. 5; Pages 5.1 - 5.2; Line 10).</t>
    </r>
  </si>
  <si>
    <r>
      <rPr>
        <b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   Other Participating Transmission Owner (PTO) Related (Credits)/Charges include CAISO charge codes 1592, 7989, 7999, 8526, 8989, and 8999. These charges are segregated out of the ETC Cost Differentials category and classified as Other PTO related (Credits)/Charges to enhance reporting transparency. Each account has a different allocation method specified by CAISO.</t>
    </r>
  </si>
  <si>
    <t>High Voltage Wheeling Revenues:</t>
  </si>
  <si>
    <t xml:space="preserve">      CT 384 - HV Wheeling Revenues Due TO</t>
  </si>
  <si>
    <t>ISO Charge Type 384</t>
  </si>
  <si>
    <t xml:space="preserve">      CT 382 - HV Wheeling Charge Due ISO </t>
  </si>
  <si>
    <t>ISO Charge Type 382</t>
  </si>
  <si>
    <t xml:space="preserve">            Net </t>
  </si>
  <si>
    <t>CT 4575 - Settlements, Metering, &amp; Client Relations (SDGE-PTO)</t>
  </si>
  <si>
    <t>ISO Charge Type 4575</t>
  </si>
  <si>
    <t>ETC Cost Differentials from CAISO</t>
  </si>
  <si>
    <t>Other PTO Related Revenue (Credits)/Charges</t>
  </si>
  <si>
    <t>Check:</t>
  </si>
  <si>
    <t>Total Per TRBAA Details (From Regulatory Reporting)</t>
  </si>
  <si>
    <t>Summary of TRBAA Forecast Allocation Between High Voltage and Low Voltage Facilities</t>
  </si>
  <si>
    <t>HV-LV Allocation Factors:</t>
  </si>
  <si>
    <t>A. Development of Allocation Factors:</t>
  </si>
  <si>
    <t xml:space="preserve">   Total Recorded &amp; Forecast Gross Plant Balances; Dollars in ($000)</t>
  </si>
  <si>
    <t>Line 5 + Line 7</t>
  </si>
  <si>
    <t>High Voltage - Low Voltage Ratios Based on Gross Plant; Per Line 9</t>
  </si>
  <si>
    <t>Allocation Ratios Based on Line 9</t>
  </si>
  <si>
    <t>B. Allocation of High Voltage Wheeling Revenues:</t>
  </si>
  <si>
    <t>Work paper No.7; Page 7.1; Line 27</t>
  </si>
  <si>
    <t xml:space="preserve">HV - Allocation Ratio is NOT Based on Plant as shown on Line 11 </t>
  </si>
  <si>
    <t>Wheeling Revenues are assigned 100% to High Voltage facilities</t>
  </si>
  <si>
    <t>Total HV-LV Wheeling Revenues Allocation</t>
  </si>
  <si>
    <t>Line 15 x Line 17</t>
  </si>
  <si>
    <t>C. Forecast of Settlements, Metering, &amp; Client Relations Expense:</t>
  </si>
  <si>
    <t>Work paper No. 8; Page 8.1, Line 27</t>
  </si>
  <si>
    <t>Adjusted for Known and Measurable Changes.</t>
  </si>
  <si>
    <t>Total Settlements, Metering, &amp; Client Relations Allocation</t>
  </si>
  <si>
    <t>Col. C; Line 23 x Line 11 Ratios</t>
  </si>
  <si>
    <t>D: Forecast of ETC Cost Differentials Expense:</t>
  </si>
  <si>
    <t>Work paper No. 9; Page 9.1, Line 27</t>
  </si>
  <si>
    <t>Total ETC Cost Differentials Allocation</t>
  </si>
  <si>
    <t>Col. C; Line 30 x Line 11 Ratios</t>
  </si>
  <si>
    <t>E: Forecast of Other PTO Related Revenue (Credits)/Charges:</t>
  </si>
  <si>
    <t>Less: CC 8526 HV/LV specific allocation per CAISO</t>
  </si>
  <si>
    <t>WP No. 12; Page 12.1, footnotes (b) and (c) explanation on the HV/LV allocation per CAISO</t>
  </si>
  <si>
    <t>Net Other PTO Related Revenue (Credits)/Charges HV/LV Allocation</t>
  </si>
  <si>
    <t>Total Other PTO Related Revenue (Credits)/Charges Allocation</t>
  </si>
  <si>
    <t>Line 38 + Line 40</t>
  </si>
  <si>
    <t>Wheeling Revenues Forecast</t>
  </si>
  <si>
    <t xml:space="preserve">High Voltage </t>
  </si>
  <si>
    <t>Wheeling Revenues</t>
  </si>
  <si>
    <t>No</t>
  </si>
  <si>
    <t>Actual Recorded Month</t>
  </si>
  <si>
    <t>(384)/(382)-Net</t>
  </si>
  <si>
    <t>(385)</t>
  </si>
  <si>
    <t>Work paper No. 5; Page 5.1 and 5.2; Line 4</t>
  </si>
  <si>
    <t>Total Recorded</t>
  </si>
  <si>
    <t>Sum Lines 1 to 23</t>
  </si>
  <si>
    <t>Wheeling Revenue Forecast</t>
  </si>
  <si>
    <t>See Line 25</t>
  </si>
  <si>
    <t>CAISO Charge Code 4575 - Settlements, Metering and Client Relations Charge Code 4575 Forecast</t>
  </si>
  <si>
    <t xml:space="preserve">Settlements, Metering, and Client Relations Charge Code - 4575 </t>
  </si>
  <si>
    <t>Work paper No. 5; Page 5.1 and 5.2; Line 7</t>
  </si>
  <si>
    <r>
      <t xml:space="preserve">Settlements, Metering and Client Relations Charge Code - 4575 Forecast  </t>
    </r>
    <r>
      <rPr>
        <b/>
        <vertAlign val="superscript"/>
        <sz val="12"/>
        <rFont val="Times New Roman"/>
        <family val="1"/>
      </rPr>
      <t>a</t>
    </r>
  </si>
  <si>
    <t>a</t>
  </si>
  <si>
    <t>CAISO Settlements, Metering and Client Relations forecast is based on the recorded rates under MRTU.</t>
  </si>
  <si>
    <t xml:space="preserve">The monthly amounts represent the amount charged to SDG&amp;E as a PTO. A similar amount is charged to SDG&amp;E as the Scheduling </t>
  </si>
  <si>
    <t>Coordinator for APS-IID where the amount is included as part of ETC Cost Differentials.</t>
  </si>
  <si>
    <t>Existing Transmission Contracts (ETC) Cost Differentials Forecast</t>
  </si>
  <si>
    <t xml:space="preserve">Existing Transmission Contracts (ETC) Cost Differentials  </t>
  </si>
  <si>
    <t>Work paper No. 5; Page 5.1 and 5.2; Line 10</t>
  </si>
  <si>
    <t>Charge Type</t>
  </si>
  <si>
    <t>ETC Cost Differentials Charge Types</t>
  </si>
  <si>
    <t>EP Penalty Allocation Payment</t>
  </si>
  <si>
    <t>Day Ahead Energy Congestion Loss Management</t>
  </si>
  <si>
    <t>Ancillary Service Upward Neutrality Allocation</t>
  </si>
  <si>
    <t>Spinning Reserve Obligation Settlement</t>
  </si>
  <si>
    <t>Non-Spinning Reserve Obligation Settlement</t>
  </si>
  <si>
    <t>Intertie Deviation Settlement Allocation</t>
  </si>
  <si>
    <t>Real Time System Imbalance Energy Offset</t>
  </si>
  <si>
    <t>Monthly CRRBA Clearing</t>
  </si>
  <si>
    <t>Real Time Market Congestion Credit Settlement</t>
  </si>
  <si>
    <t>CRR Accrued Interest Allocation</t>
  </si>
  <si>
    <t>IFM Marginal Losses Surplus Credit Allocation- Prelim</t>
  </si>
  <si>
    <t>Allocation of Transmission Loss Obligation Charge for Real Time Schedule Under Control Agreement</t>
  </si>
  <si>
    <t>Flexible Ramp Forecasted Movement Settlement</t>
  </si>
  <si>
    <t>Monthly Flexible Ramp Up Uncertainty Award Allocation</t>
  </si>
  <si>
    <t>Invoice Deviation Interest Distribution</t>
  </si>
  <si>
    <t>Generator Interconnection Process Forfeited Deposit Allocation</t>
  </si>
  <si>
    <t>TRBAA Expenses</t>
  </si>
  <si>
    <t>0550</t>
  </si>
  <si>
    <t>FERC Fees</t>
  </si>
  <si>
    <t>Bid Segment Fee</t>
  </si>
  <si>
    <t>GMC - Market Services Charge</t>
  </si>
  <si>
    <t>GMC - System Operations Charge</t>
  </si>
  <si>
    <t>GMC - Transmission Ownership Rights</t>
  </si>
  <si>
    <t>Settlements, Metering, Client Relations</t>
  </si>
  <si>
    <t>Spinning Reserve Neutrality Allocation</t>
  </si>
  <si>
    <t>Non-Spinning Reserve Neutrality Allocation</t>
  </si>
  <si>
    <t>Intertie Deviation Settlement</t>
  </si>
  <si>
    <t>FMM Instructed Imbalance Energy Settlement</t>
  </si>
  <si>
    <t>Real Time Instructed Imbalance Energy Settlement</t>
  </si>
  <si>
    <t>Real Time Imbalance Energy Offset</t>
  </si>
  <si>
    <t>Real Time Bid Cost Recovery Allocation</t>
  </si>
  <si>
    <t>Real Time Congestion Offset</t>
  </si>
  <si>
    <t>CRR Balancing Account</t>
  </si>
  <si>
    <t>Real Time Marginal Losses Offset</t>
  </si>
  <si>
    <t>Daily Flexible Ramp Up Uncertainty Award Allocation</t>
  </si>
  <si>
    <t>Daily Flexible Ramp Down Uncertainty Award Allocation</t>
  </si>
  <si>
    <t>Monthly Flexible Ramp Down Uncertainty Award Allocation</t>
  </si>
  <si>
    <t>Invoice Deviation Interest Allocation</t>
  </si>
  <si>
    <t>Grand Total</t>
  </si>
  <si>
    <t>Per TRBAA Schedule; Workpaper 4.1 to 4.4; Line 13</t>
  </si>
  <si>
    <t>Other PTO Related Revenue (Credits) / Charge Forecast</t>
  </si>
  <si>
    <t xml:space="preserve">Other PTO Related Revenue (Credits)/Charges </t>
  </si>
  <si>
    <t>Work paper No. 5; Page 5.1 and 5.2; Line 13</t>
  </si>
  <si>
    <t>Other PTO Related Revenue (Credits) / Charges Forecast</t>
  </si>
  <si>
    <r>
      <t xml:space="preserve">Other PTO Related Revenue (Credits)/Charge Types  </t>
    </r>
    <r>
      <rPr>
        <b/>
        <vertAlign val="superscript"/>
        <sz val="14"/>
        <rFont val="Times New Roman"/>
        <family val="1"/>
      </rPr>
      <t>a</t>
    </r>
  </si>
  <si>
    <t>b</t>
  </si>
  <si>
    <t>Neutrality Adjustment</t>
  </si>
  <si>
    <t>Daily Neutrality Adjustment</t>
  </si>
  <si>
    <t>Adjusted Total Other PTO Related Revenue (Credits)/Charges - Line 13 above</t>
  </si>
  <si>
    <t>Per TRBAA Schedule; Workpaper 4.1 to 4.4; Line 14</t>
  </si>
  <si>
    <t>Other Participating Transmission Owner (PTO) Related (Credits)/Charges include CAISO charge codes 1592, 7989, 7999, 8526, 8989, and 8999. The segregation of these charges and classifying them as Other PTO Related (Credits)/Charges enhances reporting transparency.</t>
  </si>
  <si>
    <t>San Diego Unified Port District</t>
  </si>
  <si>
    <t xml:space="preserve">Beg. Monthly Balances </t>
  </si>
  <si>
    <t>Minus Line 8 + Line 19</t>
  </si>
  <si>
    <t>Statement BD; Page 1 of 5; Line 28; Col. D</t>
  </si>
  <si>
    <t>Work Paper 12; Pages 12.1; Line 13</t>
  </si>
  <si>
    <t>WP No. 12; Page 12.1, Total Col, Line 13</t>
  </si>
  <si>
    <t xml:space="preserve">   Franchise Fees Expense @ 1.0207%</t>
  </si>
  <si>
    <t xml:space="preserve">   Uncollectibles @ 0.205%</t>
  </si>
  <si>
    <t>Line 15 x 1.0207%</t>
  </si>
  <si>
    <t>Line 15 x 0.205%</t>
  </si>
  <si>
    <t>FF&amp;U Per FERC ER23-542-000 (2023 Rates)</t>
  </si>
  <si>
    <t>Real Time Assistance Energy Surcharge Allocation</t>
  </si>
  <si>
    <t>Line 17 x 1.0207%</t>
  </si>
  <si>
    <t>Recorded Billing Determinants for the 12-Month Period: October 2023 - September 2024</t>
  </si>
  <si>
    <t>Forecast Billing Determinants for the 12-Month Period: January 2025- December 2025</t>
  </si>
  <si>
    <t>2025 - TRBAA Rate Filing</t>
  </si>
  <si>
    <t>Forecast Period January 2025 - December 2025</t>
  </si>
  <si>
    <t>2025 (MWh)</t>
  </si>
  <si>
    <t>For the 12-Month Base &amp; True Up Period Ending December 31, 2023</t>
  </si>
  <si>
    <t>Rate Effective Period - Twelve Months Ending December 31, 2025</t>
  </si>
  <si>
    <t>Transmission Revenue Balancing Account Adjustment (TRBAA) Revenue Data To Reflect Present Rates per ER24-212</t>
  </si>
  <si>
    <t>FERC Docket No. ER24-212-000</t>
  </si>
  <si>
    <t>Beginning TRBAA Balance @ 9/30/2024</t>
  </si>
  <si>
    <t>12 Months kWh Ending September 30, 2024</t>
  </si>
  <si>
    <t>2025 - Wholesale Customers Utility Specific Access Charge Rate Calculations</t>
  </si>
  <si>
    <t>TRBAA Balance @ 9/30/2024</t>
  </si>
  <si>
    <t>Forecast 2025 - Net Transmission Revenue Credits</t>
  </si>
  <si>
    <t>Average TRBAA Rate Calculation for January 2024</t>
  </si>
  <si>
    <t xml:space="preserve">   Prior Year - TRBAA Rate 2023</t>
  </si>
  <si>
    <t xml:space="preserve">   Current Year - TRBAA Rate 2024</t>
  </si>
  <si>
    <t>Average TRBAA Rate Calculation for January 2024:</t>
  </si>
  <si>
    <t xml:space="preserve">FF&amp;U Per FERC ER24-524-000 (2024 Rates) </t>
  </si>
  <si>
    <t>Total Wheeling Revenues Forecast based on recorded HV-LV wheeling revenues ending 9/30/2024</t>
  </si>
  <si>
    <t>Total Settlements, Metering &amp; Client Relations Expense Forecast based on recorded CC4575 ending 9/30/2024</t>
  </si>
  <si>
    <t>Total ETC Cost Differentials Expense Forecast based on recorded other various CAISO charges ending 9/30/2024</t>
  </si>
  <si>
    <t>Total Other PTO Related Revenue (Credits)/Charges based on recorded specific various CAISO charges ending 9/30/2024</t>
  </si>
  <si>
    <r>
      <t xml:space="preserve">January 2025 - December 2025 </t>
    </r>
    <r>
      <rPr>
        <b/>
        <vertAlign val="superscript"/>
        <sz val="12"/>
        <rFont val="Times New Roman"/>
        <family val="1"/>
      </rPr>
      <t xml:space="preserve"> 1</t>
    </r>
  </si>
  <si>
    <t>Present Rates are defined as rates effective pursuant to ER24-212.</t>
  </si>
  <si>
    <t>TRBAA Rates; ER23-257 (Oct - Dec 2023); ER24-212 (Jan - Sep 2024)</t>
  </si>
  <si>
    <t>TO6 Cycle 1 - Recorded Gross Plant Balances; Dollars in ($000)</t>
  </si>
  <si>
    <t>TO6 Cycle 1 - Weighted Forecast Plant Additions; Dollars in ($000)</t>
  </si>
  <si>
    <t>Per Cost Statement BB; Page 1; Line 24 of SDG&amp;E's TO6-Cycle 1 Annual Informational Filing.</t>
  </si>
  <si>
    <t>The 1.0413 factor is used to convert the retail sales forecast at meter level up to the transmission level.</t>
  </si>
  <si>
    <t>HV-LV Plant Study; Line 38 of SDG&amp;E's TO6 Cycle 1 Annual  Informational Filing</t>
  </si>
  <si>
    <t xml:space="preserve"> Forecast Plant; Line 16 of SDG&amp;E's TO6 Cycle 1 Annual Informational Filing</t>
  </si>
  <si>
    <t>Wholesale Base TRR information comes from Cost Statement BK-2 of SDG&amp;E's TO5 Cycle 6 Annual Informational Filing.</t>
  </si>
  <si>
    <t>Standby Revenue amount of $15,948,492, from Cost Statement BG; Page 1; Column A; Line 26, of SDG&amp;E's TO5 Cycle 6 Annual Informational Filing.</t>
  </si>
  <si>
    <t>Wholesale Base TRR information comes from SDG&amp;E's TO5 Cycle 6 Annual Informational Filing.</t>
  </si>
  <si>
    <t>0525</t>
  </si>
  <si>
    <t>FERC Fees Under/Over Recovery</t>
  </si>
  <si>
    <t xml:space="preserve">TO5-Cycle 6 Informational Filing-Wholesale Base TRR  </t>
  </si>
  <si>
    <t>Work Paper 10; Pages 10.1 - 10.3; Line 44</t>
  </si>
  <si>
    <t>In accordance with the CAISO Tariff Appendix DD, Section 7.6, SDG&amp;E, as a PTO, received $1,047,410.43 under CAISO Charge Code 8526 in September, 2024, and this was recorded in the TRBA.  Of this amount, $324,866.67 is associated with the High Voltage Transmission Revenue Requirement and $722,544.75 is associated with the Low Voltage Transmission Revenue Requirement.</t>
  </si>
  <si>
    <t>Adjusted Total ETC Cost Differential - Line 44 above</t>
  </si>
  <si>
    <t>Col. C, Line 40 x Line 11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</si>
</sst>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  <numFmt numFmtId="169" formatCode="0.000%"/>
    <numFmt numFmtId="170" formatCode="0.0000%"/>
    <numFmt numFmtId="171" formatCode="[$-409]mmmm\-yy;@"/>
    <numFmt numFmtId="172" formatCode="&quot;$&quot;#,##0.00000"/>
    <numFmt numFmtId="173" formatCode="0.00000%"/>
    <numFmt numFmtId="174" formatCode="[$-409]mmm\-yy;@"/>
    <numFmt numFmtId="175" formatCode="_(* #,##0.00000_);_(* \(#,##0.00000\);_(* &quot;-&quot;??_);_(@_)"/>
    <numFmt numFmtId="176" formatCode="#,##0.0000000_);[Red]\(#,##0.0000000\)"/>
    <numFmt numFmtId="177" formatCode="mmmm\-yy"/>
    <numFmt numFmtId="178" formatCode="0.0000"/>
    <numFmt numFmtId="179" formatCode="_(* #,##0.00000_);_(* \(#,##0.00000\);_(* &quot;-&quot;_);_(@_)"/>
    <numFmt numFmtId="180" formatCode="0.0%"/>
    <numFmt numFmtId="181" formatCode="_(* #,##0.0000_);_(* \(#,##0.0000\);_(* &quot;-&quot;_);_(@_)"/>
    <numFmt numFmtId="182" formatCode="_(* #,##0.0_);_(* \(#,##0.0\);_(* &quot;-&quot;??_);_(@_)"/>
    <numFmt numFmtId="183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8"/>
      <name val="Arial"/>
      <family val="2"/>
    </font>
    <font>
      <b/>
      <i/>
      <u/>
      <sz val="10"/>
      <name val="Times New Roman"/>
      <family val="1"/>
    </font>
    <font>
      <b/>
      <i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3"/>
      <name val="Times New Roman"/>
      <family val="1"/>
    </font>
    <font>
      <vertAlign val="superscript"/>
      <sz val="13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u/>
      <sz val="13"/>
      <name val="Times New Roman"/>
      <family val="1"/>
    </font>
    <font>
      <vertAlign val="superscript"/>
      <sz val="14"/>
      <name val="Times New Roman"/>
      <family val="1"/>
    </font>
    <font>
      <b/>
      <u/>
      <sz val="11"/>
      <name val="Times New Roman"/>
      <family val="1"/>
    </font>
    <font>
      <b/>
      <vertAlign val="superscript"/>
      <sz val="14"/>
      <name val="Times New Roman"/>
      <family val="1"/>
    </font>
    <font>
      <sz val="14"/>
      <name val="Arial"/>
      <family val="2"/>
    </font>
    <font>
      <sz val="10"/>
      <name val="System"/>
      <family val="2"/>
    </font>
    <font>
      <u/>
      <sz val="10"/>
      <name val="Arial"/>
      <family val="2"/>
    </font>
    <font>
      <b/>
      <sz val="10"/>
      <name val="Arial"/>
      <family val="2"/>
    </font>
    <font>
      <i/>
      <u/>
      <sz val="12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2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6" fillId="0" borderId="0"/>
    <xf numFmtId="0" fontId="7" fillId="0" borderId="0"/>
    <xf numFmtId="9" fontId="7" fillId="0" borderId="0" applyFont="0" applyFill="0" applyBorder="0" applyAlignment="0" applyProtection="0"/>
    <xf numFmtId="0" fontId="32" fillId="0" borderId="0"/>
    <xf numFmtId="0" fontId="6" fillId="0" borderId="0"/>
    <xf numFmtId="0" fontId="7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93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1" fontId="9" fillId="0" borderId="0" xfId="0" applyNumberFormat="1" applyFont="1"/>
    <xf numFmtId="0" fontId="10" fillId="0" borderId="0" xfId="0" applyFont="1" applyAlignment="1">
      <alignment horizontal="centerContinuous" vertical="justify"/>
    </xf>
    <xf numFmtId="0" fontId="8" fillId="0" borderId="0" xfId="0" applyFont="1" applyAlignment="1">
      <alignment horizontal="centerContinuous" vertical="justify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2" applyNumberFormat="1" applyFont="1" applyBorder="1"/>
    <xf numFmtId="44" fontId="11" fillId="0" borderId="2" xfId="2" applyFont="1" applyBorder="1"/>
    <xf numFmtId="166" fontId="11" fillId="0" borderId="2" xfId="0" applyNumberFormat="1" applyFont="1" applyBorder="1"/>
    <xf numFmtId="0" fontId="11" fillId="0" borderId="2" xfId="0" applyFont="1" applyBorder="1"/>
    <xf numFmtId="17" fontId="11" fillId="0" borderId="2" xfId="0" applyNumberFormat="1" applyFont="1" applyBorder="1" applyAlignment="1">
      <alignment horizontal="left"/>
    </xf>
    <xf numFmtId="166" fontId="11" fillId="0" borderId="2" xfId="2" applyNumberFormat="1" applyFont="1" applyBorder="1"/>
    <xf numFmtId="17" fontId="12" fillId="0" borderId="2" xfId="0" applyNumberFormat="1" applyFont="1" applyBorder="1" applyAlignment="1">
      <alignment horizontal="left"/>
    </xf>
    <xf numFmtId="166" fontId="11" fillId="0" borderId="1" xfId="2" applyNumberFormat="1" applyFont="1" applyBorder="1"/>
    <xf numFmtId="0" fontId="11" fillId="0" borderId="0" xfId="0" applyFont="1"/>
    <xf numFmtId="44" fontId="11" fillId="0" borderId="2" xfId="2" applyFont="1" applyBorder="1" applyAlignment="1">
      <alignment horizontal="center"/>
    </xf>
    <xf numFmtId="166" fontId="11" fillId="0" borderId="2" xfId="0" applyNumberFormat="1" applyFont="1" applyBorder="1" applyAlignment="1">
      <alignment horizontal="left"/>
    </xf>
    <xf numFmtId="10" fontId="11" fillId="0" borderId="2" xfId="5" applyNumberFormat="1" applyFont="1" applyBorder="1"/>
    <xf numFmtId="166" fontId="11" fillId="0" borderId="2" xfId="2" applyNumberFormat="1" applyFont="1" applyBorder="1" applyAlignment="1">
      <alignment horizontal="center"/>
    </xf>
    <xf numFmtId="0" fontId="11" fillId="0" borderId="5" xfId="0" applyFont="1" applyBorder="1"/>
    <xf numFmtId="166" fontId="11" fillId="0" borderId="0" xfId="2" applyNumberFormat="1" applyFont="1" applyBorder="1"/>
    <xf numFmtId="44" fontId="11" fillId="0" borderId="4" xfId="2" applyFont="1" applyBorder="1" applyAlignment="1">
      <alignment horizontal="center"/>
    </xf>
    <xf numFmtId="10" fontId="11" fillId="0" borderId="2" xfId="0" applyNumberFormat="1" applyFont="1" applyBorder="1"/>
    <xf numFmtId="165" fontId="11" fillId="0" borderId="2" xfId="1" applyNumberFormat="1" applyFont="1" applyBorder="1"/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1" fillId="0" borderId="2" xfId="1" applyNumberFormat="1" applyFont="1" applyBorder="1" applyAlignment="1">
      <alignment horizontal="center"/>
    </xf>
    <xf numFmtId="167" fontId="11" fillId="0" borderId="4" xfId="2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3" xfId="1" applyNumberFormat="1" applyFont="1" applyBorder="1"/>
    <xf numFmtId="165" fontId="11" fillId="0" borderId="2" xfId="1" applyNumberFormat="1" applyFont="1" applyBorder="1" applyAlignment="1">
      <alignment horizontal="left"/>
    </xf>
    <xf numFmtId="165" fontId="11" fillId="0" borderId="3" xfId="1" applyNumberFormat="1" applyFont="1" applyBorder="1" applyAlignment="1">
      <alignment horizontal="left"/>
    </xf>
    <xf numFmtId="0" fontId="11" fillId="0" borderId="0" xfId="0" applyFont="1" applyAlignment="1">
      <alignment horizontal="centerContinuous" vertical="justify"/>
    </xf>
    <xf numFmtId="166" fontId="11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165" fontId="11" fillId="0" borderId="2" xfId="1" applyNumberFormat="1" applyFont="1" applyFill="1" applyBorder="1"/>
    <xf numFmtId="41" fontId="11" fillId="0" borderId="2" xfId="0" applyNumberFormat="1" applyFont="1" applyBorder="1"/>
    <xf numFmtId="41" fontId="11" fillId="0" borderId="3" xfId="0" applyNumberFormat="1" applyFont="1" applyBorder="1"/>
    <xf numFmtId="41" fontId="11" fillId="0" borderId="4" xfId="0" applyNumberFormat="1" applyFont="1" applyBorder="1"/>
    <xf numFmtId="41" fontId="11" fillId="0" borderId="0" xfId="0" applyNumberFormat="1" applyFont="1"/>
    <xf numFmtId="41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5" fontId="11" fillId="0" borderId="3" xfId="1" applyNumberFormat="1" applyFont="1" applyFill="1" applyBorder="1"/>
    <xf numFmtId="17" fontId="11" fillId="0" borderId="1" xfId="0" applyNumberFormat="1" applyFont="1" applyBorder="1" applyAlignment="1">
      <alignment horizontal="center"/>
    </xf>
    <xf numFmtId="165" fontId="11" fillId="0" borderId="1" xfId="1" applyNumberFormat="1" applyFont="1" applyBorder="1"/>
    <xf numFmtId="165" fontId="11" fillId="0" borderId="0" xfId="1" applyNumberFormat="1" applyFont="1" applyBorder="1"/>
    <xf numFmtId="0" fontId="9" fillId="0" borderId="12" xfId="0" applyFont="1" applyBorder="1"/>
    <xf numFmtId="0" fontId="11" fillId="0" borderId="9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165" fontId="11" fillId="0" borderId="13" xfId="1" applyNumberFormat="1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44" fontId="11" fillId="0" borderId="8" xfId="2" applyFont="1" applyBorder="1" applyAlignment="1">
      <alignment horizontal="center"/>
    </xf>
    <xf numFmtId="44" fontId="10" fillId="0" borderId="8" xfId="2" applyFont="1" applyBorder="1" applyAlignment="1">
      <alignment horizontal="center"/>
    </xf>
    <xf numFmtId="44" fontId="10" fillId="0" borderId="8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7" fontId="11" fillId="0" borderId="9" xfId="0" applyNumberFormat="1" applyFont="1" applyBorder="1" applyAlignment="1">
      <alignment horizontal="left"/>
    </xf>
    <xf numFmtId="0" fontId="11" fillId="0" borderId="9" xfId="0" applyFont="1" applyBorder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3" fillId="0" borderId="0" xfId="0" quotePrefix="1" applyFont="1" applyAlignment="1">
      <alignment horizontal="center"/>
    </xf>
    <xf numFmtId="44" fontId="18" fillId="0" borderId="8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66" fontId="10" fillId="0" borderId="0" xfId="2" applyNumberFormat="1" applyFont="1" applyBorder="1"/>
    <xf numFmtId="166" fontId="10" fillId="0" borderId="4" xfId="2" applyNumberFormat="1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0" fontId="11" fillId="0" borderId="0" xfId="0" applyNumberFormat="1" applyFont="1"/>
    <xf numFmtId="38" fontId="11" fillId="0" borderId="2" xfId="0" applyNumberFormat="1" applyFont="1" applyBorder="1"/>
    <xf numFmtId="0" fontId="11" fillId="0" borderId="12" xfId="0" applyFont="1" applyBorder="1"/>
    <xf numFmtId="0" fontId="11" fillId="0" borderId="13" xfId="0" applyFont="1" applyBorder="1"/>
    <xf numFmtId="165" fontId="11" fillId="0" borderId="13" xfId="1" applyNumberFormat="1" applyFont="1" applyFill="1" applyBorder="1"/>
    <xf numFmtId="0" fontId="14" fillId="0" borderId="0" xfId="0" quotePrefix="1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44" fontId="18" fillId="0" borderId="8" xfId="0" applyNumberFormat="1" applyFont="1" applyBorder="1" applyAlignment="1">
      <alignment horizontal="center"/>
    </xf>
    <xf numFmtId="0" fontId="11" fillId="0" borderId="15" xfId="0" applyFont="1" applyBorder="1"/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1" fillId="0" borderId="8" xfId="0" applyFont="1" applyBorder="1"/>
    <xf numFmtId="0" fontId="10" fillId="0" borderId="0" xfId="0" applyFont="1" applyAlignment="1">
      <alignment horizontal="left"/>
    </xf>
    <xf numFmtId="165" fontId="11" fillId="0" borderId="0" xfId="1" applyNumberFormat="1" applyFont="1" applyFill="1" applyBorder="1"/>
    <xf numFmtId="0" fontId="10" fillId="0" borderId="2" xfId="0" applyFont="1" applyBorder="1"/>
    <xf numFmtId="37" fontId="11" fillId="0" borderId="2" xfId="0" applyNumberFormat="1" applyFont="1" applyBorder="1"/>
    <xf numFmtId="37" fontId="11" fillId="0" borderId="3" xfId="0" applyNumberFormat="1" applyFont="1" applyBorder="1"/>
    <xf numFmtId="166" fontId="11" fillId="0" borderId="10" xfId="2" applyNumberFormat="1" applyFont="1" applyBorder="1"/>
    <xf numFmtId="0" fontId="20" fillId="0" borderId="2" xfId="0" applyFont="1" applyBorder="1"/>
    <xf numFmtId="0" fontId="20" fillId="0" borderId="13" xfId="0" applyFont="1" applyBorder="1"/>
    <xf numFmtId="166" fontId="11" fillId="0" borderId="13" xfId="2" applyNumberFormat="1" applyFont="1" applyBorder="1"/>
    <xf numFmtId="166" fontId="10" fillId="0" borderId="2" xfId="2" applyNumberFormat="1" applyFont="1" applyBorder="1"/>
    <xf numFmtId="168" fontId="11" fillId="0" borderId="3" xfId="2" applyNumberFormat="1" applyFont="1" applyFill="1" applyBorder="1"/>
    <xf numFmtId="166" fontId="11" fillId="0" borderId="3" xfId="2" applyNumberFormat="1" applyFont="1" applyFill="1" applyBorder="1"/>
    <xf numFmtId="166" fontId="25" fillId="0" borderId="0" xfId="0" applyNumberFormat="1" applyFont="1"/>
    <xf numFmtId="0" fontId="24" fillId="0" borderId="13" xfId="0" applyFont="1" applyBorder="1" applyAlignment="1">
      <alignment horizontal="center"/>
    </xf>
    <xf numFmtId="174" fontId="11" fillId="0" borderId="2" xfId="0" applyNumberFormat="1" applyFont="1" applyBorder="1" applyAlignment="1">
      <alignment horizontal="center"/>
    </xf>
    <xf numFmtId="0" fontId="11" fillId="0" borderId="0" xfId="3" applyFont="1"/>
    <xf numFmtId="17" fontId="11" fillId="0" borderId="2" xfId="3" applyNumberFormat="1" applyFont="1" applyBorder="1" applyAlignment="1">
      <alignment horizontal="center"/>
    </xf>
    <xf numFmtId="17" fontId="11" fillId="0" borderId="13" xfId="3" applyNumberFormat="1" applyFont="1" applyBorder="1" applyAlignment="1">
      <alignment horizontal="center"/>
    </xf>
    <xf numFmtId="169" fontId="11" fillId="0" borderId="0" xfId="5" applyNumberFormat="1" applyFont="1" applyBorder="1"/>
    <xf numFmtId="0" fontId="9" fillId="0" borderId="0" xfId="3" applyFont="1" applyAlignment="1">
      <alignment horizontal="left"/>
    </xf>
    <xf numFmtId="0" fontId="9" fillId="0" borderId="0" xfId="3" applyFont="1"/>
    <xf numFmtId="0" fontId="11" fillId="0" borderId="0" xfId="3" quotePrefix="1" applyFont="1" applyAlignment="1">
      <alignment horizontal="center"/>
    </xf>
    <xf numFmtId="164" fontId="11" fillId="0" borderId="2" xfId="0" applyNumberFormat="1" applyFont="1" applyBorder="1"/>
    <xf numFmtId="170" fontId="11" fillId="0" borderId="2" xfId="5" applyNumberFormat="1" applyFont="1" applyBorder="1"/>
    <xf numFmtId="165" fontId="11" fillId="0" borderId="19" xfId="1" applyNumberFormat="1" applyFont="1" applyBorder="1"/>
    <xf numFmtId="165" fontId="11" fillId="0" borderId="19" xfId="1" applyNumberFormat="1" applyFont="1" applyFill="1" applyBorder="1"/>
    <xf numFmtId="165" fontId="11" fillId="0" borderId="22" xfId="1" applyNumberFormat="1" applyFont="1" applyBorder="1"/>
    <xf numFmtId="165" fontId="11" fillId="0" borderId="22" xfId="1" applyNumberFormat="1" applyFont="1" applyFill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4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8" xfId="0" applyFont="1" applyBorder="1"/>
    <xf numFmtId="0" fontId="11" fillId="0" borderId="29" xfId="0" applyFont="1" applyBorder="1"/>
    <xf numFmtId="165" fontId="10" fillId="0" borderId="20" xfId="1" applyNumberFormat="1" applyFont="1" applyFill="1" applyBorder="1"/>
    <xf numFmtId="165" fontId="10" fillId="0" borderId="23" xfId="1" applyNumberFormat="1" applyFont="1" applyFill="1" applyBorder="1"/>
    <xf numFmtId="0" fontId="10" fillId="0" borderId="0" xfId="3" applyFont="1" applyAlignment="1">
      <alignment horizontal="centerContinuous" vertical="justify"/>
    </xf>
    <xf numFmtId="0" fontId="8" fillId="0" borderId="0" xfId="3" applyFont="1" applyAlignment="1">
      <alignment horizontal="centerContinuous" vertical="justify"/>
    </xf>
    <xf numFmtId="0" fontId="11" fillId="0" borderId="0" xfId="3" applyFont="1" applyAlignment="1">
      <alignment horizontal="left"/>
    </xf>
    <xf numFmtId="0" fontId="10" fillId="0" borderId="4" xfId="3" applyFont="1" applyBorder="1" applyAlignment="1">
      <alignment horizontal="center"/>
    </xf>
    <xf numFmtId="0" fontId="11" fillId="0" borderId="0" xfId="4" applyFont="1"/>
    <xf numFmtId="166" fontId="11" fillId="0" borderId="14" xfId="2" applyNumberFormat="1" applyFont="1" applyBorder="1"/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/>
    <xf numFmtId="166" fontId="11" fillId="0" borderId="1" xfId="2" applyNumberFormat="1" applyFont="1" applyFill="1" applyBorder="1"/>
    <xf numFmtId="0" fontId="11" fillId="0" borderId="38" xfId="0" applyFont="1" applyBorder="1" applyAlignment="1">
      <alignment horizontal="center"/>
    </xf>
    <xf numFmtId="165" fontId="11" fillId="0" borderId="0" xfId="1" applyNumberFormat="1" applyFont="1"/>
    <xf numFmtId="166" fontId="11" fillId="0" borderId="2" xfId="2" applyNumberFormat="1" applyFont="1" applyFill="1" applyBorder="1"/>
    <xf numFmtId="0" fontId="9" fillId="0" borderId="6" xfId="0" applyFont="1" applyBorder="1"/>
    <xf numFmtId="166" fontId="11" fillId="0" borderId="0" xfId="0" applyNumberFormat="1" applyFont="1"/>
    <xf numFmtId="0" fontId="28" fillId="0" borderId="8" xfId="0" applyFont="1" applyBorder="1" applyAlignment="1">
      <alignment horizontal="center"/>
    </xf>
    <xf numFmtId="0" fontId="13" fillId="0" borderId="0" xfId="0" applyFont="1"/>
    <xf numFmtId="0" fontId="11" fillId="0" borderId="37" xfId="0" applyFont="1" applyBorder="1"/>
    <xf numFmtId="0" fontId="11" fillId="0" borderId="41" xfId="0" applyFont="1" applyBorder="1"/>
    <xf numFmtId="165" fontId="11" fillId="0" borderId="28" xfId="1" applyNumberFormat="1" applyFont="1" applyFill="1" applyBorder="1"/>
    <xf numFmtId="0" fontId="11" fillId="0" borderId="28" xfId="0" applyFont="1" applyBorder="1" applyAlignment="1">
      <alignment horizontal="left"/>
    </xf>
    <xf numFmtId="0" fontId="11" fillId="0" borderId="39" xfId="0" applyFont="1" applyBorder="1" applyAlignment="1">
      <alignment horizontal="center"/>
    </xf>
    <xf numFmtId="165" fontId="10" fillId="0" borderId="0" xfId="1" applyNumberFormat="1" applyFont="1"/>
    <xf numFmtId="173" fontId="11" fillId="0" borderId="3" xfId="5" applyNumberFormat="1" applyFont="1" applyFill="1" applyBorder="1"/>
    <xf numFmtId="0" fontId="10" fillId="0" borderId="13" xfId="0" applyFont="1" applyBorder="1" applyAlignment="1">
      <alignment horizontal="center"/>
    </xf>
    <xf numFmtId="166" fontId="10" fillId="0" borderId="3" xfId="2" applyNumberFormat="1" applyFont="1" applyBorder="1"/>
    <xf numFmtId="165" fontId="10" fillId="0" borderId="4" xfId="1" applyNumberFormat="1" applyFont="1" applyBorder="1"/>
    <xf numFmtId="0" fontId="21" fillId="0" borderId="0" xfId="0" applyFont="1" applyAlignment="1">
      <alignment horizontal="left"/>
    </xf>
    <xf numFmtId="44" fontId="18" fillId="0" borderId="2" xfId="2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9" fillId="0" borderId="2" xfId="0" applyFont="1" applyBorder="1"/>
    <xf numFmtId="0" fontId="8" fillId="0" borderId="13" xfId="0" applyFont="1" applyBorder="1" applyAlignment="1">
      <alignment horizontal="center"/>
    </xf>
    <xf numFmtId="166" fontId="18" fillId="0" borderId="2" xfId="2" applyNumberFormat="1" applyFont="1" applyBorder="1"/>
    <xf numFmtId="165" fontId="18" fillId="0" borderId="2" xfId="1" applyNumberFormat="1" applyFont="1" applyBorder="1"/>
    <xf numFmtId="165" fontId="10" fillId="0" borderId="2" xfId="1" applyNumberFormat="1" applyFont="1" applyFill="1" applyBorder="1"/>
    <xf numFmtId="0" fontId="30" fillId="0" borderId="0" xfId="3" quotePrefix="1" applyFont="1" applyAlignment="1">
      <alignment horizontal="center"/>
    </xf>
    <xf numFmtId="0" fontId="10" fillId="0" borderId="48" xfId="0" quotePrefix="1" applyFont="1" applyBorder="1" applyAlignment="1">
      <alignment horizontal="center"/>
    </xf>
    <xf numFmtId="0" fontId="11" fillId="0" borderId="42" xfId="0" applyFont="1" applyBorder="1"/>
    <xf numFmtId="0" fontId="23" fillId="0" borderId="4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1" fillId="0" borderId="38" xfId="0" applyFont="1" applyBorder="1"/>
    <xf numFmtId="0" fontId="10" fillId="0" borderId="37" xfId="0" applyFont="1" applyBorder="1"/>
    <xf numFmtId="172" fontId="11" fillId="0" borderId="36" xfId="0" applyNumberFormat="1" applyFont="1" applyBorder="1"/>
    <xf numFmtId="168" fontId="11" fillId="0" borderId="34" xfId="2" applyNumberFormat="1" applyFont="1" applyBorder="1"/>
    <xf numFmtId="168" fontId="11" fillId="0" borderId="35" xfId="2" applyNumberFormat="1" applyFont="1" applyBorder="1"/>
    <xf numFmtId="164" fontId="11" fillId="0" borderId="40" xfId="0" applyNumberFormat="1" applyFont="1" applyBorder="1"/>
    <xf numFmtId="0" fontId="10" fillId="0" borderId="34" xfId="0" applyFont="1" applyBorder="1"/>
    <xf numFmtId="0" fontId="11" fillId="0" borderId="7" xfId="0" applyFont="1" applyBorder="1" applyAlignment="1">
      <alignment horizontal="center"/>
    </xf>
    <xf numFmtId="3" fontId="11" fillId="0" borderId="0" xfId="0" applyNumberFormat="1" applyFont="1"/>
    <xf numFmtId="3" fontId="11" fillId="0" borderId="3" xfId="0" applyNumberFormat="1" applyFont="1" applyBorder="1"/>
    <xf numFmtId="165" fontId="9" fillId="0" borderId="0" xfId="1" applyNumberFormat="1" applyFont="1"/>
    <xf numFmtId="0" fontId="31" fillId="0" borderId="0" xfId="0" applyFont="1"/>
    <xf numFmtId="0" fontId="10" fillId="0" borderId="2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11" fillId="0" borderId="43" xfId="0" applyFont="1" applyBorder="1"/>
    <xf numFmtId="0" fontId="21" fillId="0" borderId="28" xfId="0" applyFont="1" applyBorder="1" applyAlignment="1">
      <alignment horizontal="left"/>
    </xf>
    <xf numFmtId="17" fontId="21" fillId="0" borderId="22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74" fontId="11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166" fontId="10" fillId="0" borderId="3" xfId="2" applyNumberFormat="1" applyFont="1" applyFill="1" applyBorder="1"/>
    <xf numFmtId="166" fontId="10" fillId="0" borderId="4" xfId="2" applyNumberFormat="1" applyFont="1" applyFill="1" applyBorder="1"/>
    <xf numFmtId="0" fontId="11" fillId="0" borderId="0" xfId="0" applyFont="1" applyAlignment="1">
      <alignment vertical="center"/>
    </xf>
    <xf numFmtId="44" fontId="18" fillId="0" borderId="8" xfId="2" applyFont="1" applyBorder="1" applyAlignment="1">
      <alignment horizontal="center" wrapText="1"/>
    </xf>
    <xf numFmtId="44" fontId="19" fillId="0" borderId="8" xfId="2" applyFont="1" applyBorder="1"/>
    <xf numFmtId="44" fontId="19" fillId="0" borderId="2" xfId="2" applyFont="1" applyBorder="1"/>
    <xf numFmtId="165" fontId="11" fillId="0" borderId="0" xfId="1" applyNumberFormat="1" applyFont="1" applyFill="1"/>
    <xf numFmtId="3" fontId="11" fillId="0" borderId="19" xfId="0" applyNumberFormat="1" applyFont="1" applyBorder="1"/>
    <xf numFmtId="3" fontId="11" fillId="0" borderId="22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19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3" fontId="11" fillId="0" borderId="53" xfId="0" applyNumberFormat="1" applyFont="1" applyBorder="1" applyAlignment="1">
      <alignment horizontal="right"/>
    </xf>
    <xf numFmtId="3" fontId="11" fillId="0" borderId="54" xfId="0" applyNumberFormat="1" applyFont="1" applyBorder="1" applyAlignment="1">
      <alignment horizontal="right"/>
    </xf>
    <xf numFmtId="3" fontId="11" fillId="0" borderId="55" xfId="0" applyNumberFormat="1" applyFont="1" applyBorder="1" applyAlignment="1">
      <alignment horizontal="right"/>
    </xf>
    <xf numFmtId="0" fontId="10" fillId="0" borderId="19" xfId="0" applyFont="1" applyBorder="1" applyAlignment="1">
      <alignment horizontal="left"/>
    </xf>
    <xf numFmtId="3" fontId="11" fillId="0" borderId="5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7" xfId="0" applyNumberFormat="1" applyFont="1" applyBorder="1" applyAlignment="1">
      <alignment horizontal="right"/>
    </xf>
    <xf numFmtId="0" fontId="11" fillId="0" borderId="20" xfId="0" applyFont="1" applyBorder="1"/>
    <xf numFmtId="3" fontId="11" fillId="0" borderId="12" xfId="0" applyNumberFormat="1" applyFont="1" applyBorder="1"/>
    <xf numFmtId="3" fontId="11" fillId="0" borderId="23" xfId="0" applyNumberFormat="1" applyFont="1" applyBorder="1"/>
    <xf numFmtId="0" fontId="27" fillId="0" borderId="28" xfId="0" applyFont="1" applyBorder="1"/>
    <xf numFmtId="17" fontId="21" fillId="0" borderId="19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1" fillId="0" borderId="28" xfId="0" applyFont="1" applyBorder="1"/>
    <xf numFmtId="0" fontId="11" fillId="0" borderId="19" xfId="0" applyFont="1" applyBorder="1"/>
    <xf numFmtId="3" fontId="11" fillId="0" borderId="7" xfId="0" applyNumberFormat="1" applyFont="1" applyBorder="1"/>
    <xf numFmtId="3" fontId="11" fillId="0" borderId="53" xfId="0" applyNumberFormat="1" applyFont="1" applyBorder="1"/>
    <xf numFmtId="3" fontId="11" fillId="0" borderId="54" xfId="0" applyNumberFormat="1" applyFont="1" applyBorder="1"/>
    <xf numFmtId="3" fontId="11" fillId="0" borderId="55" xfId="0" applyNumberFormat="1" applyFont="1" applyBorder="1"/>
    <xf numFmtId="0" fontId="11" fillId="0" borderId="21" xfId="0" applyFont="1" applyBorder="1"/>
    <xf numFmtId="3" fontId="11" fillId="0" borderId="59" xfId="0" applyNumberFormat="1" applyFont="1" applyBorder="1"/>
    <xf numFmtId="3" fontId="11" fillId="0" borderId="60" xfId="0" applyNumberFormat="1" applyFont="1" applyBorder="1"/>
    <xf numFmtId="166" fontId="10" fillId="0" borderId="4" xfId="0" applyNumberFormat="1" applyFont="1" applyBorder="1"/>
    <xf numFmtId="166" fontId="10" fillId="0" borderId="2" xfId="2" applyNumberFormat="1" applyFont="1" applyFill="1" applyBorder="1"/>
    <xf numFmtId="10" fontId="10" fillId="0" borderId="4" xfId="5" applyNumberFormat="1" applyFont="1" applyFill="1" applyBorder="1"/>
    <xf numFmtId="0" fontId="16" fillId="0" borderId="12" xfId="0" applyFont="1" applyBorder="1" applyAlignment="1">
      <alignment horizontal="left"/>
    </xf>
    <xf numFmtId="10" fontId="10" fillId="0" borderId="13" xfId="5" applyNumberFormat="1" applyFont="1" applyFill="1" applyBorder="1" applyAlignment="1">
      <alignment horizontal="right"/>
    </xf>
    <xf numFmtId="166" fontId="11" fillId="0" borderId="4" xfId="2" applyNumberFormat="1" applyFont="1" applyFill="1" applyBorder="1"/>
    <xf numFmtId="166" fontId="11" fillId="0" borderId="13" xfId="2" applyNumberFormat="1" applyFont="1" applyFill="1" applyBorder="1"/>
    <xf numFmtId="166" fontId="11" fillId="0" borderId="13" xfId="0" applyNumberFormat="1" applyFont="1" applyBorder="1"/>
    <xf numFmtId="0" fontId="11" fillId="0" borderId="8" xfId="0" applyFont="1" applyBorder="1" applyAlignment="1">
      <alignment horizontal="left"/>
    </xf>
    <xf numFmtId="17" fontId="12" fillId="0" borderId="8" xfId="0" applyNumberFormat="1" applyFont="1" applyBorder="1" applyAlignment="1">
      <alignment horizontal="left"/>
    </xf>
    <xf numFmtId="165" fontId="11" fillId="0" borderId="8" xfId="1" applyNumberFormat="1" applyFont="1" applyBorder="1" applyAlignment="1">
      <alignment horizontal="left"/>
    </xf>
    <xf numFmtId="165" fontId="11" fillId="0" borderId="8" xfId="1" applyNumberFormat="1" applyFont="1" applyBorder="1"/>
    <xf numFmtId="166" fontId="11" fillId="0" borderId="8" xfId="2" applyNumberFormat="1" applyFont="1" applyBorder="1"/>
    <xf numFmtId="41" fontId="18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/>
    <xf numFmtId="166" fontId="11" fillId="0" borderId="42" xfId="2" applyNumberFormat="1" applyFont="1" applyBorder="1"/>
    <xf numFmtId="166" fontId="11" fillId="0" borderId="42" xfId="2" applyNumberFormat="1" applyFont="1" applyFill="1" applyBorder="1"/>
    <xf numFmtId="166" fontId="11" fillId="0" borderId="61" xfId="2" applyNumberFormat="1" applyFont="1" applyFill="1" applyBorder="1"/>
    <xf numFmtId="0" fontId="11" fillId="0" borderId="39" xfId="0" applyFont="1" applyBorder="1"/>
    <xf numFmtId="165" fontId="11" fillId="0" borderId="9" xfId="1" applyNumberFormat="1" applyFont="1" applyBorder="1"/>
    <xf numFmtId="166" fontId="11" fillId="0" borderId="45" xfId="2" applyNumberFormat="1" applyFont="1" applyBorder="1"/>
    <xf numFmtId="0" fontId="11" fillId="0" borderId="61" xfId="0" applyFont="1" applyBorder="1"/>
    <xf numFmtId="0" fontId="11" fillId="0" borderId="62" xfId="0" applyFont="1" applyBorder="1" applyAlignment="1">
      <alignment horizontal="center"/>
    </xf>
    <xf numFmtId="38" fontId="11" fillId="0" borderId="8" xfId="0" applyNumberFormat="1" applyFont="1" applyBorder="1"/>
    <xf numFmtId="165" fontId="11" fillId="0" borderId="6" xfId="1" applyNumberFormat="1" applyFont="1" applyBorder="1"/>
    <xf numFmtId="166" fontId="11" fillId="0" borderId="63" xfId="2" applyNumberFormat="1" applyFont="1" applyBorder="1"/>
    <xf numFmtId="166" fontId="11" fillId="0" borderId="6" xfId="2" applyNumberFormat="1" applyFont="1" applyBorder="1"/>
    <xf numFmtId="37" fontId="11" fillId="0" borderId="8" xfId="0" applyNumberFormat="1" applyFont="1" applyBorder="1"/>
    <xf numFmtId="166" fontId="11" fillId="0" borderId="8" xfId="2" applyNumberFormat="1" applyFont="1" applyFill="1" applyBorder="1"/>
    <xf numFmtId="37" fontId="11" fillId="0" borderId="6" xfId="0" applyNumberFormat="1" applyFont="1" applyBorder="1"/>
    <xf numFmtId="173" fontId="11" fillId="0" borderId="6" xfId="5" applyNumberFormat="1" applyFont="1" applyFill="1" applyBorder="1"/>
    <xf numFmtId="166" fontId="11" fillId="0" borderId="6" xfId="2" applyNumberFormat="1" applyFont="1" applyFill="1" applyBorder="1"/>
    <xf numFmtId="166" fontId="11" fillId="0" borderId="52" xfId="2" applyNumberFormat="1" applyFont="1" applyBorder="1"/>
    <xf numFmtId="0" fontId="11" fillId="0" borderId="65" xfId="0" applyFont="1" applyBorder="1"/>
    <xf numFmtId="0" fontId="11" fillId="0" borderId="66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166" fontId="11" fillId="0" borderId="66" xfId="2" applyNumberFormat="1" applyFont="1" applyBorder="1"/>
    <xf numFmtId="166" fontId="11" fillId="0" borderId="67" xfId="2" applyNumberFormat="1" applyFont="1" applyFill="1" applyBorder="1"/>
    <xf numFmtId="38" fontId="11" fillId="0" borderId="66" xfId="0" applyNumberFormat="1" applyFont="1" applyBorder="1"/>
    <xf numFmtId="165" fontId="11" fillId="0" borderId="66" xfId="1" applyNumberFormat="1" applyFont="1" applyBorder="1"/>
    <xf numFmtId="165" fontId="11" fillId="0" borderId="67" xfId="1" applyNumberFormat="1" applyFont="1" applyBorder="1"/>
    <xf numFmtId="168" fontId="11" fillId="0" borderId="68" xfId="2" applyNumberFormat="1" applyFont="1" applyFill="1" applyBorder="1"/>
    <xf numFmtId="168" fontId="11" fillId="0" borderId="69" xfId="2" applyNumberFormat="1" applyFont="1" applyFill="1" applyBorder="1"/>
    <xf numFmtId="166" fontId="11" fillId="0" borderId="70" xfId="2" applyNumberFormat="1" applyFont="1" applyBorder="1"/>
    <xf numFmtId="165" fontId="11" fillId="0" borderId="68" xfId="1" applyNumberFormat="1" applyFont="1" applyBorder="1"/>
    <xf numFmtId="166" fontId="11" fillId="0" borderId="72" xfId="2" applyNumberFormat="1" applyFont="1" applyBorder="1"/>
    <xf numFmtId="166" fontId="11" fillId="0" borderId="73" xfId="2" applyNumberFormat="1" applyFont="1" applyBorder="1"/>
    <xf numFmtId="165" fontId="11" fillId="0" borderId="69" xfId="1" applyNumberFormat="1" applyFont="1" applyBorder="1"/>
    <xf numFmtId="166" fontId="11" fillId="0" borderId="67" xfId="2" applyNumberFormat="1" applyFont="1" applyBorder="1"/>
    <xf numFmtId="166" fontId="11" fillId="0" borderId="68" xfId="2" applyNumberFormat="1" applyFont="1" applyBorder="1"/>
    <xf numFmtId="37" fontId="11" fillId="0" borderId="66" xfId="0" applyNumberFormat="1" applyFont="1" applyBorder="1"/>
    <xf numFmtId="166" fontId="11" fillId="0" borderId="66" xfId="2" applyNumberFormat="1" applyFont="1" applyFill="1" applyBorder="1"/>
    <xf numFmtId="37" fontId="11" fillId="0" borderId="68" xfId="0" applyNumberFormat="1" applyFont="1" applyBorder="1"/>
    <xf numFmtId="37" fontId="11" fillId="0" borderId="69" xfId="0" applyNumberFormat="1" applyFont="1" applyBorder="1"/>
    <xf numFmtId="173" fontId="11" fillId="0" borderId="68" xfId="5" applyNumberFormat="1" applyFont="1" applyFill="1" applyBorder="1"/>
    <xf numFmtId="173" fontId="11" fillId="0" borderId="69" xfId="5" applyNumberFormat="1" applyFont="1" applyFill="1" applyBorder="1"/>
    <xf numFmtId="164" fontId="11" fillId="0" borderId="19" xfId="0" applyNumberFormat="1" applyFont="1" applyBorder="1"/>
    <xf numFmtId="0" fontId="10" fillId="0" borderId="64" xfId="0" applyFont="1" applyBorder="1"/>
    <xf numFmtId="38" fontId="11" fillId="0" borderId="67" xfId="0" applyNumberFormat="1" applyFont="1" applyBorder="1"/>
    <xf numFmtId="166" fontId="11" fillId="0" borderId="71" xfId="2" applyNumberFormat="1" applyFont="1" applyBorder="1"/>
    <xf numFmtId="165" fontId="11" fillId="0" borderId="66" xfId="1" applyNumberFormat="1" applyFont="1" applyFill="1" applyBorder="1"/>
    <xf numFmtId="166" fontId="11" fillId="0" borderId="69" xfId="2" applyNumberFormat="1" applyFont="1" applyBorder="1"/>
    <xf numFmtId="37" fontId="11" fillId="0" borderId="67" xfId="0" applyNumberFormat="1" applyFont="1" applyBorder="1"/>
    <xf numFmtId="166" fontId="11" fillId="0" borderId="77" xfId="2" applyNumberFormat="1" applyFont="1" applyBorder="1"/>
    <xf numFmtId="166" fontId="11" fillId="0" borderId="78" xfId="2" applyNumberFormat="1" applyFont="1" applyBorder="1"/>
    <xf numFmtId="166" fontId="11" fillId="0" borderId="21" xfId="2" applyNumberFormat="1" applyFont="1" applyBorder="1"/>
    <xf numFmtId="170" fontId="11" fillId="0" borderId="66" xfId="5" applyNumberFormat="1" applyFont="1" applyBorder="1"/>
    <xf numFmtId="170" fontId="11" fillId="0" borderId="67" xfId="5" applyNumberFormat="1" applyFont="1" applyBorder="1"/>
    <xf numFmtId="165" fontId="9" fillId="0" borderId="0" xfId="0" applyNumberFormat="1" applyFont="1"/>
    <xf numFmtId="0" fontId="11" fillId="0" borderId="64" xfId="0" applyFont="1" applyBorder="1" applyAlignment="1">
      <alignment horizontal="center"/>
    </xf>
    <xf numFmtId="0" fontId="9" fillId="0" borderId="43" xfId="0" applyFont="1" applyBorder="1"/>
    <xf numFmtId="0" fontId="11" fillId="0" borderId="77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18" fillId="0" borderId="0" xfId="0" applyFont="1" applyAlignment="1">
      <alignment horizontal="left"/>
    </xf>
    <xf numFmtId="40" fontId="11" fillId="0" borderId="2" xfId="0" applyNumberFormat="1" applyFont="1" applyBorder="1"/>
    <xf numFmtId="165" fontId="10" fillId="0" borderId="13" xfId="1" applyNumberFormat="1" applyFont="1" applyFill="1" applyBorder="1"/>
    <xf numFmtId="40" fontId="10" fillId="0" borderId="0" xfId="0" applyNumberFormat="1" applyFont="1"/>
    <xf numFmtId="165" fontId="10" fillId="0" borderId="0" xfId="1" applyNumberFormat="1" applyFont="1" applyFill="1"/>
    <xf numFmtId="168" fontId="11" fillId="0" borderId="6" xfId="2" applyNumberFormat="1" applyFont="1" applyFill="1" applyBorder="1"/>
    <xf numFmtId="0" fontId="11" fillId="0" borderId="68" xfId="0" applyFont="1" applyBorder="1" applyAlignment="1">
      <alignment horizontal="center"/>
    </xf>
    <xf numFmtId="0" fontId="10" fillId="0" borderId="12" xfId="0" applyFont="1" applyBorder="1"/>
    <xf numFmtId="40" fontId="11" fillId="0" borderId="42" xfId="0" applyNumberFormat="1" applyFont="1" applyBorder="1"/>
    <xf numFmtId="40" fontId="11" fillId="0" borderId="21" xfId="0" applyNumberFormat="1" applyFont="1" applyBorder="1"/>
    <xf numFmtId="40" fontId="11" fillId="0" borderId="24" xfId="0" applyNumberFormat="1" applyFont="1" applyBorder="1"/>
    <xf numFmtId="0" fontId="10" fillId="0" borderId="28" xfId="0" applyFont="1" applyBorder="1" applyAlignment="1">
      <alignment horizontal="center" wrapText="1"/>
    </xf>
    <xf numFmtId="0" fontId="10" fillId="0" borderId="79" xfId="0" applyFont="1" applyBorder="1" applyAlignment="1">
      <alignment horizontal="center" wrapText="1"/>
    </xf>
    <xf numFmtId="0" fontId="11" fillId="0" borderId="0" xfId="0" quotePrefix="1" applyFont="1" applyAlignment="1">
      <alignment vertical="center"/>
    </xf>
    <xf numFmtId="0" fontId="11" fillId="0" borderId="0" xfId="4" quotePrefix="1" applyFont="1"/>
    <xf numFmtId="40" fontId="11" fillId="0" borderId="12" xfId="0" applyNumberFormat="1" applyFont="1" applyBorder="1"/>
    <xf numFmtId="40" fontId="11" fillId="0" borderId="13" xfId="0" applyNumberFormat="1" applyFont="1" applyBorder="1"/>
    <xf numFmtId="165" fontId="11" fillId="0" borderId="4" xfId="1" applyNumberFormat="1" applyFont="1" applyBorder="1"/>
    <xf numFmtId="165" fontId="10" fillId="0" borderId="56" xfId="1" applyNumberFormat="1" applyFont="1" applyBorder="1"/>
    <xf numFmtId="165" fontId="10" fillId="0" borderId="57" xfId="1" applyNumberFormat="1" applyFont="1" applyBorder="1"/>
    <xf numFmtId="165" fontId="11" fillId="0" borderId="57" xfId="1" applyNumberFormat="1" applyFont="1" applyBorder="1"/>
    <xf numFmtId="40" fontId="10" fillId="0" borderId="20" xfId="0" applyNumberFormat="1" applyFont="1" applyBorder="1"/>
    <xf numFmtId="0" fontId="11" fillId="0" borderId="64" xfId="0" applyFont="1" applyBorder="1"/>
    <xf numFmtId="166" fontId="11" fillId="0" borderId="69" xfId="2" applyNumberFormat="1" applyFont="1" applyFill="1" applyBorder="1"/>
    <xf numFmtId="0" fontId="11" fillId="0" borderId="31" xfId="0" applyFont="1" applyBorder="1"/>
    <xf numFmtId="166" fontId="11" fillId="0" borderId="0" xfId="2" applyNumberFormat="1" applyFont="1" applyFill="1" applyBorder="1"/>
    <xf numFmtId="166" fontId="11" fillId="0" borderId="22" xfId="2" applyNumberFormat="1" applyFont="1" applyFill="1" applyBorder="1"/>
    <xf numFmtId="165" fontId="11" fillId="0" borderId="58" xfId="1" applyNumberFormat="1" applyFont="1" applyBorder="1"/>
    <xf numFmtId="165" fontId="11" fillId="0" borderId="76" xfId="1" applyNumberFormat="1" applyFont="1" applyBorder="1"/>
    <xf numFmtId="165" fontId="11" fillId="0" borderId="7" xfId="1" applyNumberFormat="1" applyFont="1" applyBorder="1"/>
    <xf numFmtId="0" fontId="11" fillId="0" borderId="66" xfId="0" applyFont="1" applyBorder="1"/>
    <xf numFmtId="0" fontId="10" fillId="0" borderId="0" xfId="3" applyFont="1" applyAlignment="1">
      <alignment horizontal="left"/>
    </xf>
    <xf numFmtId="0" fontId="11" fillId="0" borderId="66" xfId="3" applyFont="1" applyBorder="1" applyAlignment="1">
      <alignment horizontal="center"/>
    </xf>
    <xf numFmtId="0" fontId="11" fillId="0" borderId="67" xfId="3" applyFont="1" applyBorder="1" applyAlignment="1">
      <alignment horizontal="center"/>
    </xf>
    <xf numFmtId="0" fontId="11" fillId="0" borderId="77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1" fillId="0" borderId="12" xfId="3" applyFont="1" applyBorder="1"/>
    <xf numFmtId="0" fontId="11" fillId="0" borderId="78" xfId="3" applyFont="1" applyBorder="1" applyAlignment="1">
      <alignment horizontal="center"/>
    </xf>
    <xf numFmtId="166" fontId="11" fillId="0" borderId="43" xfId="2" applyNumberFormat="1" applyFont="1" applyFill="1" applyBorder="1"/>
    <xf numFmtId="170" fontId="11" fillId="0" borderId="8" xfId="5" applyNumberFormat="1" applyFont="1" applyBorder="1"/>
    <xf numFmtId="166" fontId="11" fillId="0" borderId="61" xfId="2" applyNumberFormat="1" applyFont="1" applyBorder="1"/>
    <xf numFmtId="0" fontId="11" fillId="0" borderId="81" xfId="0" applyFont="1" applyBorder="1"/>
    <xf numFmtId="176" fontId="11" fillId="0" borderId="67" xfId="0" applyNumberFormat="1" applyFont="1" applyBorder="1"/>
    <xf numFmtId="170" fontId="11" fillId="0" borderId="0" xfId="5" applyNumberFormat="1" applyFont="1" applyBorder="1"/>
    <xf numFmtId="166" fontId="11" fillId="0" borderId="64" xfId="2" applyNumberFormat="1" applyFont="1" applyBorder="1"/>
    <xf numFmtId="166" fontId="11" fillId="0" borderId="65" xfId="2" applyNumberFormat="1" applyFont="1" applyFill="1" applyBorder="1"/>
    <xf numFmtId="0" fontId="11" fillId="0" borderId="67" xfId="0" applyFont="1" applyBorder="1"/>
    <xf numFmtId="0" fontId="11" fillId="0" borderId="22" xfId="0" applyFont="1" applyBorder="1" applyAlignment="1">
      <alignment horizontal="center"/>
    </xf>
    <xf numFmtId="166" fontId="11" fillId="0" borderId="19" xfId="2" applyNumberFormat="1" applyFont="1" applyFill="1" applyBorder="1"/>
    <xf numFmtId="0" fontId="11" fillId="0" borderId="70" xfId="0" applyFont="1" applyBorder="1"/>
    <xf numFmtId="0" fontId="11" fillId="0" borderId="71" xfId="0" applyFont="1" applyBorder="1"/>
    <xf numFmtId="0" fontId="10" fillId="0" borderId="28" xfId="0" applyFont="1" applyBorder="1"/>
    <xf numFmtId="0" fontId="22" fillId="0" borderId="29" xfId="0" applyFont="1" applyBorder="1"/>
    <xf numFmtId="0" fontId="11" fillId="0" borderId="66" xfId="0" applyFont="1" applyBorder="1" applyAlignment="1">
      <alignment horizontal="center" vertical="top"/>
    </xf>
    <xf numFmtId="0" fontId="18" fillId="0" borderId="0" xfId="0" applyFont="1" applyAlignment="1">
      <alignment horizontal="left" vertical="top"/>
    </xf>
    <xf numFmtId="166" fontId="10" fillId="0" borderId="2" xfId="2" applyNumberFormat="1" applyFont="1" applyFill="1" applyBorder="1" applyAlignment="1">
      <alignment vertical="top"/>
    </xf>
    <xf numFmtId="166" fontId="10" fillId="0" borderId="3" xfId="2" applyNumberFormat="1" applyFont="1" applyFill="1" applyBorder="1" applyAlignment="1">
      <alignment vertical="top"/>
    </xf>
    <xf numFmtId="0" fontId="11" fillId="0" borderId="67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43" fontId="11" fillId="0" borderId="23" xfId="1" applyFont="1" applyFill="1" applyBorder="1"/>
    <xf numFmtId="0" fontId="10" fillId="0" borderId="12" xfId="3" applyFont="1" applyBorder="1" applyAlignment="1">
      <alignment horizontal="center"/>
    </xf>
    <xf numFmtId="166" fontId="10" fillId="0" borderId="58" xfId="2" applyNumberFormat="1" applyFont="1" applyBorder="1"/>
    <xf numFmtId="166" fontId="10" fillId="0" borderId="76" xfId="2" applyNumberFormat="1" applyFont="1" applyBorder="1"/>
    <xf numFmtId="174" fontId="10" fillId="0" borderId="27" xfId="0" applyNumberFormat="1" applyFont="1" applyBorder="1" applyAlignment="1">
      <alignment horizontal="center"/>
    </xf>
    <xf numFmtId="174" fontId="10" fillId="0" borderId="47" xfId="0" applyNumberFormat="1" applyFont="1" applyBorder="1" applyAlignment="1">
      <alignment horizontal="center"/>
    </xf>
    <xf numFmtId="174" fontId="10" fillId="0" borderId="25" xfId="0" applyNumberFormat="1" applyFont="1" applyBorder="1" applyAlignment="1">
      <alignment horizontal="center"/>
    </xf>
    <xf numFmtId="174" fontId="10" fillId="0" borderId="26" xfId="0" applyNumberFormat="1" applyFont="1" applyBorder="1" applyAlignment="1">
      <alignment horizontal="center"/>
    </xf>
    <xf numFmtId="174" fontId="10" fillId="0" borderId="2" xfId="0" applyNumberFormat="1" applyFont="1" applyBorder="1" applyAlignment="1">
      <alignment horizontal="center"/>
    </xf>
    <xf numFmtId="174" fontId="10" fillId="0" borderId="19" xfId="0" applyNumberFormat="1" applyFont="1" applyBorder="1" applyAlignment="1">
      <alignment horizontal="center"/>
    </xf>
    <xf numFmtId="0" fontId="11" fillId="0" borderId="0" xfId="0" applyFont="1" applyAlignment="1">
      <alignment vertical="top"/>
    </xf>
    <xf numFmtId="165" fontId="7" fillId="0" borderId="0" xfId="0" applyNumberFormat="1" applyFont="1"/>
    <xf numFmtId="40" fontId="7" fillId="0" borderId="0" xfId="0" applyNumberFormat="1" applyFont="1"/>
    <xf numFmtId="0" fontId="11" fillId="0" borderId="28" xfId="0" applyFont="1" applyBorder="1" applyAlignment="1">
      <alignment vertical="top"/>
    </xf>
    <xf numFmtId="166" fontId="10" fillId="0" borderId="19" xfId="2" applyNumberFormat="1" applyFont="1" applyFill="1" applyBorder="1" applyAlignment="1">
      <alignment vertical="top"/>
    </xf>
    <xf numFmtId="166" fontId="10" fillId="0" borderId="22" xfId="2" applyNumberFormat="1" applyFont="1" applyFill="1" applyBorder="1" applyAlignment="1">
      <alignment vertical="top"/>
    </xf>
    <xf numFmtId="166" fontId="11" fillId="0" borderId="2" xfId="2" applyNumberFormat="1" applyFont="1" applyFill="1" applyBorder="1" applyAlignment="1">
      <alignment vertical="top"/>
    </xf>
    <xf numFmtId="44" fontId="18" fillId="0" borderId="8" xfId="2" applyFont="1" applyBorder="1" applyAlignment="1">
      <alignment horizontal="center" vertical="top" wrapText="1"/>
    </xf>
    <xf numFmtId="165" fontId="10" fillId="0" borderId="66" xfId="1" applyNumberFormat="1" applyFont="1" applyFill="1" applyBorder="1"/>
    <xf numFmtId="171" fontId="10" fillId="0" borderId="79" xfId="0" applyNumberFormat="1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42" fontId="11" fillId="0" borderId="0" xfId="0" applyNumberFormat="1" applyFont="1" applyAlignment="1">
      <alignment horizontal="centerContinuous" vertical="justify"/>
    </xf>
    <xf numFmtId="10" fontId="11" fillId="0" borderId="0" xfId="5" applyNumberFormat="1" applyFont="1" applyBorder="1" applyAlignment="1">
      <alignment horizontal="centerContinuous" vertical="justify"/>
    </xf>
    <xf numFmtId="168" fontId="11" fillId="0" borderId="2" xfId="2" applyNumberFormat="1" applyFont="1" applyBorder="1"/>
    <xf numFmtId="0" fontId="21" fillId="0" borderId="2" xfId="0" applyFont="1" applyBorder="1" applyAlignment="1">
      <alignment horizontal="left"/>
    </xf>
    <xf numFmtId="42" fontId="11" fillId="0" borderId="4" xfId="0" applyNumberFormat="1" applyFont="1" applyBorder="1"/>
    <xf numFmtId="10" fontId="11" fillId="0" borderId="4" xfId="5" applyNumberFormat="1" applyFont="1" applyBorder="1"/>
    <xf numFmtId="42" fontId="11" fillId="0" borderId="2" xfId="0" applyNumberFormat="1" applyFont="1" applyBorder="1"/>
    <xf numFmtId="42" fontId="11" fillId="0" borderId="2" xfId="0" applyNumberFormat="1" applyFont="1" applyBorder="1" applyAlignment="1">
      <alignment horizontal="center"/>
    </xf>
    <xf numFmtId="0" fontId="21" fillId="0" borderId="0" xfId="0" applyFont="1"/>
    <xf numFmtId="168" fontId="11" fillId="0" borderId="0" xfId="2" applyNumberFormat="1" applyFont="1"/>
    <xf numFmtId="166" fontId="11" fillId="0" borderId="2" xfId="2" applyNumberFormat="1" applyFont="1" applyFill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66" fontId="11" fillId="0" borderId="4" xfId="2" applyNumberFormat="1" applyFont="1" applyFill="1" applyBorder="1" applyAlignment="1">
      <alignment horizontal="left"/>
    </xf>
    <xf numFmtId="0" fontId="12" fillId="0" borderId="0" xfId="0" applyFont="1"/>
    <xf numFmtId="166" fontId="12" fillId="0" borderId="0" xfId="0" applyNumberFormat="1" applyFont="1"/>
    <xf numFmtId="0" fontId="33" fillId="0" borderId="0" xfId="0" applyFont="1"/>
    <xf numFmtId="165" fontId="11" fillId="0" borderId="2" xfId="1" applyNumberFormat="1" applyFont="1" applyFill="1" applyBorder="1" applyAlignment="1">
      <alignment horizontal="left"/>
    </xf>
    <xf numFmtId="165" fontId="18" fillId="0" borderId="2" xfId="1" applyNumberFormat="1" applyFont="1" applyFill="1" applyBorder="1" applyAlignment="1">
      <alignment horizontal="center"/>
    </xf>
    <xf numFmtId="165" fontId="29" fillId="0" borderId="2" xfId="1" applyNumberFormat="1" applyFont="1" applyFill="1" applyBorder="1" applyAlignment="1">
      <alignment horizontal="center"/>
    </xf>
    <xf numFmtId="165" fontId="18" fillId="0" borderId="2" xfId="1" applyNumberFormat="1" applyFont="1" applyBorder="1" applyAlignment="1">
      <alignment horizontal="center"/>
    </xf>
    <xf numFmtId="168" fontId="11" fillId="0" borderId="2" xfId="2" applyNumberFormat="1" applyFont="1" applyBorder="1" applyAlignment="1">
      <alignment horizontal="center"/>
    </xf>
    <xf numFmtId="0" fontId="11" fillId="0" borderId="13" xfId="0" applyFont="1" applyBorder="1" applyAlignment="1">
      <alignment horizontal="centerContinuous" vertical="justify"/>
    </xf>
    <xf numFmtId="165" fontId="11" fillId="0" borderId="2" xfId="1" applyNumberFormat="1" applyFont="1" applyFill="1" applyBorder="1" applyAlignment="1">
      <alignment horizontal="center"/>
    </xf>
    <xf numFmtId="166" fontId="11" fillId="0" borderId="2" xfId="2" applyNumberFormat="1" applyFont="1" applyFill="1" applyBorder="1" applyAlignment="1">
      <alignment horizontal="center"/>
    </xf>
    <xf numFmtId="0" fontId="11" fillId="0" borderId="78" xfId="0" applyFont="1" applyBorder="1"/>
    <xf numFmtId="165" fontId="21" fillId="0" borderId="2" xfId="1" applyNumberFormat="1" applyFont="1" applyFill="1" applyBorder="1" applyAlignment="1">
      <alignment horizontal="center"/>
    </xf>
    <xf numFmtId="0" fontId="12" fillId="0" borderId="42" xfId="0" applyFont="1" applyBorder="1"/>
    <xf numFmtId="168" fontId="18" fillId="0" borderId="2" xfId="2" applyNumberFormat="1" applyFont="1" applyBorder="1" applyAlignment="1">
      <alignment horizontal="center"/>
    </xf>
    <xf numFmtId="168" fontId="18" fillId="0" borderId="13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Continuous" vertical="justify"/>
    </xf>
    <xf numFmtId="166" fontId="10" fillId="0" borderId="13" xfId="2" applyNumberFormat="1" applyFont="1" applyFill="1" applyBorder="1"/>
    <xf numFmtId="0" fontId="14" fillId="0" borderId="0" xfId="0" applyFont="1" applyAlignment="1">
      <alignment horizontal="center"/>
    </xf>
    <xf numFmtId="166" fontId="11" fillId="0" borderId="18" xfId="2" applyNumberFormat="1" applyFont="1" applyBorder="1"/>
    <xf numFmtId="0" fontId="10" fillId="0" borderId="0" xfId="3" quotePrefix="1" applyFont="1" applyAlignment="1">
      <alignment horizontal="center"/>
    </xf>
    <xf numFmtId="0" fontId="21" fillId="0" borderId="39" xfId="0" applyFont="1" applyBorder="1" applyAlignment="1">
      <alignment horizontal="center"/>
    </xf>
    <xf numFmtId="0" fontId="34" fillId="0" borderId="0" xfId="0" applyFont="1" applyAlignment="1">
      <alignment horizontal="centerContinuous" vertical="justify"/>
    </xf>
    <xf numFmtId="3" fontId="10" fillId="0" borderId="0" xfId="0" applyNumberFormat="1" applyFont="1" applyAlignment="1">
      <alignment horizontal="centerContinuous" vertical="justify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0" fontId="11" fillId="0" borderId="2" xfId="5" applyNumberFormat="1" applyFont="1" applyFill="1" applyBorder="1"/>
    <xf numFmtId="170" fontId="11" fillId="0" borderId="8" xfId="5" applyNumberFormat="1" applyFont="1" applyFill="1" applyBorder="1"/>
    <xf numFmtId="170" fontId="11" fillId="0" borderId="3" xfId="5" applyNumberFormat="1" applyFont="1" applyFill="1" applyBorder="1"/>
    <xf numFmtId="170" fontId="11" fillId="0" borderId="6" xfId="5" applyNumberFormat="1" applyFont="1" applyFill="1" applyBorder="1"/>
    <xf numFmtId="170" fontId="11" fillId="0" borderId="7" xfId="5" applyNumberFormat="1" applyFont="1" applyBorder="1"/>
    <xf numFmtId="170" fontId="11" fillId="0" borderId="68" xfId="5" applyNumberFormat="1" applyFont="1" applyBorder="1"/>
    <xf numFmtId="170" fontId="11" fillId="0" borderId="6" xfId="5" applyNumberFormat="1" applyFont="1" applyBorder="1"/>
    <xf numFmtId="170" fontId="11" fillId="0" borderId="69" xfId="5" applyNumberFormat="1" applyFont="1" applyBorder="1"/>
    <xf numFmtId="170" fontId="11" fillId="0" borderId="3" xfId="5" applyNumberFormat="1" applyFont="1" applyBorder="1"/>
    <xf numFmtId="0" fontId="11" fillId="0" borderId="9" xfId="4" applyFont="1" applyBorder="1" applyAlignment="1">
      <alignment horizontal="center" wrapText="1"/>
    </xf>
    <xf numFmtId="0" fontId="11" fillId="0" borderId="9" xfId="3" applyFont="1" applyBorder="1" applyAlignment="1">
      <alignment horizontal="center" wrapText="1"/>
    </xf>
    <xf numFmtId="10" fontId="11" fillId="0" borderId="67" xfId="5" applyNumberFormat="1" applyFont="1" applyBorder="1"/>
    <xf numFmtId="10" fontId="11" fillId="0" borderId="66" xfId="5" applyNumberFormat="1" applyFont="1" applyBorder="1"/>
    <xf numFmtId="10" fontId="11" fillId="0" borderId="0" xfId="5" applyNumberFormat="1" applyFont="1" applyBorder="1"/>
    <xf numFmtId="10" fontId="11" fillId="0" borderId="66" xfId="5" applyNumberFormat="1" applyFont="1" applyFill="1" applyBorder="1"/>
    <xf numFmtId="10" fontId="11" fillId="0" borderId="2" xfId="5" applyNumberFormat="1" applyFont="1" applyFill="1" applyBorder="1"/>
    <xf numFmtId="10" fontId="11" fillId="0" borderId="67" xfId="5" applyNumberFormat="1" applyFont="1" applyFill="1" applyBorder="1"/>
    <xf numFmtId="3" fontId="11" fillId="0" borderId="17" xfId="0" applyNumberFormat="1" applyFont="1" applyBorder="1"/>
    <xf numFmtId="166" fontId="11" fillId="0" borderId="6" xfId="0" applyNumberFormat="1" applyFont="1" applyBorder="1" applyAlignment="1">
      <alignment horizontal="left"/>
    </xf>
    <xf numFmtId="165" fontId="11" fillId="0" borderId="6" xfId="1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66" fontId="11" fillId="0" borderId="8" xfId="0" applyNumberFormat="1" applyFont="1" applyBorder="1"/>
    <xf numFmtId="44" fontId="11" fillId="0" borderId="8" xfId="0" applyNumberFormat="1" applyFont="1" applyBorder="1"/>
    <xf numFmtId="44" fontId="11" fillId="0" borderId="8" xfId="2" applyFont="1" applyBorder="1"/>
    <xf numFmtId="165" fontId="11" fillId="0" borderId="6" xfId="1" applyNumberFormat="1" applyFont="1" applyFill="1" applyBorder="1"/>
    <xf numFmtId="166" fontId="11" fillId="0" borderId="8" xfId="2" applyNumberFormat="1" applyFont="1" applyFill="1" applyBorder="1" applyAlignment="1">
      <alignment vertical="top"/>
    </xf>
    <xf numFmtId="167" fontId="11" fillId="0" borderId="18" xfId="2" applyNumberFormat="1" applyFont="1" applyBorder="1"/>
    <xf numFmtId="0" fontId="11" fillId="0" borderId="2" xfId="0" applyFont="1" applyBorder="1" applyAlignment="1">
      <alignment horizontal="right"/>
    </xf>
    <xf numFmtId="40" fontId="11" fillId="0" borderId="20" xfId="0" applyNumberFormat="1" applyFont="1" applyBorder="1"/>
    <xf numFmtId="40" fontId="11" fillId="0" borderId="23" xfId="0" applyNumberFormat="1" applyFont="1" applyBorder="1"/>
    <xf numFmtId="40" fontId="11" fillId="0" borderId="29" xfId="0" applyNumberFormat="1" applyFont="1" applyBorder="1"/>
    <xf numFmtId="0" fontId="15" fillId="0" borderId="0" xfId="0" applyFont="1"/>
    <xf numFmtId="0" fontId="11" fillId="0" borderId="19" xfId="3" applyFont="1" applyBorder="1" applyAlignment="1">
      <alignment horizontal="center" wrapText="1"/>
    </xf>
    <xf numFmtId="0" fontId="11" fillId="0" borderId="67" xfId="3" applyFont="1" applyBorder="1" applyAlignment="1">
      <alignment horizontal="center" wrapText="1"/>
    </xf>
    <xf numFmtId="0" fontId="10" fillId="0" borderId="42" xfId="0" applyFont="1" applyBorder="1" applyAlignment="1">
      <alignment horizontal="center"/>
    </xf>
    <xf numFmtId="0" fontId="9" fillId="0" borderId="9" xfId="0" applyFont="1" applyBorder="1"/>
    <xf numFmtId="0" fontId="8" fillId="0" borderId="43" xfId="0" applyFont="1" applyBorder="1" applyAlignment="1">
      <alignment horizontal="center"/>
    </xf>
    <xf numFmtId="0" fontId="9" fillId="0" borderId="49" xfId="0" applyFont="1" applyBorder="1"/>
    <xf numFmtId="0" fontId="11" fillId="0" borderId="24" xfId="0" applyFont="1" applyBorder="1" applyAlignment="1">
      <alignment horizontal="center"/>
    </xf>
    <xf numFmtId="177" fontId="11" fillId="0" borderId="0" xfId="0" applyNumberFormat="1" applyFont="1" applyAlignment="1">
      <alignment horizontal="left"/>
    </xf>
    <xf numFmtId="0" fontId="10" fillId="0" borderId="26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/>
    </xf>
    <xf numFmtId="171" fontId="10" fillId="0" borderId="28" xfId="0" applyNumberFormat="1" applyFont="1" applyBorder="1" applyAlignment="1">
      <alignment horizontal="center"/>
    </xf>
    <xf numFmtId="166" fontId="11" fillId="0" borderId="28" xfId="2" applyNumberFormat="1" applyFont="1" applyFill="1" applyBorder="1"/>
    <xf numFmtId="0" fontId="11" fillId="0" borderId="0" xfId="0" applyFont="1" applyAlignment="1">
      <alignment horizontal="centerContinuous" vertical="top"/>
    </xf>
    <xf numFmtId="166" fontId="11" fillId="4" borderId="10" xfId="2" applyNumberFormat="1" applyFont="1" applyFill="1" applyBorder="1"/>
    <xf numFmtId="0" fontId="12" fillId="0" borderId="0" xfId="0" applyFont="1" applyAlignment="1">
      <alignment horizontal="center"/>
    </xf>
    <xf numFmtId="44" fontId="11" fillId="0" borderId="0" xfId="0" applyNumberFormat="1" applyFont="1"/>
    <xf numFmtId="0" fontId="11" fillId="4" borderId="0" xfId="0" applyFont="1" applyFill="1"/>
    <xf numFmtId="0" fontId="10" fillId="0" borderId="13" xfId="0" applyFont="1" applyBorder="1"/>
    <xf numFmtId="165" fontId="11" fillId="0" borderId="0" xfId="0" applyNumberFormat="1" applyFont="1"/>
    <xf numFmtId="166" fontId="10" fillId="4" borderId="10" xfId="0" applyNumberFormat="1" applyFont="1" applyFill="1" applyBorder="1"/>
    <xf numFmtId="165" fontId="11" fillId="0" borderId="4" xfId="1" applyNumberFormat="1" applyFont="1" applyFill="1" applyBorder="1" applyAlignment="1">
      <alignment horizontal="left"/>
    </xf>
    <xf numFmtId="165" fontId="11" fillId="0" borderId="1" xfId="1" applyNumberFormat="1" applyFont="1" applyFill="1" applyBorder="1"/>
    <xf numFmtId="44" fontId="11" fillId="0" borderId="2" xfId="0" applyNumberFormat="1" applyFont="1" applyBorder="1"/>
    <xf numFmtId="17" fontId="11" fillId="0" borderId="2" xfId="0" applyNumberFormat="1" applyFont="1" applyBorder="1" applyAlignment="1">
      <alignment horizontal="center"/>
    </xf>
    <xf numFmtId="17" fontId="11" fillId="0" borderId="2" xfId="0" applyNumberFormat="1" applyFont="1" applyBorder="1"/>
    <xf numFmtId="168" fontId="11" fillId="0" borderId="18" xfId="2" applyNumberFormat="1" applyFont="1" applyFill="1" applyBorder="1"/>
    <xf numFmtId="0" fontId="11" fillId="0" borderId="2" xfId="0" applyFont="1" applyBorder="1" applyAlignment="1">
      <alignment horizontal="left" vertical="top"/>
    </xf>
    <xf numFmtId="165" fontId="11" fillId="0" borderId="7" xfId="1" applyNumberFormat="1" applyFont="1" applyFill="1" applyBorder="1"/>
    <xf numFmtId="165" fontId="11" fillId="0" borderId="92" xfId="1" applyNumberFormat="1" applyFont="1" applyFill="1" applyBorder="1"/>
    <xf numFmtId="165" fontId="11" fillId="0" borderId="91" xfId="1" applyNumberFormat="1" applyFont="1" applyFill="1" applyBorder="1"/>
    <xf numFmtId="165" fontId="11" fillId="0" borderId="15" xfId="1" applyNumberFormat="1" applyFont="1" applyFill="1" applyBorder="1"/>
    <xf numFmtId="166" fontId="10" fillId="0" borderId="17" xfId="2" applyNumberFormat="1" applyFont="1" applyFill="1" applyBorder="1"/>
    <xf numFmtId="165" fontId="11" fillId="0" borderId="31" xfId="1" applyNumberFormat="1" applyFont="1" applyFill="1" applyBorder="1"/>
    <xf numFmtId="166" fontId="10" fillId="0" borderId="30" xfId="2" applyNumberFormat="1" applyFont="1" applyFill="1" applyBorder="1"/>
    <xf numFmtId="166" fontId="10" fillId="0" borderId="56" xfId="2" applyNumberFormat="1" applyFont="1" applyFill="1" applyBorder="1"/>
    <xf numFmtId="166" fontId="10" fillId="0" borderId="57" xfId="2" applyNumberFormat="1" applyFont="1" applyFill="1" applyBorder="1"/>
    <xf numFmtId="0" fontId="22" fillId="0" borderId="39" xfId="0" applyFont="1" applyBorder="1"/>
    <xf numFmtId="37" fontId="11" fillId="0" borderId="2" xfId="0" applyNumberFormat="1" applyFont="1" applyBorder="1" applyAlignment="1">
      <alignment horizontal="right"/>
    </xf>
    <xf numFmtId="17" fontId="11" fillId="0" borderId="1" xfId="0" applyNumberFormat="1" applyFont="1" applyBorder="1" applyAlignment="1">
      <alignment horizontal="right"/>
    </xf>
    <xf numFmtId="37" fontId="11" fillId="0" borderId="3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center"/>
    </xf>
    <xf numFmtId="37" fontId="11" fillId="0" borderId="7" xfId="0" applyNumberFormat="1" applyFont="1" applyBorder="1" applyAlignment="1">
      <alignment horizontal="right"/>
    </xf>
    <xf numFmtId="41" fontId="11" fillId="0" borderId="3" xfId="0" applyNumberFormat="1" applyFont="1" applyBorder="1" applyAlignment="1">
      <alignment horizontal="center"/>
    </xf>
    <xf numFmtId="37" fontId="11" fillId="0" borderId="4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37" fontId="11" fillId="0" borderId="1" xfId="0" applyNumberFormat="1" applyFont="1" applyBorder="1" applyAlignment="1">
      <alignment horizontal="right"/>
    </xf>
    <xf numFmtId="41" fontId="11" fillId="0" borderId="8" xfId="0" applyNumberFormat="1" applyFont="1" applyBorder="1"/>
    <xf numFmtId="41" fontId="11" fillId="0" borderId="6" xfId="0" applyNumberFormat="1" applyFont="1" applyBorder="1"/>
    <xf numFmtId="41" fontId="11" fillId="0" borderId="11" xfId="0" applyNumberFormat="1" applyFont="1" applyBorder="1"/>
    <xf numFmtId="41" fontId="11" fillId="0" borderId="16" xfId="0" applyNumberFormat="1" applyFont="1" applyBorder="1"/>
    <xf numFmtId="41" fontId="11" fillId="0" borderId="8" xfId="0" applyNumberFormat="1" applyFont="1" applyBorder="1" applyAlignment="1">
      <alignment horizontal="center"/>
    </xf>
    <xf numFmtId="179" fontId="11" fillId="0" borderId="11" xfId="0" applyNumberFormat="1" applyFont="1" applyBorder="1"/>
    <xf numFmtId="166" fontId="11" fillId="0" borderId="18" xfId="2" applyNumberFormat="1" applyFont="1" applyFill="1" applyBorder="1"/>
    <xf numFmtId="0" fontId="35" fillId="0" borderId="0" xfId="0" applyFont="1" applyAlignment="1">
      <alignment horizontal="left"/>
    </xf>
    <xf numFmtId="0" fontId="11" fillId="0" borderId="8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166" fontId="11" fillId="0" borderId="54" xfId="2" applyNumberFormat="1" applyFont="1" applyFill="1" applyBorder="1"/>
    <xf numFmtId="166" fontId="11" fillId="0" borderId="4" xfId="2" applyNumberFormat="1" applyFont="1" applyFill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166" fontId="10" fillId="0" borderId="74" xfId="2" applyNumberFormat="1" applyFont="1" applyBorder="1"/>
    <xf numFmtId="0" fontId="11" fillId="0" borderId="0" xfId="0" applyFont="1" applyAlignment="1">
      <alignment vertical="justify"/>
    </xf>
    <xf numFmtId="0" fontId="11" fillId="0" borderId="0" xfId="0" applyFont="1" applyAlignment="1">
      <alignment horizontal="center" vertical="justify"/>
    </xf>
    <xf numFmtId="3" fontId="11" fillId="0" borderId="0" xfId="0" applyNumberFormat="1" applyFont="1" applyAlignment="1">
      <alignment horizontal="center" vertical="justify"/>
    </xf>
    <xf numFmtId="166" fontId="11" fillId="0" borderId="3" xfId="2" applyNumberFormat="1" applyFont="1" applyFill="1" applyBorder="1" applyAlignment="1">
      <alignment horizontal="left"/>
    </xf>
    <xf numFmtId="0" fontId="14" fillId="0" borderId="0" xfId="0" quotePrefix="1" applyFont="1" applyAlignment="1">
      <alignment horizontal="right"/>
    </xf>
    <xf numFmtId="166" fontId="11" fillId="0" borderId="17" xfId="2" applyNumberFormat="1" applyFont="1" applyFill="1" applyBorder="1"/>
    <xf numFmtId="10" fontId="11" fillId="0" borderId="8" xfId="5" applyNumberFormat="1" applyFont="1" applyBorder="1"/>
    <xf numFmtId="166" fontId="11" fillId="0" borderId="63" xfId="2" applyNumberFormat="1" applyFont="1" applyFill="1" applyBorder="1"/>
    <xf numFmtId="166" fontId="11" fillId="0" borderId="73" xfId="2" applyNumberFormat="1" applyFont="1" applyFill="1" applyBorder="1"/>
    <xf numFmtId="40" fontId="11" fillId="0" borderId="22" xfId="0" applyNumberFormat="1" applyFont="1" applyBorder="1"/>
    <xf numFmtId="40" fontId="11" fillId="0" borderId="19" xfId="0" applyNumberFormat="1" applyFont="1" applyBorder="1"/>
    <xf numFmtId="0" fontId="11" fillId="0" borderId="29" xfId="0" quotePrefix="1" applyFont="1" applyBorder="1" applyAlignment="1">
      <alignment horizontal="center"/>
    </xf>
    <xf numFmtId="166" fontId="10" fillId="0" borderId="18" xfId="2" applyNumberFormat="1" applyFont="1" applyBorder="1"/>
    <xf numFmtId="165" fontId="11" fillId="0" borderId="8" xfId="1" applyNumberFormat="1" applyFont="1" applyFill="1" applyBorder="1"/>
    <xf numFmtId="0" fontId="11" fillId="0" borderId="2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6" fontId="10" fillId="0" borderId="75" xfId="2" applyNumberFormat="1" applyFont="1" applyBorder="1"/>
    <xf numFmtId="10" fontId="11" fillId="0" borderId="34" xfId="5" applyNumberFormat="1" applyFont="1" applyBorder="1"/>
    <xf numFmtId="10" fontId="11" fillId="0" borderId="51" xfId="0" applyNumberFormat="1" applyFont="1" applyBorder="1"/>
    <xf numFmtId="10" fontId="11" fillId="0" borderId="44" xfId="0" applyNumberFormat="1" applyFont="1" applyBorder="1"/>
    <xf numFmtId="10" fontId="11" fillId="0" borderId="84" xfId="0" applyNumberFormat="1" applyFont="1" applyBorder="1"/>
    <xf numFmtId="10" fontId="11" fillId="0" borderId="82" xfId="0" applyNumberFormat="1" applyFont="1" applyBorder="1"/>
    <xf numFmtId="10" fontId="11" fillId="0" borderId="85" xfId="0" applyNumberFormat="1" applyFont="1" applyBorder="1"/>
    <xf numFmtId="166" fontId="10" fillId="0" borderId="75" xfId="2" applyNumberFormat="1" applyFont="1" applyFill="1" applyBorder="1"/>
    <xf numFmtId="174" fontId="10" fillId="0" borderId="0" xfId="0" applyNumberFormat="1" applyFont="1" applyAlignment="1">
      <alignment horizontal="center"/>
    </xf>
    <xf numFmtId="174" fontId="10" fillId="0" borderId="79" xfId="0" applyNumberFormat="1" applyFont="1" applyBorder="1" applyAlignment="1">
      <alignment horizontal="center"/>
    </xf>
    <xf numFmtId="181" fontId="11" fillId="0" borderId="4" xfId="0" applyNumberFormat="1" applyFont="1" applyBorder="1"/>
    <xf numFmtId="17" fontId="11" fillId="0" borderId="9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2" xfId="0" applyFont="1" applyBorder="1"/>
    <xf numFmtId="0" fontId="10" fillId="0" borderId="42" xfId="0" quotePrefix="1" applyFont="1" applyBorder="1" applyAlignment="1">
      <alignment horizontal="center"/>
    </xf>
    <xf numFmtId="0" fontId="10" fillId="0" borderId="65" xfId="0" applyFont="1" applyBorder="1"/>
    <xf numFmtId="0" fontId="10" fillId="0" borderId="66" xfId="0" applyFont="1" applyBorder="1"/>
    <xf numFmtId="0" fontId="10" fillId="0" borderId="67" xfId="0" applyFont="1" applyBorder="1"/>
    <xf numFmtId="0" fontId="10" fillId="0" borderId="6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1" fillId="0" borderId="32" xfId="0" applyFont="1" applyBorder="1"/>
    <xf numFmtId="0" fontId="11" fillId="0" borderId="86" xfId="0" applyFont="1" applyBorder="1"/>
    <xf numFmtId="0" fontId="10" fillId="0" borderId="61" xfId="0" quotePrefix="1" applyFont="1" applyBorder="1" applyAlignment="1">
      <alignment horizontal="center"/>
    </xf>
    <xf numFmtId="0" fontId="11" fillId="0" borderId="52" xfId="0" applyFont="1" applyBorder="1"/>
    <xf numFmtId="0" fontId="10" fillId="0" borderId="64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48" xfId="0" applyFont="1" applyBorder="1" applyAlignment="1">
      <alignment horizontal="center" vertical="justify"/>
    </xf>
    <xf numFmtId="0" fontId="11" fillId="0" borderId="45" xfId="0" applyFont="1" applyBorder="1"/>
    <xf numFmtId="166" fontId="11" fillId="0" borderId="94" xfId="2" applyNumberFormat="1" applyFont="1" applyBorder="1"/>
    <xf numFmtId="166" fontId="11" fillId="0" borderId="83" xfId="2" applyNumberFormat="1" applyFont="1" applyBorder="1"/>
    <xf numFmtId="0" fontId="11" fillId="0" borderId="82" xfId="0" applyFont="1" applyBorder="1"/>
    <xf numFmtId="0" fontId="10" fillId="0" borderId="87" xfId="0" quotePrefix="1" applyFont="1" applyBorder="1" applyAlignment="1">
      <alignment horizontal="centerContinuous" vertical="justify"/>
    </xf>
    <xf numFmtId="0" fontId="10" fillId="0" borderId="48" xfId="0" quotePrefix="1" applyFont="1" applyBorder="1" applyAlignment="1">
      <alignment horizontal="centerContinuous" vertical="justify"/>
    </xf>
    <xf numFmtId="17" fontId="10" fillId="0" borderId="9" xfId="0" applyNumberFormat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" vertical="justify"/>
    </xf>
    <xf numFmtId="0" fontId="10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13" xfId="0" quotePrefix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" xfId="0" quotePrefix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Continuous" vertical="justify"/>
    </xf>
    <xf numFmtId="0" fontId="10" fillId="0" borderId="5" xfId="0" quotePrefix="1" applyFont="1" applyBorder="1" applyAlignment="1">
      <alignment horizontal="centerContinuous" vertical="justify"/>
    </xf>
    <xf numFmtId="0" fontId="11" fillId="0" borderId="77" xfId="0" applyFont="1" applyBorder="1"/>
    <xf numFmtId="0" fontId="11" fillId="0" borderId="5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2" xfId="0" applyFont="1" applyBorder="1" applyAlignment="1">
      <alignment horizontal="centerContinuous" vertical="justify"/>
    </xf>
    <xf numFmtId="0" fontId="8" fillId="0" borderId="12" xfId="0" applyFont="1" applyBorder="1" applyAlignment="1">
      <alignment horizontal="centerContinuous" vertical="justify"/>
    </xf>
    <xf numFmtId="0" fontId="10" fillId="0" borderId="52" xfId="0" applyFont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42" xfId="0" applyFont="1" applyBorder="1" applyAlignment="1">
      <alignment horizontal="left"/>
    </xf>
    <xf numFmtId="0" fontId="19" fillId="0" borderId="88" xfId="0" quotePrefix="1" applyFont="1" applyBorder="1" applyAlignment="1">
      <alignment horizontal="center"/>
    </xf>
    <xf numFmtId="0" fontId="19" fillId="0" borderId="48" xfId="0" quotePrefix="1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0" borderId="68" xfId="0" applyFont="1" applyBorder="1"/>
    <xf numFmtId="0" fontId="10" fillId="0" borderId="69" xfId="0" applyFont="1" applyBorder="1"/>
    <xf numFmtId="0" fontId="10" fillId="0" borderId="39" xfId="0" applyFont="1" applyBorder="1" applyAlignment="1">
      <alignment horizontal="center"/>
    </xf>
    <xf numFmtId="0" fontId="10" fillId="2" borderId="48" xfId="0" quotePrefix="1" applyFont="1" applyFill="1" applyBorder="1" applyAlignment="1">
      <alignment horizontal="center"/>
    </xf>
    <xf numFmtId="0" fontId="10" fillId="2" borderId="88" xfId="0" quotePrefix="1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0" borderId="39" xfId="0" applyFont="1" applyBorder="1"/>
    <xf numFmtId="0" fontId="10" fillId="0" borderId="43" xfId="0" applyFont="1" applyBorder="1"/>
    <xf numFmtId="0" fontId="10" fillId="0" borderId="61" xfId="0" applyFont="1" applyBorder="1"/>
    <xf numFmtId="0" fontId="10" fillId="0" borderId="12" xfId="0" applyFont="1" applyBorder="1" applyAlignment="1">
      <alignment horizontal="center"/>
    </xf>
    <xf numFmtId="165" fontId="11" fillId="0" borderId="3" xfId="19" applyNumberFormat="1" applyFont="1" applyFill="1" applyBorder="1" applyAlignment="1">
      <alignment horizontal="left"/>
    </xf>
    <xf numFmtId="165" fontId="11" fillId="0" borderId="58" xfId="19" applyNumberFormat="1" applyFont="1" applyFill="1" applyBorder="1" applyAlignment="1">
      <alignment horizontal="left"/>
    </xf>
    <xf numFmtId="165" fontId="11" fillId="0" borderId="76" xfId="19" applyNumberFormat="1" applyFont="1" applyFill="1" applyBorder="1" applyAlignment="1">
      <alignment horizontal="left"/>
    </xf>
    <xf numFmtId="166" fontId="11" fillId="0" borderId="34" xfId="2" applyNumberFormat="1" applyFont="1" applyBorder="1"/>
    <xf numFmtId="170" fontId="11" fillId="0" borderId="95" xfId="5" applyNumberFormat="1" applyFont="1" applyFill="1" applyBorder="1"/>
    <xf numFmtId="170" fontId="11" fillId="0" borderId="44" xfId="5" applyNumberFormat="1" applyFont="1" applyFill="1" applyBorder="1"/>
    <xf numFmtId="170" fontId="11" fillId="0" borderId="82" xfId="5" applyNumberFormat="1" applyFont="1" applyFill="1" applyBorder="1"/>
    <xf numFmtId="170" fontId="11" fillId="0" borderId="83" xfId="5" applyNumberFormat="1" applyFont="1" applyFill="1" applyBorder="1"/>
    <xf numFmtId="170" fontId="11" fillId="0" borderId="84" xfId="5" applyNumberFormat="1" applyFont="1" applyFill="1" applyBorder="1"/>
    <xf numFmtId="170" fontId="11" fillId="0" borderId="85" xfId="5" applyNumberFormat="1" applyFont="1" applyFill="1" applyBorder="1"/>
    <xf numFmtId="0" fontId="10" fillId="0" borderId="43" xfId="0" applyFont="1" applyBorder="1" applyAlignment="1">
      <alignment horizontal="left"/>
    </xf>
    <xf numFmtId="0" fontId="11" fillId="0" borderId="70" xfId="0" applyFont="1" applyBorder="1" applyAlignment="1">
      <alignment horizontal="center" vertical="top"/>
    </xf>
    <xf numFmtId="0" fontId="11" fillId="0" borderId="71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11" fillId="0" borderId="78" xfId="0" applyFont="1" applyBorder="1" applyAlignment="1">
      <alignment horizontal="center" vertical="top"/>
    </xf>
    <xf numFmtId="0" fontId="10" fillId="0" borderId="64" xfId="0" applyFont="1" applyBorder="1" applyAlignment="1">
      <alignment horizontal="centerContinuous" vertical="top"/>
    </xf>
    <xf numFmtId="0" fontId="10" fillId="0" borderId="65" xfId="0" applyFont="1" applyBorder="1" applyAlignment="1">
      <alignment horizontal="center" vertical="top"/>
    </xf>
    <xf numFmtId="166" fontId="10" fillId="0" borderId="68" xfId="2" applyNumberFormat="1" applyFont="1" applyBorder="1" applyAlignment="1">
      <alignment horizontal="center" vertical="top"/>
    </xf>
    <xf numFmtId="166" fontId="10" fillId="0" borderId="69" xfId="2" applyNumberFormat="1" applyFont="1" applyBorder="1" applyAlignment="1">
      <alignment horizontal="center" vertical="top"/>
    </xf>
    <xf numFmtId="0" fontId="37" fillId="0" borderId="5" xfId="0" applyFont="1" applyBorder="1"/>
    <xf numFmtId="0" fontId="11" fillId="4" borderId="66" xfId="0" applyFont="1" applyFill="1" applyBorder="1" applyAlignment="1">
      <alignment horizontal="center"/>
    </xf>
    <xf numFmtId="0" fontId="9" fillId="0" borderId="0" xfId="0" applyFont="1" applyAlignment="1">
      <alignment horizontal="centerContinuous" vertical="justify"/>
    </xf>
    <xf numFmtId="0" fontId="8" fillId="0" borderId="43" xfId="0" applyFont="1" applyBorder="1"/>
    <xf numFmtId="0" fontId="8" fillId="0" borderId="61" xfId="0" applyFont="1" applyBorder="1"/>
    <xf numFmtId="0" fontId="8" fillId="0" borderId="12" xfId="0" applyFont="1" applyBorder="1"/>
    <xf numFmtId="0" fontId="8" fillId="0" borderId="52" xfId="0" applyFont="1" applyBorder="1"/>
    <xf numFmtId="0" fontId="10" fillId="0" borderId="3" xfId="0" quotePrefix="1" applyFont="1" applyBorder="1" applyAlignment="1">
      <alignment horizontal="center"/>
    </xf>
    <xf numFmtId="0" fontId="21" fillId="0" borderId="42" xfId="0" applyFont="1" applyBorder="1" applyAlignment="1">
      <alignment horizontal="left"/>
    </xf>
    <xf numFmtId="0" fontId="9" fillId="0" borderId="42" xfId="0" applyFont="1" applyBorder="1"/>
    <xf numFmtId="0" fontId="9" fillId="0" borderId="43" xfId="0" applyFont="1" applyBorder="1" applyAlignment="1">
      <alignment horizontal="center"/>
    </xf>
    <xf numFmtId="0" fontId="9" fillId="0" borderId="8" xfId="0" applyFont="1" applyBorder="1"/>
    <xf numFmtId="166" fontId="9" fillId="0" borderId="2" xfId="0" applyNumberFormat="1" applyFont="1" applyBorder="1"/>
    <xf numFmtId="0" fontId="9" fillId="0" borderId="13" xfId="0" applyFont="1" applyBorder="1" applyAlignment="1">
      <alignment horizontal="left"/>
    </xf>
    <xf numFmtId="0" fontId="24" fillId="0" borderId="52" xfId="0" applyFont="1" applyBorder="1"/>
    <xf numFmtId="0" fontId="9" fillId="0" borderId="5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6" fontId="10" fillId="0" borderId="8" xfId="2" applyNumberFormat="1" applyFont="1" applyBorder="1"/>
    <xf numFmtId="0" fontId="11" fillId="0" borderId="20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9" xfId="0" applyFont="1" applyBorder="1"/>
    <xf numFmtId="0" fontId="14" fillId="0" borderId="19" xfId="0" quotePrefix="1" applyFont="1" applyBorder="1" applyAlignment="1">
      <alignment horizontal="center"/>
    </xf>
    <xf numFmtId="0" fontId="13" fillId="0" borderId="19" xfId="0" quotePrefix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2" borderId="13" xfId="0" quotePrefix="1" applyFont="1" applyFill="1" applyBorder="1" applyAlignment="1">
      <alignment horizontal="center"/>
    </xf>
    <xf numFmtId="17" fontId="11" fillId="0" borderId="13" xfId="0" applyNumberFormat="1" applyFont="1" applyBorder="1" applyAlignment="1">
      <alignment horizontal="center"/>
    </xf>
    <xf numFmtId="44" fontId="11" fillId="0" borderId="13" xfId="2" applyFont="1" applyBorder="1" applyAlignment="1">
      <alignment horizontal="center"/>
    </xf>
    <xf numFmtId="169" fontId="11" fillId="0" borderId="46" xfId="5" applyNumberFormat="1" applyFont="1" applyBorder="1"/>
    <xf numFmtId="169" fontId="11" fillId="0" borderId="13" xfId="5" applyNumberFormat="1" applyFont="1" applyBorder="1"/>
    <xf numFmtId="0" fontId="10" fillId="0" borderId="0" xfId="0" quotePrefix="1" applyFont="1" applyAlignment="1">
      <alignment horizontal="center"/>
    </xf>
    <xf numFmtId="166" fontId="11" fillId="0" borderId="0" xfId="2" applyNumberFormat="1" applyFont="1" applyBorder="1" applyAlignment="1">
      <alignment horizontal="center"/>
    </xf>
    <xf numFmtId="10" fontId="10" fillId="0" borderId="0" xfId="5" applyNumberFormat="1" applyFont="1" applyBorder="1"/>
    <xf numFmtId="166" fontId="11" fillId="0" borderId="0" xfId="0" applyNumberFormat="1" applyFont="1" applyAlignment="1">
      <alignment horizontal="center"/>
    </xf>
    <xf numFmtId="166" fontId="10" fillId="0" borderId="0" xfId="5" applyNumberFormat="1" applyFont="1" applyBorder="1"/>
    <xf numFmtId="166" fontId="10" fillId="0" borderId="0" xfId="0" applyNumberFormat="1" applyFont="1"/>
    <xf numFmtId="165" fontId="10" fillId="0" borderId="18" xfId="1" applyNumberFormat="1" applyFont="1" applyBorder="1"/>
    <xf numFmtId="166" fontId="10" fillId="0" borderId="80" xfId="2" applyNumberFormat="1" applyFont="1" applyBorder="1"/>
    <xf numFmtId="169" fontId="11" fillId="0" borderId="86" xfId="5" applyNumberFormat="1" applyFont="1" applyBorder="1"/>
    <xf numFmtId="0" fontId="9" fillId="0" borderId="0" xfId="0" applyFont="1" applyAlignment="1">
      <alignment horizontal="center" vertical="justify"/>
    </xf>
    <xf numFmtId="0" fontId="8" fillId="0" borderId="0" xfId="0" applyFont="1" applyAlignment="1">
      <alignment vertical="justify"/>
    </xf>
    <xf numFmtId="0" fontId="11" fillId="0" borderId="12" xfId="3" applyFont="1" applyBorder="1" applyAlignment="1">
      <alignment horizontal="left"/>
    </xf>
    <xf numFmtId="0" fontId="11" fillId="0" borderId="12" xfId="3" applyFont="1" applyBorder="1" applyAlignment="1">
      <alignment horizontal="center"/>
    </xf>
    <xf numFmtId="0" fontId="10" fillId="2" borderId="77" xfId="3" applyFont="1" applyFill="1" applyBorder="1" applyAlignment="1">
      <alignment horizontal="center" wrapText="1"/>
    </xf>
    <xf numFmtId="0" fontId="10" fillId="0" borderId="13" xfId="3" applyFont="1" applyBorder="1" applyAlignment="1">
      <alignment horizontal="center" vertical="top" wrapText="1"/>
    </xf>
    <xf numFmtId="0" fontId="10" fillId="2" borderId="78" xfId="3" applyFont="1" applyFill="1" applyBorder="1" applyAlignment="1">
      <alignment horizontal="center" wrapText="1"/>
    </xf>
    <xf numFmtId="0" fontId="11" fillId="0" borderId="66" xfId="3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11" fillId="0" borderId="67" xfId="3" applyFont="1" applyBorder="1" applyAlignment="1">
      <alignment horizontal="center" vertical="top" wrapText="1"/>
    </xf>
    <xf numFmtId="0" fontId="11" fillId="0" borderId="66" xfId="3" applyFont="1" applyBorder="1" applyAlignment="1">
      <alignment horizontal="center" vertical="center"/>
    </xf>
    <xf numFmtId="0" fontId="19" fillId="0" borderId="2" xfId="0" applyFont="1" applyBorder="1" applyAlignment="1">
      <alignment horizontal="left" wrapText="1"/>
    </xf>
    <xf numFmtId="0" fontId="11" fillId="0" borderId="67" xfId="3" applyFont="1" applyBorder="1" applyAlignment="1">
      <alignment horizontal="center" vertical="center"/>
    </xf>
    <xf numFmtId="166" fontId="19" fillId="0" borderId="4" xfId="2" applyNumberFormat="1" applyFont="1" applyFill="1" applyBorder="1"/>
    <xf numFmtId="0" fontId="10" fillId="0" borderId="13" xfId="4" applyFont="1" applyBorder="1" applyAlignment="1">
      <alignment horizontal="center" wrapText="1"/>
    </xf>
    <xf numFmtId="0" fontId="11" fillId="0" borderId="19" xfId="4" applyFont="1" applyBorder="1" applyAlignment="1">
      <alignment horizontal="center" wrapText="1"/>
    </xf>
    <xf numFmtId="0" fontId="11" fillId="0" borderId="67" xfId="4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4" fillId="0" borderId="0" xfId="3" quotePrefix="1" applyFont="1" applyAlignment="1">
      <alignment horizontal="center"/>
    </xf>
    <xf numFmtId="0" fontId="10" fillId="0" borderId="13" xfId="3" applyFont="1" applyBorder="1" applyAlignment="1">
      <alignment horizontal="center" wrapText="1"/>
    </xf>
    <xf numFmtId="0" fontId="10" fillId="0" borderId="2" xfId="3" applyFont="1" applyBorder="1" applyAlignment="1">
      <alignment horizontal="center"/>
    </xf>
    <xf numFmtId="44" fontId="11" fillId="0" borderId="0" xfId="2" applyFont="1" applyBorder="1" applyAlignment="1">
      <alignment horizontal="center"/>
    </xf>
    <xf numFmtId="0" fontId="11" fillId="0" borderId="86" xfId="3" applyFont="1" applyBorder="1"/>
    <xf numFmtId="166" fontId="10" fillId="0" borderId="8" xfId="2" applyNumberFormat="1" applyFont="1" applyFill="1" applyBorder="1"/>
    <xf numFmtId="165" fontId="10" fillId="0" borderId="9" xfId="1" applyNumberFormat="1" applyFont="1" applyFill="1" applyBorder="1"/>
    <xf numFmtId="0" fontId="10" fillId="0" borderId="42" xfId="0" applyFont="1" applyBorder="1" applyAlignment="1">
      <alignment horizontal="center" vertical="justify"/>
    </xf>
    <xf numFmtId="0" fontId="10" fillId="0" borderId="44" xfId="0" applyFont="1" applyBorder="1"/>
    <xf numFmtId="166" fontId="11" fillId="0" borderId="44" xfId="2" applyNumberFormat="1" applyFont="1" applyBorder="1"/>
    <xf numFmtId="17" fontId="10" fillId="0" borderId="13" xfId="0" applyNumberFormat="1" applyFont="1" applyBorder="1" applyAlignment="1">
      <alignment horizontal="centerContinuous" vertical="justify"/>
    </xf>
    <xf numFmtId="166" fontId="11" fillId="0" borderId="70" xfId="2" applyNumberFormat="1" applyFont="1" applyFill="1" applyBorder="1"/>
    <xf numFmtId="165" fontId="11" fillId="0" borderId="69" xfId="19" applyNumberFormat="1" applyFont="1" applyFill="1" applyBorder="1" applyAlignment="1">
      <alignment horizontal="left"/>
    </xf>
    <xf numFmtId="166" fontId="11" fillId="0" borderId="68" xfId="2" applyNumberFormat="1" applyFont="1" applyFill="1" applyBorder="1"/>
    <xf numFmtId="166" fontId="11" fillId="0" borderId="72" xfId="2" applyNumberFormat="1" applyFont="1" applyFill="1" applyBorder="1"/>
    <xf numFmtId="165" fontId="11" fillId="0" borderId="68" xfId="1" applyNumberFormat="1" applyFont="1" applyFill="1" applyBorder="1"/>
    <xf numFmtId="166" fontId="11" fillId="0" borderId="20" xfId="2" applyNumberFormat="1" applyFont="1" applyBorder="1"/>
    <xf numFmtId="166" fontId="11" fillId="0" borderId="21" xfId="2" applyNumberFormat="1" applyFont="1" applyFill="1" applyBorder="1"/>
    <xf numFmtId="166" fontId="11" fillId="0" borderId="24" xfId="2" applyNumberFormat="1" applyFont="1" applyFill="1" applyBorder="1"/>
    <xf numFmtId="170" fontId="11" fillId="0" borderId="19" xfId="5" applyNumberFormat="1" applyFont="1" applyBorder="1"/>
    <xf numFmtId="170" fontId="11" fillId="0" borderId="22" xfId="5" applyNumberFormat="1" applyFont="1" applyBorder="1"/>
    <xf numFmtId="170" fontId="11" fillId="0" borderId="58" xfId="5" applyNumberFormat="1" applyFont="1" applyBorder="1"/>
    <xf numFmtId="170" fontId="11" fillId="0" borderId="76" xfId="5" applyNumberFormat="1" applyFont="1" applyBorder="1"/>
    <xf numFmtId="0" fontId="10" fillId="0" borderId="24" xfId="0" applyFont="1" applyBorder="1"/>
    <xf numFmtId="0" fontId="10" fillId="0" borderId="22" xfId="0" applyFont="1" applyBorder="1" applyAlignment="1">
      <alignment horizontal="center"/>
    </xf>
    <xf numFmtId="166" fontId="11" fillId="0" borderId="22" xfId="2" applyNumberFormat="1" applyFont="1" applyBorder="1"/>
    <xf numFmtId="38" fontId="11" fillId="0" borderId="22" xfId="0" applyNumberFormat="1" applyFont="1" applyBorder="1"/>
    <xf numFmtId="166" fontId="11" fillId="0" borderId="91" xfId="2" applyNumberFormat="1" applyFont="1" applyBorder="1"/>
    <xf numFmtId="166" fontId="11" fillId="0" borderId="60" xfId="2" applyNumberFormat="1" applyFont="1" applyBorder="1"/>
    <xf numFmtId="166" fontId="11" fillId="0" borderId="76" xfId="2" applyNumberFormat="1" applyFont="1" applyBorder="1"/>
    <xf numFmtId="37" fontId="11" fillId="0" borderId="22" xfId="0" applyNumberFormat="1" applyFont="1" applyBorder="1"/>
    <xf numFmtId="37" fontId="11" fillId="0" borderId="76" xfId="0" applyNumberFormat="1" applyFont="1" applyBorder="1"/>
    <xf numFmtId="173" fontId="11" fillId="0" borderId="76" xfId="5" applyNumberFormat="1" applyFont="1" applyFill="1" applyBorder="1"/>
    <xf numFmtId="166" fontId="11" fillId="0" borderId="60" xfId="2" applyNumberFormat="1" applyFont="1" applyFill="1" applyBorder="1"/>
    <xf numFmtId="166" fontId="10" fillId="0" borderId="57" xfId="2" applyNumberFormat="1" applyFont="1" applyBorder="1"/>
    <xf numFmtId="166" fontId="11" fillId="0" borderId="23" xfId="2" applyNumberFormat="1" applyFont="1" applyBorder="1"/>
    <xf numFmtId="170" fontId="11" fillId="0" borderId="22" xfId="5" applyNumberFormat="1" applyFont="1" applyFill="1" applyBorder="1"/>
    <xf numFmtId="170" fontId="11" fillId="0" borderId="96" xfId="5" applyNumberFormat="1" applyFont="1" applyFill="1" applyBorder="1"/>
    <xf numFmtId="166" fontId="10" fillId="0" borderId="18" xfId="2" applyNumberFormat="1" applyFont="1" applyFill="1" applyBorder="1"/>
    <xf numFmtId="174" fontId="10" fillId="0" borderId="22" xfId="0" applyNumberFormat="1" applyFont="1" applyBorder="1" applyAlignment="1">
      <alignment horizontal="center"/>
    </xf>
    <xf numFmtId="165" fontId="11" fillId="0" borderId="29" xfId="1" applyNumberFormat="1" applyFont="1" applyFill="1" applyBorder="1"/>
    <xf numFmtId="165" fontId="11" fillId="0" borderId="28" xfId="1" applyNumberFormat="1" applyFont="1" applyFill="1" applyBorder="1" applyAlignment="1">
      <alignment vertical="center"/>
    </xf>
    <xf numFmtId="40" fontId="11" fillId="0" borderId="28" xfId="0" applyNumberFormat="1" applyFont="1" applyBorder="1"/>
    <xf numFmtId="166" fontId="10" fillId="0" borderId="28" xfId="2" applyNumberFormat="1" applyFont="1" applyFill="1" applyBorder="1"/>
    <xf numFmtId="166" fontId="10" fillId="0" borderId="62" xfId="2" applyNumberFormat="1" applyFont="1" applyBorder="1"/>
    <xf numFmtId="165" fontId="10" fillId="0" borderId="30" xfId="1" applyNumberFormat="1" applyFont="1" applyBorder="1"/>
    <xf numFmtId="165" fontId="10" fillId="0" borderId="29" xfId="1" applyNumberFormat="1" applyFont="1" applyBorder="1"/>
    <xf numFmtId="0" fontId="10" fillId="0" borderId="6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8" xfId="0" applyFont="1" applyBorder="1"/>
    <xf numFmtId="0" fontId="11" fillId="0" borderId="97" xfId="0" applyFont="1" applyBorder="1"/>
    <xf numFmtId="0" fontId="18" fillId="0" borderId="2" xfId="0" applyFont="1" applyBorder="1" applyAlignment="1">
      <alignment horizontal="left" wrapText="1"/>
    </xf>
    <xf numFmtId="0" fontId="11" fillId="0" borderId="28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166" fontId="11" fillId="0" borderId="19" xfId="2" applyNumberFormat="1" applyFont="1" applyFill="1" applyBorder="1" applyAlignment="1">
      <alignment horizontal="right"/>
    </xf>
    <xf numFmtId="166" fontId="11" fillId="0" borderId="2" xfId="2" applyNumberFormat="1" applyFont="1" applyFill="1" applyBorder="1" applyAlignment="1">
      <alignment horizontal="right"/>
    </xf>
    <xf numFmtId="166" fontId="11" fillId="0" borderId="22" xfId="2" applyNumberFormat="1" applyFont="1" applyFill="1" applyBorder="1" applyAlignment="1">
      <alignment horizontal="right"/>
    </xf>
    <xf numFmtId="166" fontId="11" fillId="0" borderId="0" xfId="2" applyNumberFormat="1" applyFont="1" applyFill="1" applyBorder="1" applyAlignment="1">
      <alignment horizontal="right"/>
    </xf>
    <xf numFmtId="166" fontId="11" fillId="0" borderId="28" xfId="2" applyNumberFormat="1" applyFont="1" applyFill="1" applyBorder="1" applyAlignment="1">
      <alignment horizontal="right"/>
    </xf>
    <xf numFmtId="10" fontId="11" fillId="0" borderId="3" xfId="5" applyNumberFormat="1" applyFont="1" applyBorder="1"/>
    <xf numFmtId="44" fontId="11" fillId="0" borderId="2" xfId="2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166" fontId="10" fillId="0" borderId="2" xfId="2" applyNumberFormat="1" applyFont="1" applyFill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0" fontId="10" fillId="0" borderId="3" xfId="5" applyNumberFormat="1" applyFont="1" applyFill="1" applyBorder="1"/>
    <xf numFmtId="10" fontId="10" fillId="0" borderId="1" xfId="5" applyNumberFormat="1" applyFont="1" applyFill="1" applyBorder="1"/>
    <xf numFmtId="166" fontId="10" fillId="0" borderId="4" xfId="0" applyNumberFormat="1" applyFont="1" applyBorder="1" applyAlignment="1">
      <alignment horizontal="center"/>
    </xf>
    <xf numFmtId="166" fontId="10" fillId="0" borderId="4" xfId="5" applyNumberFormat="1" applyFont="1" applyFill="1" applyBorder="1"/>
    <xf numFmtId="0" fontId="9" fillId="0" borderId="12" xfId="0" applyFont="1" applyBorder="1" applyAlignment="1">
      <alignment horizontal="left"/>
    </xf>
    <xf numFmtId="0" fontId="9" fillId="0" borderId="13" xfId="0" applyFont="1" applyBorder="1"/>
    <xf numFmtId="0" fontId="9" fillId="0" borderId="12" xfId="0" applyFont="1" applyBorder="1" applyAlignment="1">
      <alignment horizontal="center"/>
    </xf>
    <xf numFmtId="0" fontId="10" fillId="0" borderId="0" xfId="20" applyFont="1" applyAlignment="1">
      <alignment horizontal="left" vertical="top" wrapText="1"/>
    </xf>
    <xf numFmtId="165" fontId="11" fillId="0" borderId="0" xfId="21" applyNumberFormat="1" applyFont="1" applyBorder="1" applyAlignment="1">
      <alignment vertical="top"/>
    </xf>
    <xf numFmtId="165" fontId="11" fillId="0" borderId="0" xfId="21" applyNumberFormat="1" applyFont="1" applyBorder="1" applyAlignment="1">
      <alignment horizontal="center" vertical="top"/>
    </xf>
    <xf numFmtId="165" fontId="11" fillId="0" borderId="7" xfId="21" applyNumberFormat="1" applyFont="1" applyBorder="1" applyAlignment="1">
      <alignment vertical="top"/>
    </xf>
    <xf numFmtId="0" fontId="12" fillId="0" borderId="19" xfId="0" applyFont="1" applyBorder="1" applyAlignment="1">
      <alignment horizontal="left"/>
    </xf>
    <xf numFmtId="165" fontId="11" fillId="0" borderId="8" xfId="1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38" fillId="0" borderId="0" xfId="0" applyFont="1" applyAlignment="1">
      <alignment wrapText="1"/>
    </xf>
    <xf numFmtId="0" fontId="39" fillId="0" borderId="0" xfId="0" applyFont="1"/>
    <xf numFmtId="0" fontId="38" fillId="0" borderId="0" xfId="0" applyFont="1"/>
    <xf numFmtId="0" fontId="10" fillId="0" borderId="2" xfId="0" applyFont="1" applyBorder="1" applyAlignment="1">
      <alignment horizontal="right"/>
    </xf>
    <xf numFmtId="41" fontId="10" fillId="0" borderId="8" xfId="0" applyNumberFormat="1" applyFont="1" applyBorder="1"/>
    <xf numFmtId="41" fontId="11" fillId="0" borderId="18" xfId="0" applyNumberFormat="1" applyFont="1" applyBorder="1"/>
    <xf numFmtId="0" fontId="18" fillId="0" borderId="0" xfId="14" applyFont="1"/>
    <xf numFmtId="0" fontId="10" fillId="0" borderId="12" xfId="14" applyFont="1" applyBorder="1" applyAlignment="1">
      <alignment horizontal="center"/>
    </xf>
    <xf numFmtId="0" fontId="19" fillId="0" borderId="89" xfId="14" applyFont="1" applyBorder="1" applyAlignment="1">
      <alignment horizontal="center"/>
    </xf>
    <xf numFmtId="0" fontId="19" fillId="0" borderId="47" xfId="14" applyFont="1" applyBorder="1" applyAlignment="1">
      <alignment horizontal="center"/>
    </xf>
    <xf numFmtId="0" fontId="19" fillId="0" borderId="90" xfId="14" applyFont="1" applyBorder="1" applyAlignment="1">
      <alignment horizontal="center"/>
    </xf>
    <xf numFmtId="0" fontId="19" fillId="0" borderId="79" xfId="14" applyFont="1" applyBorder="1" applyAlignment="1">
      <alignment horizontal="center"/>
    </xf>
    <xf numFmtId="0" fontId="19" fillId="0" borderId="0" xfId="14" applyFont="1"/>
    <xf numFmtId="0" fontId="19" fillId="0" borderId="0" xfId="14" applyFont="1" applyAlignment="1">
      <alignment horizontal="center" vertical="top" wrapText="1"/>
    </xf>
    <xf numFmtId="165" fontId="9" fillId="0" borderId="0" xfId="15" applyNumberFormat="1" applyFont="1" applyBorder="1" applyAlignment="1">
      <alignment vertical="top"/>
    </xf>
    <xf numFmtId="165" fontId="19" fillId="0" borderId="0" xfId="15" applyNumberFormat="1" applyFont="1" applyBorder="1" applyAlignment="1">
      <alignment vertical="top"/>
    </xf>
    <xf numFmtId="178" fontId="18" fillId="0" borderId="7" xfId="14" applyNumberFormat="1" applyFont="1" applyBorder="1"/>
    <xf numFmtId="178" fontId="18" fillId="0" borderId="0" xfId="14" applyNumberFormat="1" applyFont="1"/>
    <xf numFmtId="165" fontId="19" fillId="0" borderId="17" xfId="1" applyNumberFormat="1" applyFont="1" applyFill="1" applyBorder="1"/>
    <xf numFmtId="0" fontId="19" fillId="0" borderId="0" xfId="14" applyFont="1" applyAlignment="1">
      <alignment horizontal="center"/>
    </xf>
    <xf numFmtId="174" fontId="10" fillId="0" borderId="28" xfId="0" applyNumberFormat="1" applyFont="1" applyBorder="1" applyAlignment="1">
      <alignment horizontal="right"/>
    </xf>
    <xf numFmtId="0" fontId="7" fillId="0" borderId="0" xfId="0" applyFont="1" applyAlignment="1">
      <alignment vertical="top"/>
    </xf>
    <xf numFmtId="0" fontId="10" fillId="0" borderId="2" xfId="3" applyFont="1" applyBorder="1" applyAlignment="1">
      <alignment horizontal="right"/>
    </xf>
    <xf numFmtId="0" fontId="10" fillId="0" borderId="0" xfId="3" applyFont="1"/>
    <xf numFmtId="169" fontId="10" fillId="0" borderId="32" xfId="5" applyNumberFormat="1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42" xfId="3" applyFont="1" applyBorder="1" applyAlignment="1">
      <alignment horizontal="right"/>
    </xf>
    <xf numFmtId="0" fontId="10" fillId="0" borderId="8" xfId="3" applyFont="1" applyBorder="1" applyAlignment="1">
      <alignment horizontal="right"/>
    </xf>
    <xf numFmtId="166" fontId="10" fillId="0" borderId="2" xfId="2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13" xfId="0" applyFont="1" applyBorder="1"/>
    <xf numFmtId="166" fontId="10" fillId="0" borderId="61" xfId="2" applyNumberFormat="1" applyFont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166" fontId="25" fillId="0" borderId="0" xfId="0" applyNumberFormat="1" applyFont="1" applyAlignment="1">
      <alignment horizontal="right"/>
    </xf>
    <xf numFmtId="0" fontId="8" fillId="0" borderId="0" xfId="0" applyFont="1"/>
    <xf numFmtId="0" fontId="10" fillId="0" borderId="28" xfId="0" applyFont="1" applyBorder="1" applyAlignment="1">
      <alignment horizontal="right"/>
    </xf>
    <xf numFmtId="170" fontId="11" fillId="0" borderId="19" xfId="5" applyNumberFormat="1" applyFont="1" applyFill="1" applyBorder="1"/>
    <xf numFmtId="170" fontId="11" fillId="0" borderId="58" xfId="5" applyNumberFormat="1" applyFont="1" applyFill="1" applyBorder="1"/>
    <xf numFmtId="175" fontId="11" fillId="0" borderId="35" xfId="1" applyNumberFormat="1" applyFont="1" applyBorder="1"/>
    <xf numFmtId="10" fontId="11" fillId="0" borderId="8" xfId="5" applyNumberFormat="1" applyFont="1" applyFill="1" applyBorder="1"/>
    <xf numFmtId="0" fontId="11" fillId="0" borderId="34" xfId="0" applyFont="1" applyBorder="1"/>
    <xf numFmtId="0" fontId="7" fillId="0" borderId="9" xfId="0" applyFont="1" applyBorder="1"/>
    <xf numFmtId="10" fontId="11" fillId="0" borderId="35" xfId="5" applyNumberFormat="1" applyFont="1" applyBorder="1"/>
    <xf numFmtId="10" fontId="11" fillId="0" borderId="68" xfId="5" applyNumberFormat="1" applyFont="1" applyFill="1" applyBorder="1"/>
    <xf numFmtId="10" fontId="11" fillId="0" borderId="6" xfId="5" applyNumberFormat="1" applyFont="1" applyBorder="1"/>
    <xf numFmtId="10" fontId="11" fillId="0" borderId="69" xfId="5" applyNumberFormat="1" applyFont="1" applyBorder="1"/>
    <xf numFmtId="10" fontId="11" fillId="0" borderId="68" xfId="5" applyNumberFormat="1" applyFont="1" applyBorder="1"/>
    <xf numFmtId="0" fontId="7" fillId="0" borderId="28" xfId="0" applyFont="1" applyBorder="1"/>
    <xf numFmtId="0" fontId="7" fillId="0" borderId="45" xfId="0" applyFont="1" applyBorder="1"/>
    <xf numFmtId="0" fontId="7" fillId="0" borderId="29" xfId="0" applyFont="1" applyBorder="1"/>
    <xf numFmtId="0" fontId="11" fillId="0" borderId="0" xfId="0" applyFont="1" applyAlignment="1">
      <alignment horizontal="right"/>
    </xf>
    <xf numFmtId="17" fontId="10" fillId="0" borderId="2" xfId="0" applyNumberFormat="1" applyFont="1" applyBorder="1" applyAlignment="1">
      <alignment horizontal="right"/>
    </xf>
    <xf numFmtId="17" fontId="10" fillId="0" borderId="9" xfId="0" applyNumberFormat="1" applyFont="1" applyBorder="1" applyAlignment="1">
      <alignment horizontal="right"/>
    </xf>
    <xf numFmtId="0" fontId="10" fillId="0" borderId="21" xfId="0" applyFont="1" applyBorder="1"/>
    <xf numFmtId="3" fontId="10" fillId="0" borderId="19" xfId="0" applyNumberFormat="1" applyFont="1" applyBorder="1" applyAlignment="1">
      <alignment horizontal="left"/>
    </xf>
    <xf numFmtId="3" fontId="10" fillId="0" borderId="93" xfId="0" applyNumberFormat="1" applyFont="1" applyBorder="1" applyAlignment="1">
      <alignment horizontal="left"/>
    </xf>
    <xf numFmtId="0" fontId="10" fillId="0" borderId="8" xfId="0" applyFont="1" applyBorder="1"/>
    <xf numFmtId="166" fontId="10" fillId="0" borderId="8" xfId="0" applyNumberFormat="1" applyFont="1" applyBorder="1"/>
    <xf numFmtId="0" fontId="10" fillId="0" borderId="52" xfId="0" applyFont="1" applyBorder="1"/>
    <xf numFmtId="0" fontId="10" fillId="0" borderId="8" xfId="0" applyFont="1" applyBorder="1" applyAlignment="1">
      <alignment horizontal="left"/>
    </xf>
    <xf numFmtId="165" fontId="10" fillId="0" borderId="13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 vertical="justify"/>
    </xf>
    <xf numFmtId="17" fontId="10" fillId="0" borderId="44" xfId="0" applyNumberFormat="1" applyFont="1" applyBorder="1" applyAlignment="1">
      <alignment horizontal="centerContinuous" vertical="justify"/>
    </xf>
    <xf numFmtId="0" fontId="40" fillId="0" borderId="0" xfId="20" applyFont="1"/>
    <xf numFmtId="0" fontId="10" fillId="0" borderId="0" xfId="20" applyFont="1" applyAlignment="1">
      <alignment horizontal="center"/>
    </xf>
    <xf numFmtId="0" fontId="10" fillId="0" borderId="12" xfId="20" applyFont="1" applyBorder="1" applyAlignment="1">
      <alignment horizontal="center"/>
    </xf>
    <xf numFmtId="0" fontId="11" fillId="0" borderId="0" xfId="20" applyFont="1" applyAlignment="1">
      <alignment horizontal="center"/>
    </xf>
    <xf numFmtId="0" fontId="41" fillId="0" borderId="0" xfId="20" applyFont="1"/>
    <xf numFmtId="0" fontId="11" fillId="0" borderId="0" xfId="20" applyFont="1"/>
    <xf numFmtId="178" fontId="11" fillId="0" borderId="7" xfId="20" applyNumberFormat="1" applyFont="1" applyBorder="1"/>
    <xf numFmtId="178" fontId="11" fillId="0" borderId="0" xfId="20" applyNumberFormat="1" applyFont="1" applyAlignment="1">
      <alignment horizontal="center"/>
    </xf>
    <xf numFmtId="178" fontId="11" fillId="0" borderId="0" xfId="20" applyNumberFormat="1" applyFont="1"/>
    <xf numFmtId="0" fontId="40" fillId="0" borderId="0" xfId="20" applyFont="1" applyAlignment="1">
      <alignment horizontal="left"/>
    </xf>
    <xf numFmtId="0" fontId="11" fillId="0" borderId="7" xfId="20" applyFont="1" applyBorder="1" applyAlignment="1">
      <alignment horizontal="center"/>
    </xf>
    <xf numFmtId="165" fontId="10" fillId="0" borderId="7" xfId="1" applyNumberFormat="1" applyFont="1" applyBorder="1"/>
    <xf numFmtId="0" fontId="11" fillId="0" borderId="0" xfId="20" applyFont="1" applyAlignment="1">
      <alignment horizontal="left"/>
    </xf>
    <xf numFmtId="165" fontId="11" fillId="0" borderId="7" xfId="1" applyNumberFormat="1" applyFont="1" applyBorder="1" applyAlignment="1">
      <alignment horizontal="center"/>
    </xf>
    <xf numFmtId="0" fontId="11" fillId="0" borderId="7" xfId="20" applyFont="1" applyBorder="1"/>
    <xf numFmtId="0" fontId="11" fillId="0" borderId="22" xfId="0" applyFont="1" applyBorder="1" applyAlignment="1">
      <alignment horizontal="center" vertical="top"/>
    </xf>
    <xf numFmtId="166" fontId="10" fillId="0" borderId="28" xfId="2" applyNumberFormat="1" applyFont="1" applyFill="1" applyBorder="1" applyAlignment="1">
      <alignment vertical="top"/>
    </xf>
    <xf numFmtId="0" fontId="19" fillId="0" borderId="79" xfId="14" applyFont="1" applyBorder="1" applyAlignment="1">
      <alignment horizontal="center" vertical="center" wrapText="1"/>
    </xf>
    <xf numFmtId="165" fontId="9" fillId="0" borderId="77" xfId="15" applyNumberFormat="1" applyFont="1" applyBorder="1" applyAlignment="1">
      <alignment vertical="center"/>
    </xf>
    <xf numFmtId="165" fontId="19" fillId="0" borderId="29" xfId="15" applyNumberFormat="1" applyFont="1" applyBorder="1" applyAlignment="1">
      <alignment vertical="center"/>
    </xf>
    <xf numFmtId="166" fontId="11" fillId="0" borderId="80" xfId="0" applyNumberFormat="1" applyFont="1" applyBorder="1"/>
    <xf numFmtId="166" fontId="11" fillId="0" borderId="3" xfId="0" applyNumberFormat="1" applyFont="1" applyBorder="1"/>
    <xf numFmtId="166" fontId="11" fillId="0" borderId="0" xfId="0" applyNumberFormat="1" applyFont="1" applyAlignment="1">
      <alignment horizontal="right"/>
    </xf>
    <xf numFmtId="165" fontId="11" fillId="0" borderId="22" xfId="1" applyNumberFormat="1" applyFont="1" applyFill="1" applyBorder="1" applyAlignment="1">
      <alignment horizontal="right"/>
    </xf>
    <xf numFmtId="173" fontId="11" fillId="0" borderId="0" xfId="5" applyNumberFormat="1" applyFont="1"/>
    <xf numFmtId="173" fontId="11" fillId="0" borderId="0" xfId="0" applyNumberFormat="1" applyFont="1"/>
    <xf numFmtId="0" fontId="10" fillId="0" borderId="25" xfId="0" applyFont="1" applyBorder="1" applyAlignment="1">
      <alignment horizontal="center" wrapText="1"/>
    </xf>
    <xf numFmtId="0" fontId="17" fillId="0" borderId="12" xfId="0" applyFont="1" applyBorder="1"/>
    <xf numFmtId="0" fontId="11" fillId="0" borderId="76" xfId="0" applyFont="1" applyBorder="1" applyAlignment="1">
      <alignment horizontal="center"/>
    </xf>
    <xf numFmtId="166" fontId="11" fillId="0" borderId="19" xfId="2" applyNumberFormat="1" applyFont="1" applyBorder="1"/>
    <xf numFmtId="170" fontId="10" fillId="0" borderId="55" xfId="0" applyNumberFormat="1" applyFont="1" applyBorder="1"/>
    <xf numFmtId="0" fontId="11" fillId="0" borderId="91" xfId="0" applyFont="1" applyBorder="1"/>
    <xf numFmtId="10" fontId="11" fillId="0" borderId="22" xfId="5" applyNumberFormat="1" applyFont="1" applyBorder="1"/>
    <xf numFmtId="10" fontId="11" fillId="0" borderId="76" xfId="5" applyNumberFormat="1" applyFont="1" applyBorder="1"/>
    <xf numFmtId="10" fontId="11" fillId="0" borderId="96" xfId="0" applyNumberFormat="1" applyFont="1" applyBorder="1"/>
    <xf numFmtId="166" fontId="11" fillId="0" borderId="12" xfId="2" applyNumberFormat="1" applyFont="1" applyBorder="1"/>
    <xf numFmtId="38" fontId="11" fillId="0" borderId="0" xfId="0" applyNumberFormat="1" applyFont="1"/>
    <xf numFmtId="168" fontId="11" fillId="0" borderId="7" xfId="2" applyNumberFormat="1" applyFont="1" applyFill="1" applyBorder="1"/>
    <xf numFmtId="166" fontId="11" fillId="0" borderId="15" xfId="2" applyNumberFormat="1" applyFont="1" applyBorder="1"/>
    <xf numFmtId="166" fontId="11" fillId="0" borderId="98" xfId="2" applyNumberFormat="1" applyFont="1" applyBorder="1"/>
    <xf numFmtId="166" fontId="11" fillId="0" borderId="7" xfId="2" applyNumberFormat="1" applyFont="1" applyBorder="1"/>
    <xf numFmtId="37" fontId="11" fillId="0" borderId="0" xfId="0" applyNumberFormat="1" applyFont="1"/>
    <xf numFmtId="37" fontId="11" fillId="0" borderId="7" xfId="0" applyNumberFormat="1" applyFont="1" applyBorder="1"/>
    <xf numFmtId="166" fontId="11" fillId="0" borderId="43" xfId="2" applyNumberFormat="1" applyFont="1" applyBorder="1"/>
    <xf numFmtId="180" fontId="11" fillId="0" borderId="0" xfId="0" applyNumberFormat="1" applyFont="1"/>
    <xf numFmtId="180" fontId="11" fillId="0" borderId="7" xfId="5" applyNumberFormat="1" applyFont="1" applyBorder="1"/>
    <xf numFmtId="180" fontId="11" fillId="0" borderId="83" xfId="0" applyNumberFormat="1" applyFont="1" applyBorder="1"/>
    <xf numFmtId="0" fontId="7" fillId="0" borderId="22" xfId="0" applyFont="1" applyBorder="1"/>
    <xf numFmtId="0" fontId="7" fillId="0" borderId="23" xfId="0" applyFont="1" applyBorder="1"/>
    <xf numFmtId="166" fontId="18" fillId="0" borderId="28" xfId="2" applyNumberFormat="1" applyFont="1" applyBorder="1" applyAlignment="1">
      <alignment horizontal="center"/>
    </xf>
    <xf numFmtId="38" fontId="18" fillId="0" borderId="28" xfId="0" applyNumberFormat="1" applyFont="1" applyBorder="1" applyAlignment="1">
      <alignment horizontal="center"/>
    </xf>
    <xf numFmtId="37" fontId="18" fillId="0" borderId="28" xfId="0" applyNumberFormat="1" applyFont="1" applyBorder="1" applyAlignment="1">
      <alignment horizontal="center"/>
    </xf>
    <xf numFmtId="165" fontId="11" fillId="0" borderId="6" xfId="19" applyNumberFormat="1" applyFont="1" applyFill="1" applyBorder="1" applyAlignment="1">
      <alignment horizontal="left"/>
    </xf>
    <xf numFmtId="164" fontId="11" fillId="0" borderId="13" xfId="0" applyNumberFormat="1" applyFont="1" applyBorder="1"/>
    <xf numFmtId="0" fontId="8" fillId="0" borderId="0" xfId="1" applyNumberFormat="1" applyFont="1" applyFill="1" applyBorder="1" applyAlignment="1">
      <alignment horizontal="left"/>
    </xf>
    <xf numFmtId="43" fontId="11" fillId="0" borderId="0" xfId="1" applyFont="1" applyFill="1" applyBorder="1"/>
    <xf numFmtId="170" fontId="10" fillId="0" borderId="54" xfId="0" applyNumberFormat="1" applyFont="1" applyBorder="1"/>
    <xf numFmtId="0" fontId="13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174" fontId="11" fillId="0" borderId="0" xfId="0" applyNumberFormat="1" applyFont="1" applyAlignment="1">
      <alignment horizontal="left"/>
    </xf>
    <xf numFmtId="174" fontId="43" fillId="0" borderId="0" xfId="0" applyNumberFormat="1" applyFont="1" applyAlignment="1">
      <alignment horizontal="right"/>
    </xf>
    <xf numFmtId="0" fontId="17" fillId="0" borderId="19" xfId="0" applyFont="1" applyBorder="1"/>
    <xf numFmtId="0" fontId="11" fillId="0" borderId="28" xfId="0" applyFont="1" applyBorder="1" applyAlignment="1">
      <alignment horizontal="center" vertical="top"/>
    </xf>
    <xf numFmtId="0" fontId="11" fillId="0" borderId="19" xfId="0" applyFont="1" applyBorder="1" applyAlignment="1">
      <alignment vertical="top" wrapText="1"/>
    </xf>
    <xf numFmtId="0" fontId="14" fillId="0" borderId="0" xfId="0" applyFont="1" applyAlignment="1">
      <alignment horizontal="center" vertical="top"/>
    </xf>
    <xf numFmtId="0" fontId="42" fillId="0" borderId="0" xfId="0" quotePrefix="1" applyFont="1"/>
    <xf numFmtId="0" fontId="11" fillId="0" borderId="0" xfId="0" applyFont="1" applyAlignment="1">
      <alignment horizontal="left" vertical="top" wrapText="1"/>
    </xf>
    <xf numFmtId="0" fontId="8" fillId="0" borderId="0" xfId="1" applyNumberFormat="1" applyFont="1" applyFill="1" applyBorder="1" applyAlignment="1">
      <alignment horizontal="right"/>
    </xf>
    <xf numFmtId="44" fontId="11" fillId="0" borderId="0" xfId="2" applyFont="1" applyFill="1"/>
    <xf numFmtId="44" fontId="11" fillId="0" borderId="0" xfId="2" applyFont="1" applyBorder="1"/>
    <xf numFmtId="44" fontId="11" fillId="0" borderId="0" xfId="1" applyNumberFormat="1" applyFont="1" applyFill="1"/>
    <xf numFmtId="44" fontId="11" fillId="0" borderId="54" xfId="2" applyFont="1" applyFill="1" applyBorder="1"/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left"/>
    </xf>
    <xf numFmtId="165" fontId="11" fillId="0" borderId="19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43" fontId="11" fillId="0" borderId="22" xfId="1" applyFont="1" applyFill="1" applyBorder="1" applyAlignment="1">
      <alignment horizontal="right"/>
    </xf>
    <xf numFmtId="168" fontId="10" fillId="0" borderId="50" xfId="2" applyNumberFormat="1" applyFont="1" applyBorder="1"/>
    <xf numFmtId="44" fontId="11" fillId="0" borderId="0" xfId="2" applyFont="1" applyFill="1" applyBorder="1"/>
    <xf numFmtId="166" fontId="11" fillId="0" borderId="39" xfId="2" applyNumberFormat="1" applyFont="1" applyFill="1" applyBorder="1"/>
    <xf numFmtId="40" fontId="11" fillId="0" borderId="79" xfId="0" applyNumberFormat="1" applyFont="1" applyBorder="1"/>
    <xf numFmtId="40" fontId="11" fillId="0" borderId="39" xfId="0" applyNumberFormat="1" applyFont="1" applyBorder="1"/>
    <xf numFmtId="165" fontId="10" fillId="0" borderId="29" xfId="1" applyNumberFormat="1" applyFont="1" applyFill="1" applyBorder="1"/>
    <xf numFmtId="165" fontId="11" fillId="0" borderId="28" xfId="1" applyNumberFormat="1" applyFont="1" applyFill="1" applyBorder="1" applyAlignment="1">
      <alignment horizontal="center" vertical="center"/>
    </xf>
    <xf numFmtId="166" fontId="10" fillId="0" borderId="62" xfId="2" applyNumberFormat="1" applyFont="1" applyFill="1" applyBorder="1"/>
    <xf numFmtId="165" fontId="11" fillId="0" borderId="29" xfId="1" applyNumberFormat="1" applyFont="1" applyBorder="1"/>
    <xf numFmtId="0" fontId="10" fillId="5" borderId="79" xfId="0" applyFont="1" applyFill="1" applyBorder="1" applyAlignment="1">
      <alignment horizontal="center" wrapText="1"/>
    </xf>
    <xf numFmtId="174" fontId="10" fillId="5" borderId="79" xfId="0" applyNumberFormat="1" applyFont="1" applyFill="1" applyBorder="1" applyAlignment="1">
      <alignment horizontal="center"/>
    </xf>
    <xf numFmtId="174" fontId="10" fillId="5" borderId="29" xfId="0" applyNumberFormat="1" applyFont="1" applyFill="1" applyBorder="1" applyAlignment="1">
      <alignment horizontal="center"/>
    </xf>
    <xf numFmtId="17" fontId="11" fillId="0" borderId="3" xfId="0" applyNumberFormat="1" applyFont="1" applyBorder="1" applyAlignment="1">
      <alignment horizontal="center"/>
    </xf>
    <xf numFmtId="43" fontId="11" fillId="0" borderId="22" xfId="1" applyFont="1" applyBorder="1" applyAlignment="1">
      <alignment horizontal="right"/>
    </xf>
    <xf numFmtId="165" fontId="11" fillId="0" borderId="12" xfId="1" applyNumberFormat="1" applyFont="1" applyFill="1" applyBorder="1"/>
    <xf numFmtId="0" fontId="10" fillId="0" borderId="0" xfId="0" quotePrefix="1" applyFont="1"/>
    <xf numFmtId="0" fontId="10" fillId="0" borderId="0" xfId="0" quotePrefix="1" applyFont="1" applyAlignment="1">
      <alignment horizontal="right"/>
    </xf>
    <xf numFmtId="43" fontId="11" fillId="0" borderId="0" xfId="1" applyFont="1" applyAlignment="1">
      <alignment horizontal="right"/>
    </xf>
    <xf numFmtId="165" fontId="11" fillId="0" borderId="54" xfId="1" applyNumberFormat="1" applyFont="1" applyBorder="1" applyAlignment="1">
      <alignment horizontal="right"/>
    </xf>
    <xf numFmtId="165" fontId="11" fillId="0" borderId="17" xfId="1" applyNumberFormat="1" applyFont="1" applyBorder="1" applyAlignment="1">
      <alignment horizontal="right"/>
    </xf>
    <xf numFmtId="165" fontId="11" fillId="0" borderId="54" xfId="1" applyNumberFormat="1" applyFont="1" applyBorder="1"/>
    <xf numFmtId="165" fontId="11" fillId="0" borderId="0" xfId="1" applyNumberFormat="1" applyFont="1" applyAlignment="1">
      <alignment horizontal="right"/>
    </xf>
    <xf numFmtId="165" fontId="11" fillId="0" borderId="62" xfId="1" applyNumberFormat="1" applyFont="1" applyFill="1" applyBorder="1"/>
    <xf numFmtId="0" fontId="10" fillId="5" borderId="25" xfId="0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 vertical="center"/>
    </xf>
    <xf numFmtId="174" fontId="10" fillId="5" borderId="12" xfId="0" applyNumberFormat="1" applyFont="1" applyFill="1" applyBorder="1" applyAlignment="1">
      <alignment horizontal="center"/>
    </xf>
    <xf numFmtId="165" fontId="11" fillId="0" borderId="0" xfId="1" applyNumberFormat="1" applyFont="1" applyFill="1" applyBorder="1" applyAlignment="1">
      <alignment vertical="center"/>
    </xf>
    <xf numFmtId="174" fontId="10" fillId="5" borderId="27" xfId="0" applyNumberFormat="1" applyFont="1" applyFill="1" applyBorder="1" applyAlignment="1">
      <alignment horizontal="center"/>
    </xf>
    <xf numFmtId="40" fontId="11" fillId="0" borderId="27" xfId="0" applyNumberFormat="1" applyFont="1" applyBorder="1"/>
    <xf numFmtId="166" fontId="10" fillId="0" borderId="0" xfId="2" applyNumberFormat="1" applyFont="1" applyFill="1" applyBorder="1"/>
    <xf numFmtId="166" fontId="10" fillId="0" borderId="7" xfId="2" applyNumberFormat="1" applyFont="1" applyBorder="1"/>
    <xf numFmtId="165" fontId="10" fillId="0" borderId="12" xfId="1" applyNumberFormat="1" applyFont="1" applyBorder="1"/>
    <xf numFmtId="40" fontId="11" fillId="0" borderId="43" xfId="0" applyNumberFormat="1" applyFont="1" applyBorder="1"/>
    <xf numFmtId="165" fontId="11" fillId="0" borderId="12" xfId="1" applyNumberFormat="1" applyFont="1" applyBorder="1"/>
    <xf numFmtId="43" fontId="11" fillId="0" borderId="0" xfId="1" applyFont="1" applyFill="1"/>
    <xf numFmtId="43" fontId="7" fillId="0" borderId="0" xfId="0" applyNumberFormat="1" applyFont="1"/>
    <xf numFmtId="165" fontId="10" fillId="5" borderId="27" xfId="0" applyNumberFormat="1" applyFont="1" applyFill="1" applyBorder="1" applyAlignment="1">
      <alignment horizontal="center"/>
    </xf>
    <xf numFmtId="0" fontId="21" fillId="5" borderId="79" xfId="0" applyFont="1" applyFill="1" applyBorder="1" applyAlignment="1">
      <alignment horizontal="left" vertical="top"/>
    </xf>
    <xf numFmtId="0" fontId="11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horizontal="left" wrapText="1"/>
    </xf>
    <xf numFmtId="0" fontId="17" fillId="0" borderId="29" xfId="0" applyFont="1" applyBorder="1"/>
    <xf numFmtId="0" fontId="17" fillId="0" borderId="28" xfId="0" applyFont="1" applyBorder="1"/>
    <xf numFmtId="171" fontId="10" fillId="5" borderId="27" xfId="0" applyNumberFormat="1" applyFont="1" applyFill="1" applyBorder="1" applyAlignment="1">
      <alignment horizontal="center"/>
    </xf>
    <xf numFmtId="0" fontId="11" fillId="5" borderId="79" xfId="0" applyFont="1" applyFill="1" applyBorder="1" applyAlignment="1">
      <alignment horizontal="center"/>
    </xf>
    <xf numFmtId="166" fontId="14" fillId="0" borderId="67" xfId="2" quotePrefix="1" applyNumberFormat="1" applyFont="1" applyBorder="1" applyAlignment="1">
      <alignment horizontal="right"/>
    </xf>
    <xf numFmtId="0" fontId="14" fillId="0" borderId="0" xfId="0" quotePrefix="1" applyFont="1"/>
    <xf numFmtId="182" fontId="11" fillId="0" borderId="19" xfId="1" applyNumberFormat="1" applyFont="1" applyFill="1" applyBorder="1" applyAlignment="1">
      <alignment horizontal="right"/>
    </xf>
    <xf numFmtId="182" fontId="11" fillId="0" borderId="7" xfId="1" applyNumberFormat="1" applyFont="1" applyFill="1" applyBorder="1" applyAlignment="1">
      <alignment horizontal="right"/>
    </xf>
    <xf numFmtId="182" fontId="11" fillId="0" borderId="0" xfId="1" applyNumberFormat="1" applyFont="1" applyFill="1" applyBorder="1" applyAlignment="1">
      <alignment horizontal="right"/>
    </xf>
    <xf numFmtId="1" fontId="11" fillId="0" borderId="22" xfId="1" applyNumberFormat="1" applyFont="1" applyBorder="1" applyAlignment="1">
      <alignment horizontal="right"/>
    </xf>
    <xf numFmtId="10" fontId="11" fillId="0" borderId="7" xfId="5" applyNumberFormat="1" applyFont="1" applyBorder="1"/>
    <xf numFmtId="165" fontId="9" fillId="0" borderId="0" xfId="1" applyNumberFormat="1" applyFont="1" applyAlignment="1">
      <alignment vertical="top"/>
    </xf>
    <xf numFmtId="183" fontId="11" fillId="0" borderId="22" xfId="0" applyNumberFormat="1" applyFont="1" applyBorder="1" applyAlignment="1">
      <alignment horizontal="right"/>
    </xf>
    <xf numFmtId="170" fontId="11" fillId="0" borderId="0" xfId="5" applyNumberFormat="1" applyFont="1" applyFill="1" applyBorder="1"/>
    <xf numFmtId="168" fontId="11" fillId="0" borderId="76" xfId="2" applyNumberFormat="1" applyFont="1" applyFill="1" applyBorder="1"/>
    <xf numFmtId="168" fontId="18" fillId="0" borderId="28" xfId="2" applyNumberFormat="1" applyFont="1" applyFill="1" applyBorder="1" applyAlignment="1">
      <alignment horizontal="center" wrapText="1"/>
    </xf>
    <xf numFmtId="0" fontId="11" fillId="0" borderId="39" xfId="0" quotePrefix="1" applyFont="1" applyBorder="1" applyAlignment="1">
      <alignment horizontal="center"/>
    </xf>
    <xf numFmtId="0" fontId="11" fillId="0" borderId="19" xfId="0" applyFont="1" applyBorder="1" applyAlignment="1">
      <alignment horizontal="center" wrapText="1"/>
    </xf>
    <xf numFmtId="0" fontId="11" fillId="0" borderId="28" xfId="0" applyFont="1" applyBorder="1" applyAlignment="1">
      <alignment horizontal="left" vertical="top"/>
    </xf>
    <xf numFmtId="165" fontId="11" fillId="0" borderId="28" xfId="1" applyNumberFormat="1" applyFont="1" applyBorder="1"/>
    <xf numFmtId="0" fontId="11" fillId="0" borderId="22" xfId="0" quotePrefix="1" applyFont="1" applyBorder="1" applyAlignment="1">
      <alignment horizontal="center"/>
    </xf>
    <xf numFmtId="0" fontId="11" fillId="5" borderId="39" xfId="0" applyFont="1" applyFill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165" fontId="11" fillId="0" borderId="43" xfId="1" applyNumberFormat="1" applyFont="1" applyFill="1" applyBorder="1"/>
    <xf numFmtId="165" fontId="11" fillId="0" borderId="39" xfId="1" applyNumberFormat="1" applyFont="1" applyFill="1" applyBorder="1"/>
    <xf numFmtId="0" fontId="11" fillId="0" borderId="24" xfId="0" quotePrefix="1" applyFont="1" applyBorder="1" applyAlignment="1">
      <alignment horizontal="center"/>
    </xf>
    <xf numFmtId="182" fontId="9" fillId="0" borderId="0" xfId="1" applyNumberFormat="1" applyFont="1"/>
    <xf numFmtId="0" fontId="10" fillId="0" borderId="0" xfId="14" applyFont="1" applyAlignment="1">
      <alignment horizontal="center"/>
    </xf>
    <xf numFmtId="0" fontId="10" fillId="0" borderId="0" xfId="20" applyFont="1" applyAlignment="1">
      <alignment horizontal="center"/>
    </xf>
    <xf numFmtId="0" fontId="10" fillId="0" borderId="0" xfId="0" applyFont="1" applyAlignment="1">
      <alignment horizontal="center" vertical="justify"/>
    </xf>
    <xf numFmtId="3" fontId="10" fillId="0" borderId="0" xfId="0" applyNumberFormat="1" applyFont="1" applyAlignment="1">
      <alignment horizontal="center" vertical="justify"/>
    </xf>
    <xf numFmtId="0" fontId="10" fillId="0" borderId="0" xfId="0" applyFont="1" applyAlignment="1">
      <alignment horizontal="center" vertical="center"/>
    </xf>
    <xf numFmtId="0" fontId="36" fillId="3" borderId="21" xfId="0" applyFont="1" applyFill="1" applyBorder="1" applyAlignment="1">
      <alignment horizontal="center"/>
    </xf>
    <xf numFmtId="0" fontId="36" fillId="3" borderId="43" xfId="0" applyFont="1" applyFill="1" applyBorder="1" applyAlignment="1">
      <alignment horizontal="center"/>
    </xf>
    <xf numFmtId="0" fontId="36" fillId="3" borderId="24" xfId="0" applyFont="1" applyFill="1" applyBorder="1" applyAlignment="1">
      <alignment horizontal="center"/>
    </xf>
    <xf numFmtId="0" fontId="36" fillId="3" borderId="20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22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</cellXfs>
  <cellStyles count="22">
    <cellStyle name="Comma" xfId="1" builtinId="3"/>
    <cellStyle name="Comma 14" xfId="15" xr:uid="{00000000-0005-0000-0000-000001000000}"/>
    <cellStyle name="Comma 14 2" xfId="21" xr:uid="{00FB1CCE-D6C1-49F0-A30B-27ED7D229814}"/>
    <cellStyle name="Comma 2" xfId="12" xr:uid="{00000000-0005-0000-0000-000002000000}"/>
    <cellStyle name="Comma 3" xfId="19" xr:uid="{C47336E8-D94B-49C2-B7EE-22235241E155}"/>
    <cellStyle name="Currency" xfId="2" builtinId="4"/>
    <cellStyle name="Currency 2" xfId="11" xr:uid="{00000000-0005-0000-0000-000004000000}"/>
    <cellStyle name="Normal" xfId="0" builtinId="0"/>
    <cellStyle name="Normal 10" xfId="9" xr:uid="{00000000-0005-0000-0000-000006000000}"/>
    <cellStyle name="Normal 10 2 2 2" xfId="18" xr:uid="{00000000-0005-0000-0000-000007000000}"/>
    <cellStyle name="Normal 12" xfId="8" xr:uid="{00000000-0005-0000-0000-000008000000}"/>
    <cellStyle name="Normal 19" xfId="7" xr:uid="{00000000-0005-0000-0000-000009000000}"/>
    <cellStyle name="Normal 2" xfId="10" xr:uid="{00000000-0005-0000-0000-00000A000000}"/>
    <cellStyle name="Normal 2 3 3" xfId="6" xr:uid="{00000000-0005-0000-0000-00000B000000}"/>
    <cellStyle name="Normal 20" xfId="14" xr:uid="{00000000-0005-0000-0000-00000C000000}"/>
    <cellStyle name="Normal 20 2" xfId="20" xr:uid="{80C12A75-8FE9-45AF-9CAB-1288F15EF8E5}"/>
    <cellStyle name="Normal 21" xfId="16" xr:uid="{00000000-0005-0000-0000-00000D000000}"/>
    <cellStyle name="Normal 22" xfId="17" xr:uid="{00000000-0005-0000-0000-00000E000000}"/>
    <cellStyle name="Normal_Draft TRBAA 2009 Forecast" xfId="3" xr:uid="{00000000-0005-0000-0000-00000F000000}"/>
    <cellStyle name="Normal_R1, 2009 ETC Cost Differential Forecast" xfId="4" xr:uid="{00000000-0005-0000-0000-000010000000}"/>
    <cellStyle name="Percent" xfId="5" builtinId="5"/>
    <cellStyle name="Percent 2" xfId="13" xr:uid="{00000000-0005-0000-0000-000012000000}"/>
  </cellStyles>
  <dxfs count="0"/>
  <tableStyles count="1" defaultTableStyle="TableStyleMedium9" defaultPivotStyle="PivotStyleLight16">
    <tableStyle name="Invisible" pivot="0" table="0" count="0" xr9:uid="{388BAACD-86A7-4450-93BC-E0906B5B0CEE}"/>
  </tableStyles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0"/>
  <sheetViews>
    <sheetView tabSelected="1" zoomScale="80" zoomScaleNormal="80" workbookViewId="0">
      <selection activeCell="D39" sqref="D39"/>
    </sheetView>
  </sheetViews>
  <sheetFormatPr defaultColWidth="8.5703125" defaultRowHeight="12.75" x14ac:dyDescent="0.2"/>
  <cols>
    <col min="1" max="1" width="5.5703125" style="1" customWidth="1"/>
    <col min="2" max="4" width="20.5703125" style="1" customWidth="1"/>
    <col min="5" max="5" width="22.28515625" style="1" bestFit="1" customWidth="1"/>
    <col min="6" max="6" width="40.5703125" style="1" customWidth="1"/>
    <col min="7" max="7" width="5.5703125" style="1" customWidth="1"/>
    <col min="8" max="8" width="8.5703125" style="1" customWidth="1"/>
    <col min="9" max="12" width="16.5703125" style="1" customWidth="1"/>
    <col min="13" max="16384" width="8.5703125" style="1"/>
  </cols>
  <sheetData>
    <row r="2" spans="1:12" s="3" customFormat="1" ht="18" customHeight="1" x14ac:dyDescent="0.25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2" s="3" customFormat="1" ht="18" customHeight="1" x14ac:dyDescent="0.25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2" s="3" customFormat="1" ht="18" customHeight="1" x14ac:dyDescent="0.25">
      <c r="A4" s="5" t="s">
        <v>489</v>
      </c>
      <c r="B4" s="5"/>
      <c r="C4" s="5"/>
      <c r="D4" s="5"/>
      <c r="E4" s="5"/>
      <c r="F4" s="5"/>
      <c r="G4" s="41"/>
      <c r="H4" s="1"/>
      <c r="I4" s="1"/>
      <c r="J4" s="1"/>
    </row>
    <row r="5" spans="1:12" ht="15.75" x14ac:dyDescent="0.2">
      <c r="A5" s="5" t="s">
        <v>2</v>
      </c>
      <c r="B5" s="5"/>
      <c r="C5" s="5"/>
      <c r="D5" s="41"/>
      <c r="E5" s="41"/>
      <c r="F5" s="41"/>
      <c r="G5" s="41"/>
    </row>
    <row r="6" spans="1:12" ht="16.5" thickBot="1" x14ac:dyDescent="0.25">
      <c r="A6" s="5"/>
      <c r="B6" s="5"/>
      <c r="C6" s="5"/>
      <c r="D6" s="41"/>
      <c r="E6" s="41"/>
      <c r="F6" s="41"/>
      <c r="G6" s="41"/>
    </row>
    <row r="7" spans="1:12" ht="15.75" x14ac:dyDescent="0.25">
      <c r="A7" s="286"/>
      <c r="B7" s="544"/>
      <c r="C7" s="165" t="s">
        <v>3</v>
      </c>
      <c r="D7" s="165" t="s">
        <v>4</v>
      </c>
      <c r="E7" s="165" t="s">
        <v>5</v>
      </c>
      <c r="F7" s="545"/>
      <c r="G7" s="546"/>
    </row>
    <row r="8" spans="1:12" ht="15.75" x14ac:dyDescent="0.25">
      <c r="A8" s="547"/>
      <c r="B8" s="94"/>
      <c r="C8" s="75" t="s">
        <v>6</v>
      </c>
      <c r="D8" s="75" t="s">
        <v>7</v>
      </c>
      <c r="E8" s="75" t="s">
        <v>6</v>
      </c>
      <c r="F8" s="94"/>
      <c r="G8" s="548"/>
    </row>
    <row r="9" spans="1:12" ht="15.75" x14ac:dyDescent="0.25">
      <c r="A9" s="549" t="s">
        <v>8</v>
      </c>
      <c r="B9" s="75"/>
      <c r="C9" s="158" t="s">
        <v>9</v>
      </c>
      <c r="D9" s="75" t="s">
        <v>10</v>
      </c>
      <c r="E9" s="158" t="s">
        <v>9</v>
      </c>
      <c r="F9" s="75"/>
      <c r="G9" s="550" t="s">
        <v>8</v>
      </c>
    </row>
    <row r="10" spans="1:12" ht="19.5" thickBot="1" x14ac:dyDescent="0.3">
      <c r="A10" s="567" t="s">
        <v>11</v>
      </c>
      <c r="B10" s="153" t="s">
        <v>12</v>
      </c>
      <c r="C10" s="569" t="s">
        <v>13</v>
      </c>
      <c r="D10" s="153" t="s">
        <v>14</v>
      </c>
      <c r="E10" s="569" t="s">
        <v>15</v>
      </c>
      <c r="F10" s="153" t="s">
        <v>16</v>
      </c>
      <c r="G10" s="568" t="s">
        <v>11</v>
      </c>
      <c r="I10" s="90"/>
      <c r="J10" s="90"/>
      <c r="K10" s="90"/>
    </row>
    <row r="11" spans="1:12" ht="15.75" x14ac:dyDescent="0.25">
      <c r="A11" s="262"/>
      <c r="B11" s="766"/>
      <c r="C11" s="188"/>
      <c r="D11" s="10"/>
      <c r="E11" s="188"/>
      <c r="F11" s="10"/>
      <c r="G11" s="263"/>
      <c r="I11" s="90"/>
      <c r="J11" s="90"/>
      <c r="K11" s="90"/>
    </row>
    <row r="12" spans="1:12" ht="15.75" x14ac:dyDescent="0.25">
      <c r="A12" s="262">
        <v>1</v>
      </c>
      <c r="B12" s="477">
        <v>45200</v>
      </c>
      <c r="C12" s="44">
        <f>'WP 1.1 Recorded Sales'!C$39</f>
        <v>1548831911</v>
      </c>
      <c r="D12" s="44">
        <f>'WP 1.1 Recorded Sales'!C$38</f>
        <v>9439</v>
      </c>
      <c r="E12" s="45">
        <f t="shared" ref="E12:E23" si="0">C12-D12</f>
        <v>1548822472</v>
      </c>
      <c r="F12" s="240" t="s">
        <v>17</v>
      </c>
      <c r="G12" s="263">
        <v>1</v>
      </c>
      <c r="I12" s="140"/>
      <c r="J12" s="140"/>
      <c r="K12" s="140"/>
      <c r="L12" s="179"/>
    </row>
    <row r="13" spans="1:12" ht="15.75" x14ac:dyDescent="0.25">
      <c r="A13" s="262">
        <f t="shared" ref="A13:A26" si="1">A12+1</f>
        <v>2</v>
      </c>
      <c r="B13" s="477">
        <v>45231</v>
      </c>
      <c r="C13" s="44">
        <f>'WP 1.1 Recorded Sales'!D$39</f>
        <v>1358628229</v>
      </c>
      <c r="D13" s="44">
        <f>'WP 1.1 Recorded Sales'!D$38</f>
        <v>9061</v>
      </c>
      <c r="E13" s="45">
        <f t="shared" si="0"/>
        <v>1358619168</v>
      </c>
      <c r="F13" s="240" t="str">
        <f>$F$12</f>
        <v>Workpaper No. 1; Page 1.1; Lines 30; 29</v>
      </c>
      <c r="G13" s="263">
        <f t="shared" ref="G13:G26" si="2">G12+1</f>
        <v>2</v>
      </c>
      <c r="I13" s="140"/>
      <c r="J13" s="140"/>
      <c r="K13" s="140"/>
      <c r="L13" s="179"/>
    </row>
    <row r="14" spans="1:12" ht="15.75" x14ac:dyDescent="0.25">
      <c r="A14" s="262">
        <f t="shared" si="1"/>
        <v>3</v>
      </c>
      <c r="B14" s="477">
        <v>45261</v>
      </c>
      <c r="C14" s="44">
        <f>'WP 1.1 Recorded Sales'!E$39</f>
        <v>1292861870</v>
      </c>
      <c r="D14" s="44">
        <f>'WP 1.1 Recorded Sales'!E$38</f>
        <v>6314</v>
      </c>
      <c r="E14" s="45">
        <f t="shared" si="0"/>
        <v>1292855556</v>
      </c>
      <c r="F14" s="240" t="str">
        <f t="shared" ref="F14:F23" si="3">$F$12</f>
        <v>Workpaper No. 1; Page 1.1; Lines 30; 29</v>
      </c>
      <c r="G14" s="263">
        <f t="shared" si="2"/>
        <v>3</v>
      </c>
      <c r="I14" s="140"/>
      <c r="J14" s="140"/>
      <c r="K14" s="140"/>
      <c r="L14" s="179"/>
    </row>
    <row r="15" spans="1:12" ht="15.75" x14ac:dyDescent="0.25">
      <c r="A15" s="262">
        <f t="shared" si="1"/>
        <v>4</v>
      </c>
      <c r="B15" s="477">
        <v>45292</v>
      </c>
      <c r="C15" s="44">
        <f>'WP 1.1 Recorded Sales'!F$39</f>
        <v>1540862190</v>
      </c>
      <c r="D15" s="44">
        <f>'WP 1.1 Recorded Sales'!F$38</f>
        <v>6528</v>
      </c>
      <c r="E15" s="45">
        <f t="shared" si="0"/>
        <v>1540855662</v>
      </c>
      <c r="F15" s="240" t="str">
        <f t="shared" si="3"/>
        <v>Workpaper No. 1; Page 1.1; Lines 30; 29</v>
      </c>
      <c r="G15" s="263">
        <f t="shared" si="2"/>
        <v>4</v>
      </c>
      <c r="I15" s="140"/>
      <c r="J15" s="140"/>
      <c r="K15" s="140"/>
      <c r="L15" s="179"/>
    </row>
    <row r="16" spans="1:12" ht="15.75" x14ac:dyDescent="0.25">
      <c r="A16" s="262">
        <f t="shared" si="1"/>
        <v>5</v>
      </c>
      <c r="B16" s="477">
        <v>45323</v>
      </c>
      <c r="C16" s="44">
        <f>'WP 1.1 Recorded Sales'!G$39</f>
        <v>1309665498</v>
      </c>
      <c r="D16" s="44">
        <f>'WP 1.1 Recorded Sales'!G$38</f>
        <v>5371</v>
      </c>
      <c r="E16" s="45">
        <f t="shared" si="0"/>
        <v>1309660127</v>
      </c>
      <c r="F16" s="240" t="str">
        <f t="shared" si="3"/>
        <v>Workpaper No. 1; Page 1.1; Lines 30; 29</v>
      </c>
      <c r="G16" s="263">
        <f t="shared" si="2"/>
        <v>5</v>
      </c>
      <c r="I16" s="140"/>
      <c r="J16" s="140"/>
      <c r="K16" s="140"/>
      <c r="L16" s="179"/>
    </row>
    <row r="17" spans="1:12" ht="15.75" x14ac:dyDescent="0.25">
      <c r="A17" s="262">
        <f t="shared" si="1"/>
        <v>6</v>
      </c>
      <c r="B17" s="477">
        <v>45352</v>
      </c>
      <c r="C17" s="44">
        <f>'WP 1.1 Recorded Sales'!H$39</f>
        <v>1253611491</v>
      </c>
      <c r="D17" s="44">
        <f>'WP 1.1 Recorded Sales'!H$38</f>
        <v>5308</v>
      </c>
      <c r="E17" s="45">
        <f t="shared" si="0"/>
        <v>1253606183</v>
      </c>
      <c r="F17" s="240" t="str">
        <f t="shared" si="3"/>
        <v>Workpaper No. 1; Page 1.1; Lines 30; 29</v>
      </c>
      <c r="G17" s="263">
        <f t="shared" si="2"/>
        <v>6</v>
      </c>
      <c r="I17" s="140"/>
      <c r="J17" s="140"/>
      <c r="K17" s="140"/>
      <c r="L17" s="179"/>
    </row>
    <row r="18" spans="1:12" ht="15.75" x14ac:dyDescent="0.25">
      <c r="A18" s="262">
        <f t="shared" si="1"/>
        <v>7</v>
      </c>
      <c r="B18" s="477">
        <v>45383</v>
      </c>
      <c r="C18" s="44">
        <f>'WP 1.1 Recorded Sales'!I$39</f>
        <v>1211943579</v>
      </c>
      <c r="D18" s="44">
        <f>'WP 1.1 Recorded Sales'!I$38</f>
        <v>5822</v>
      </c>
      <c r="E18" s="45">
        <f t="shared" si="0"/>
        <v>1211937757</v>
      </c>
      <c r="F18" s="240" t="str">
        <f t="shared" si="3"/>
        <v>Workpaper No. 1; Page 1.1; Lines 30; 29</v>
      </c>
      <c r="G18" s="263">
        <f t="shared" si="2"/>
        <v>7</v>
      </c>
      <c r="I18" s="140"/>
      <c r="J18" s="140"/>
      <c r="K18" s="140"/>
      <c r="L18" s="179"/>
    </row>
    <row r="19" spans="1:12" ht="15.75" x14ac:dyDescent="0.25">
      <c r="A19" s="262">
        <f t="shared" si="1"/>
        <v>8</v>
      </c>
      <c r="B19" s="477">
        <v>45413</v>
      </c>
      <c r="C19" s="44">
        <f>'WP 1.1 Recorded Sales'!J$39</f>
        <v>1184165888</v>
      </c>
      <c r="D19" s="44">
        <f>'WP 1.1 Recorded Sales'!J$38</f>
        <v>5353</v>
      </c>
      <c r="E19" s="45">
        <f t="shared" si="0"/>
        <v>1184160535</v>
      </c>
      <c r="F19" s="240" t="str">
        <f t="shared" si="3"/>
        <v>Workpaper No. 1; Page 1.1; Lines 30; 29</v>
      </c>
      <c r="G19" s="263">
        <f t="shared" si="2"/>
        <v>8</v>
      </c>
      <c r="I19" s="140"/>
      <c r="J19" s="140"/>
      <c r="K19" s="140"/>
      <c r="L19" s="179"/>
    </row>
    <row r="20" spans="1:12" ht="15.75" x14ac:dyDescent="0.25">
      <c r="A20" s="262">
        <f t="shared" si="1"/>
        <v>9</v>
      </c>
      <c r="B20" s="477">
        <v>45444</v>
      </c>
      <c r="C20" s="44">
        <f>'WP 1.1 Recorded Sales'!K$39</f>
        <v>1155529905</v>
      </c>
      <c r="D20" s="44">
        <f>'WP 1.1 Recorded Sales'!K$38</f>
        <v>7058</v>
      </c>
      <c r="E20" s="45">
        <f t="shared" si="0"/>
        <v>1155522847</v>
      </c>
      <c r="F20" s="240" t="str">
        <f t="shared" si="3"/>
        <v>Workpaper No. 1; Page 1.1; Lines 30; 29</v>
      </c>
      <c r="G20" s="263">
        <f t="shared" si="2"/>
        <v>9</v>
      </c>
      <c r="I20" s="140"/>
      <c r="J20" s="140"/>
      <c r="K20" s="140"/>
      <c r="L20" s="179"/>
    </row>
    <row r="21" spans="1:12" ht="15.75" x14ac:dyDescent="0.25">
      <c r="A21" s="262">
        <f t="shared" si="1"/>
        <v>10</v>
      </c>
      <c r="B21" s="477">
        <v>45474</v>
      </c>
      <c r="C21" s="44">
        <f>'WP 1.1 Recorded Sales'!L$39</f>
        <v>1539059573</v>
      </c>
      <c r="D21" s="44">
        <f>'WP 1.1 Recorded Sales'!L$38</f>
        <v>10033</v>
      </c>
      <c r="E21" s="45">
        <f t="shared" si="0"/>
        <v>1539049540</v>
      </c>
      <c r="F21" s="240" t="str">
        <f t="shared" si="3"/>
        <v>Workpaper No. 1; Page 1.1; Lines 30; 29</v>
      </c>
      <c r="G21" s="263">
        <f t="shared" si="2"/>
        <v>10</v>
      </c>
      <c r="I21" s="140"/>
      <c r="J21" s="140"/>
      <c r="K21" s="140"/>
      <c r="L21" s="179"/>
    </row>
    <row r="22" spans="1:12" ht="15.75" x14ac:dyDescent="0.25">
      <c r="A22" s="262">
        <f t="shared" si="1"/>
        <v>11</v>
      </c>
      <c r="B22" s="477">
        <v>45505</v>
      </c>
      <c r="C22" s="44">
        <f>'WP 1.1 Recorded Sales'!M$39</f>
        <v>1635253874</v>
      </c>
      <c r="D22" s="44">
        <f>'WP 1.1 Recorded Sales'!M$38</f>
        <v>10182</v>
      </c>
      <c r="E22" s="45">
        <f t="shared" si="0"/>
        <v>1635243692</v>
      </c>
      <c r="F22" s="240" t="str">
        <f t="shared" si="3"/>
        <v>Workpaper No. 1; Page 1.1; Lines 30; 29</v>
      </c>
      <c r="G22" s="263">
        <f t="shared" si="2"/>
        <v>11</v>
      </c>
      <c r="I22" s="140"/>
      <c r="J22" s="140"/>
      <c r="K22" s="140"/>
      <c r="L22" s="179"/>
    </row>
    <row r="23" spans="1:12" ht="15.75" x14ac:dyDescent="0.25">
      <c r="A23" s="262">
        <f t="shared" si="1"/>
        <v>12</v>
      </c>
      <c r="B23" s="477">
        <v>45536</v>
      </c>
      <c r="C23" s="44">
        <f>'WP 1.1 Recorded Sales'!N$39</f>
        <v>1645146827</v>
      </c>
      <c r="D23" s="44">
        <f>'WP 1.1 Recorded Sales'!N$38</f>
        <v>9899</v>
      </c>
      <c r="E23" s="45">
        <f t="shared" si="0"/>
        <v>1645136928</v>
      </c>
      <c r="F23" s="240" t="str">
        <f t="shared" si="3"/>
        <v>Workpaper No. 1; Page 1.1; Lines 30; 29</v>
      </c>
      <c r="G23" s="263">
        <f t="shared" si="2"/>
        <v>12</v>
      </c>
      <c r="I23" s="140"/>
      <c r="J23" s="140"/>
      <c r="K23" s="140"/>
      <c r="L23" s="179"/>
    </row>
    <row r="24" spans="1:12" ht="15.75" x14ac:dyDescent="0.25">
      <c r="A24" s="262">
        <f t="shared" si="1"/>
        <v>13</v>
      </c>
      <c r="B24" s="918"/>
      <c r="C24" s="38"/>
      <c r="D24" s="38"/>
      <c r="E24" s="46"/>
      <c r="F24" s="49"/>
      <c r="G24" s="263">
        <f t="shared" si="2"/>
        <v>13</v>
      </c>
      <c r="I24" s="140"/>
      <c r="J24" s="140"/>
      <c r="K24" s="140"/>
      <c r="L24" s="140"/>
    </row>
    <row r="25" spans="1:12" ht="15.75" x14ac:dyDescent="0.25">
      <c r="A25" s="262">
        <f t="shared" si="1"/>
        <v>14</v>
      </c>
      <c r="B25" s="22"/>
      <c r="C25" s="45"/>
      <c r="D25" s="45"/>
      <c r="E25" s="45"/>
      <c r="F25" s="49"/>
      <c r="G25" s="263">
        <f t="shared" si="2"/>
        <v>14</v>
      </c>
      <c r="I25" s="140"/>
      <c r="J25" s="140"/>
      <c r="K25" s="140"/>
      <c r="L25" s="140"/>
    </row>
    <row r="26" spans="1:12" ht="16.5" thickBot="1" x14ac:dyDescent="0.3">
      <c r="A26" s="262">
        <f t="shared" si="1"/>
        <v>15</v>
      </c>
      <c r="B26" s="43" t="s">
        <v>18</v>
      </c>
      <c r="C26" s="47">
        <f>SUM(C12:C23)</f>
        <v>16675560835</v>
      </c>
      <c r="D26" s="47">
        <f>SUM(D12:D23)</f>
        <v>90368</v>
      </c>
      <c r="E26" s="47">
        <f>SUM(E12:E23)</f>
        <v>16675470467</v>
      </c>
      <c r="F26" s="49" t="s">
        <v>19</v>
      </c>
      <c r="G26" s="263">
        <f t="shared" si="2"/>
        <v>15</v>
      </c>
      <c r="I26" s="140"/>
      <c r="J26" s="140"/>
      <c r="K26" s="140"/>
      <c r="L26" s="140"/>
    </row>
    <row r="27" spans="1:12" ht="17.25" thickTop="1" thickBot="1" x14ac:dyDescent="0.3">
      <c r="A27" s="300"/>
      <c r="B27" s="80"/>
      <c r="C27" s="551"/>
      <c r="D27" s="552"/>
      <c r="E27" s="153"/>
      <c r="F27" s="57"/>
      <c r="G27" s="301"/>
      <c r="I27" s="140"/>
      <c r="J27" s="140"/>
      <c r="K27" s="140"/>
      <c r="L27" s="140"/>
    </row>
    <row r="28" spans="1:12" ht="15.75" x14ac:dyDescent="0.25">
      <c r="A28" s="22"/>
      <c r="B28" s="22"/>
      <c r="C28" s="22"/>
      <c r="D28" s="22"/>
      <c r="E28" s="22"/>
      <c r="F28" s="22"/>
      <c r="G28" s="22"/>
    </row>
    <row r="29" spans="1:12" ht="18.75" x14ac:dyDescent="0.25">
      <c r="A29" s="413">
        <v>1</v>
      </c>
      <c r="B29" s="22" t="s">
        <v>20</v>
      </c>
      <c r="C29" s="22"/>
      <c r="D29" s="22"/>
      <c r="E29" s="48"/>
      <c r="F29" s="48"/>
      <c r="G29" s="22"/>
    </row>
    <row r="30" spans="1:12" ht="15.75" x14ac:dyDescent="0.25">
      <c r="A30" s="22"/>
      <c r="B30" s="22"/>
      <c r="C30" s="22"/>
      <c r="D30" s="22"/>
      <c r="E30" s="48"/>
      <c r="F30" s="48"/>
      <c r="G30" s="22"/>
    </row>
    <row r="31" spans="1:12" ht="15.75" x14ac:dyDescent="0.25">
      <c r="A31" s="22"/>
      <c r="B31" s="22"/>
      <c r="C31" s="22"/>
      <c r="D31" s="22"/>
      <c r="E31" s="48"/>
      <c r="F31" s="48"/>
      <c r="G31" s="22"/>
    </row>
    <row r="32" spans="1:12" ht="15.75" x14ac:dyDescent="0.25">
      <c r="A32" s="22"/>
      <c r="B32" s="22"/>
      <c r="C32" s="22"/>
      <c r="D32" s="22"/>
      <c r="E32" s="48"/>
      <c r="F32" s="48"/>
      <c r="G32" s="22"/>
    </row>
    <row r="33" spans="1:7" ht="15.75" x14ac:dyDescent="0.25">
      <c r="A33" s="22"/>
      <c r="B33" s="22"/>
      <c r="C33" s="22"/>
      <c r="D33" s="22"/>
      <c r="E33" s="22"/>
      <c r="F33" s="22"/>
      <c r="G33" s="22"/>
    </row>
    <row r="34" spans="1:7" ht="15.75" x14ac:dyDescent="0.25">
      <c r="A34" s="22"/>
      <c r="B34" s="22"/>
      <c r="C34" s="22"/>
      <c r="D34" s="22"/>
      <c r="E34" s="22"/>
      <c r="F34" s="22"/>
      <c r="G34" s="22"/>
    </row>
    <row r="35" spans="1:7" ht="15.75" x14ac:dyDescent="0.25">
      <c r="A35" s="22"/>
      <c r="B35" s="22"/>
      <c r="C35" s="22"/>
      <c r="D35" s="22"/>
      <c r="E35" s="22"/>
      <c r="F35" s="22"/>
      <c r="G35" s="22"/>
    </row>
    <row r="36" spans="1:7" ht="15.75" x14ac:dyDescent="0.25">
      <c r="A36" s="22"/>
      <c r="B36" s="22"/>
      <c r="C36" s="22"/>
      <c r="D36" s="22"/>
      <c r="E36" s="22"/>
      <c r="F36" s="22"/>
      <c r="G36" s="22"/>
    </row>
    <row r="37" spans="1:7" ht="15.75" x14ac:dyDescent="0.25">
      <c r="A37" s="22"/>
      <c r="B37" s="22"/>
      <c r="C37" s="22"/>
      <c r="D37" s="22"/>
      <c r="E37" s="22"/>
      <c r="F37" s="22"/>
      <c r="G37" s="22"/>
    </row>
    <row r="38" spans="1:7" ht="15.75" x14ac:dyDescent="0.25">
      <c r="A38" s="22"/>
      <c r="B38" s="22"/>
      <c r="C38" s="22"/>
      <c r="D38" s="22"/>
      <c r="E38" s="22"/>
      <c r="F38" s="22"/>
      <c r="G38" s="22"/>
    </row>
    <row r="39" spans="1:7" ht="15.75" x14ac:dyDescent="0.25">
      <c r="A39" s="22"/>
      <c r="B39" s="22"/>
      <c r="C39" s="22"/>
      <c r="D39" s="22"/>
      <c r="E39" s="22"/>
      <c r="F39" s="22"/>
      <c r="G39" s="22"/>
    </row>
    <row r="40" spans="1:7" ht="15.75" x14ac:dyDescent="0.25">
      <c r="A40" s="22"/>
      <c r="B40" s="22"/>
      <c r="C40" s="22"/>
      <c r="D40" s="22"/>
      <c r="E40" s="22"/>
      <c r="F40" s="22"/>
      <c r="G40" s="22"/>
    </row>
    <row r="41" spans="1:7" ht="15.75" x14ac:dyDescent="0.25">
      <c r="A41" s="22"/>
      <c r="B41" s="22"/>
      <c r="C41" s="22"/>
      <c r="D41" s="22"/>
      <c r="E41" s="22"/>
      <c r="F41" s="22"/>
      <c r="G41" s="22"/>
    </row>
    <row r="42" spans="1:7" ht="15.75" x14ac:dyDescent="0.25">
      <c r="A42" s="22"/>
      <c r="B42" s="22"/>
      <c r="C42" s="22"/>
      <c r="D42" s="22"/>
      <c r="E42" s="22"/>
      <c r="F42" s="22"/>
      <c r="G42" s="22"/>
    </row>
    <row r="43" spans="1:7" ht="15.75" x14ac:dyDescent="0.25">
      <c r="A43" s="22"/>
      <c r="B43" s="22"/>
      <c r="C43" s="22"/>
      <c r="D43" s="22"/>
      <c r="E43" s="22"/>
      <c r="F43" s="22"/>
      <c r="G43" s="22"/>
    </row>
    <row r="44" spans="1:7" ht="15.75" x14ac:dyDescent="0.25">
      <c r="A44" s="22"/>
      <c r="B44" s="22"/>
      <c r="C44" s="22"/>
      <c r="D44" s="22"/>
      <c r="E44" s="22"/>
      <c r="F44" s="22"/>
      <c r="G44" s="22"/>
    </row>
    <row r="45" spans="1:7" ht="15.75" x14ac:dyDescent="0.25">
      <c r="A45" s="22"/>
      <c r="B45" s="22"/>
      <c r="C45" s="22"/>
      <c r="D45" s="22"/>
      <c r="E45" s="22"/>
      <c r="F45" s="22"/>
      <c r="G45" s="22"/>
    </row>
    <row r="46" spans="1:7" ht="15.75" x14ac:dyDescent="0.25">
      <c r="A46" s="22"/>
      <c r="B46" s="22"/>
      <c r="C46" s="22"/>
      <c r="D46" s="22"/>
      <c r="E46" s="22"/>
      <c r="F46" s="22"/>
      <c r="G46" s="22"/>
    </row>
    <row r="47" spans="1:7" ht="15.75" x14ac:dyDescent="0.25">
      <c r="A47" s="22"/>
      <c r="B47" s="22"/>
      <c r="C47" s="22"/>
      <c r="D47" s="22"/>
      <c r="E47" s="22"/>
      <c r="F47" s="22"/>
      <c r="G47" s="22"/>
    </row>
    <row r="48" spans="1:7" ht="15.75" x14ac:dyDescent="0.25">
      <c r="A48" s="22"/>
      <c r="B48" s="22"/>
      <c r="C48" s="22"/>
      <c r="D48" s="22"/>
      <c r="E48" s="22"/>
      <c r="F48" s="22"/>
      <c r="G48" s="22"/>
    </row>
    <row r="49" spans="1:7" ht="15.75" x14ac:dyDescent="0.25">
      <c r="A49" s="22"/>
      <c r="B49" s="22"/>
      <c r="C49" s="22"/>
      <c r="D49" s="22"/>
      <c r="E49" s="22"/>
      <c r="F49" s="22"/>
      <c r="G49" s="22"/>
    </row>
    <row r="50" spans="1:7" ht="15.75" x14ac:dyDescent="0.25">
      <c r="A50" s="22"/>
      <c r="B50" s="22"/>
      <c r="C50" s="22"/>
      <c r="D50" s="22"/>
      <c r="E50" s="22"/>
      <c r="F50" s="22"/>
      <c r="G50" s="22"/>
    </row>
    <row r="51" spans="1:7" ht="15.75" x14ac:dyDescent="0.25">
      <c r="A51" s="22"/>
      <c r="B51" s="22"/>
      <c r="C51" s="22"/>
      <c r="D51" s="22"/>
      <c r="E51" s="22"/>
      <c r="F51" s="22"/>
      <c r="G51" s="22"/>
    </row>
    <row r="52" spans="1:7" ht="15.75" x14ac:dyDescent="0.25">
      <c r="A52" s="22"/>
      <c r="B52" s="22"/>
      <c r="C52" s="22"/>
      <c r="D52" s="22"/>
      <c r="E52" s="22"/>
      <c r="F52" s="22"/>
      <c r="G52" s="22"/>
    </row>
    <row r="53" spans="1:7" ht="15.75" x14ac:dyDescent="0.25">
      <c r="A53" s="22"/>
      <c r="B53" s="22"/>
      <c r="C53" s="22"/>
      <c r="D53" s="22"/>
      <c r="E53" s="22"/>
      <c r="F53" s="22"/>
      <c r="G53" s="22"/>
    </row>
    <row r="54" spans="1:7" ht="15.75" x14ac:dyDescent="0.25">
      <c r="A54" s="22"/>
      <c r="B54" s="22"/>
      <c r="C54" s="22"/>
      <c r="D54" s="22"/>
      <c r="E54" s="22"/>
      <c r="F54" s="22"/>
      <c r="G54" s="22"/>
    </row>
    <row r="55" spans="1:7" ht="15.75" x14ac:dyDescent="0.25">
      <c r="A55" s="22"/>
      <c r="B55" s="22"/>
      <c r="C55" s="22"/>
      <c r="D55" s="22"/>
      <c r="E55" s="22"/>
      <c r="F55" s="22"/>
      <c r="G55" s="22"/>
    </row>
    <row r="56" spans="1:7" ht="15.75" x14ac:dyDescent="0.25">
      <c r="A56" s="22"/>
      <c r="B56" s="22"/>
      <c r="C56" s="22"/>
      <c r="D56" s="22"/>
      <c r="E56" s="22"/>
      <c r="F56" s="22"/>
      <c r="G56" s="22"/>
    </row>
    <row r="57" spans="1:7" ht="15.75" x14ac:dyDescent="0.25">
      <c r="A57" s="22"/>
      <c r="B57" s="22"/>
      <c r="C57" s="22"/>
      <c r="D57" s="22"/>
      <c r="E57" s="22"/>
      <c r="F57" s="22"/>
      <c r="G57" s="22"/>
    </row>
    <row r="58" spans="1:7" ht="15.75" x14ac:dyDescent="0.25">
      <c r="A58" s="22"/>
      <c r="B58" s="22"/>
      <c r="C58" s="22"/>
      <c r="D58" s="22"/>
      <c r="E58" s="22"/>
      <c r="F58" s="22"/>
      <c r="G58" s="22"/>
    </row>
    <row r="59" spans="1:7" ht="15.75" x14ac:dyDescent="0.25">
      <c r="A59" s="22"/>
      <c r="B59" s="22"/>
      <c r="C59" s="22"/>
      <c r="D59" s="22"/>
      <c r="E59" s="22"/>
      <c r="F59" s="22"/>
      <c r="G59" s="22"/>
    </row>
    <row r="60" spans="1:7" ht="15.75" x14ac:dyDescent="0.25">
      <c r="A60" s="22"/>
      <c r="B60" s="22"/>
      <c r="C60" s="22"/>
      <c r="D60" s="22"/>
      <c r="E60" s="22"/>
      <c r="F60" s="22"/>
      <c r="G60" s="22"/>
    </row>
  </sheetData>
  <phoneticPr fontId="0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 of 5&amp;R&amp;"Times New Roman,Regular"&amp;12&amp;A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143"/>
  <sheetViews>
    <sheetView zoomScale="80" zoomScaleNormal="80" workbookViewId="0"/>
  </sheetViews>
  <sheetFormatPr defaultColWidth="9.28515625" defaultRowHeight="15.75" x14ac:dyDescent="0.2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2578125" style="22" bestFit="1" customWidth="1"/>
    <col min="10" max="10" width="6" style="22" bestFit="1" customWidth="1"/>
    <col min="11" max="14" width="17.28515625" style="22" bestFit="1" customWidth="1"/>
    <col min="15" max="15" width="18.42578125" style="22" bestFit="1" customWidth="1"/>
    <col min="16" max="16" width="8.5703125" style="22" bestFit="1" customWidth="1"/>
    <col min="17" max="16384" width="9.28515625" style="22"/>
  </cols>
  <sheetData>
    <row r="2" spans="1:16" ht="18" customHeight="1" x14ac:dyDescent="0.25">
      <c r="A2" s="976" t="s">
        <v>162</v>
      </c>
      <c r="B2" s="976"/>
      <c r="C2" s="976"/>
      <c r="D2" s="976"/>
      <c r="E2" s="976"/>
      <c r="F2" s="976"/>
      <c r="G2" s="976"/>
      <c r="H2" s="976"/>
      <c r="I2" s="976"/>
      <c r="J2" s="976"/>
      <c r="K2" s="515"/>
      <c r="L2" s="515"/>
      <c r="M2" s="515"/>
      <c r="N2" s="515"/>
      <c r="O2" s="515"/>
      <c r="P2" s="515"/>
    </row>
    <row r="3" spans="1:16" ht="18" customHeight="1" x14ac:dyDescent="0.25">
      <c r="A3" s="976" t="s">
        <v>25</v>
      </c>
      <c r="B3" s="976"/>
      <c r="C3" s="976"/>
      <c r="D3" s="976"/>
      <c r="E3" s="976"/>
      <c r="F3" s="976"/>
      <c r="G3" s="976"/>
      <c r="H3" s="976"/>
      <c r="I3" s="976"/>
      <c r="J3" s="976"/>
      <c r="K3" s="516"/>
      <c r="L3" s="516"/>
      <c r="M3" s="516"/>
      <c r="N3" s="516"/>
      <c r="O3" s="516"/>
      <c r="P3" s="516"/>
    </row>
    <row r="4" spans="1:16" ht="18" customHeight="1" x14ac:dyDescent="0.25">
      <c r="A4" s="976" t="s">
        <v>494</v>
      </c>
      <c r="B4" s="976"/>
      <c r="C4" s="976"/>
      <c r="D4" s="976"/>
      <c r="E4" s="976"/>
      <c r="F4" s="976"/>
      <c r="G4" s="976"/>
      <c r="H4" s="976"/>
      <c r="I4" s="976"/>
      <c r="J4" s="976"/>
      <c r="K4" s="516"/>
      <c r="L4" s="516"/>
      <c r="M4" s="516"/>
      <c r="N4" s="516"/>
      <c r="O4" s="516"/>
      <c r="P4" s="516"/>
    </row>
    <row r="5" spans="1:16" ht="18" customHeight="1" x14ac:dyDescent="0.25">
      <c r="A5" s="977" t="str">
        <f>'Stmt BG - Page 1'!A6</f>
        <v>Rate Effective Period - Twelve Months Ending December 31, 2025</v>
      </c>
      <c r="B5" s="977"/>
      <c r="C5" s="977"/>
      <c r="D5" s="977"/>
      <c r="E5" s="977"/>
      <c r="F5" s="977"/>
      <c r="G5" s="977"/>
      <c r="H5" s="977"/>
      <c r="I5" s="977"/>
      <c r="J5" s="977"/>
      <c r="K5" s="516"/>
      <c r="L5" s="516"/>
      <c r="M5" s="516"/>
      <c r="N5" s="516"/>
      <c r="O5" s="516"/>
      <c r="P5" s="516"/>
    </row>
    <row r="6" spans="1:16" ht="16.5" thickBot="1" x14ac:dyDescent="0.3">
      <c r="A6" s="517"/>
      <c r="B6" s="517"/>
      <c r="C6" s="517"/>
      <c r="D6" s="517"/>
      <c r="E6" s="517"/>
      <c r="F6" s="517"/>
      <c r="G6" s="517"/>
      <c r="H6" s="517"/>
      <c r="I6" s="517"/>
      <c r="J6" s="517"/>
      <c r="K6" s="41"/>
      <c r="L6" s="41"/>
      <c r="M6" s="41"/>
      <c r="N6" s="41"/>
      <c r="O6" s="41"/>
      <c r="P6" s="41"/>
    </row>
    <row r="7" spans="1:16" x14ac:dyDescent="0.25">
      <c r="A7" s="555" t="s">
        <v>8</v>
      </c>
      <c r="B7" s="544"/>
      <c r="C7" s="556" t="s">
        <v>3</v>
      </c>
      <c r="D7" s="556" t="s">
        <v>4</v>
      </c>
      <c r="E7" s="558" t="s">
        <v>113</v>
      </c>
      <c r="F7" s="556" t="s">
        <v>114</v>
      </c>
      <c r="G7" s="556" t="s">
        <v>115</v>
      </c>
      <c r="H7" s="558" t="s">
        <v>116</v>
      </c>
      <c r="I7" s="556" t="s">
        <v>117</v>
      </c>
      <c r="J7" s="557" t="s">
        <v>8</v>
      </c>
    </row>
    <row r="8" spans="1:16" ht="16.5" thickBot="1" x14ac:dyDescent="0.3">
      <c r="A8" s="567" t="s">
        <v>11</v>
      </c>
      <c r="B8" s="153" t="s">
        <v>88</v>
      </c>
      <c r="C8" s="689">
        <f>'Stmt BG - Page 2'!C8</f>
        <v>45658</v>
      </c>
      <c r="D8" s="689">
        <f>'Stmt BG - Page 2'!D8</f>
        <v>45689</v>
      </c>
      <c r="E8" s="689">
        <f>'Stmt BG - Page 2'!E8</f>
        <v>45717</v>
      </c>
      <c r="F8" s="689">
        <f>'Stmt BG - Page 2'!F8</f>
        <v>45748</v>
      </c>
      <c r="G8" s="689">
        <f>'Stmt BG - Page 2'!G8</f>
        <v>45778</v>
      </c>
      <c r="H8" s="689">
        <f>'Stmt BG - Page 2'!H8</f>
        <v>45809</v>
      </c>
      <c r="I8" s="471"/>
      <c r="J8" s="568" t="s">
        <v>11</v>
      </c>
    </row>
    <row r="9" spans="1:16" x14ac:dyDescent="0.25">
      <c r="A9" s="262"/>
      <c r="B9" s="10"/>
      <c r="C9" s="10"/>
      <c r="D9" s="10"/>
      <c r="E9" s="10"/>
      <c r="F9" s="10"/>
      <c r="G9" s="10"/>
      <c r="H9" s="10"/>
      <c r="I9" s="17"/>
      <c r="J9" s="263"/>
    </row>
    <row r="10" spans="1:16" ht="18.75" x14ac:dyDescent="0.25">
      <c r="A10" s="262">
        <v>1</v>
      </c>
      <c r="B10" s="17" t="s">
        <v>118</v>
      </c>
      <c r="C10" s="19">
        <f>'Stmt BH - Page 2'!C33</f>
        <v>-1831146.9114752021</v>
      </c>
      <c r="D10" s="19">
        <f>'Stmt BH - Page 2'!D33</f>
        <v>-1489616.4983271277</v>
      </c>
      <c r="E10" s="19">
        <f>'Stmt BH - Page 2'!E33</f>
        <v>-1322605.9479432688</v>
      </c>
      <c r="F10" s="19">
        <f>'Stmt BH - Page 2'!F33</f>
        <v>-1057663.1844025771</v>
      </c>
      <c r="G10" s="19">
        <f>'Stmt BH - Page 2'!G33</f>
        <v>-989284.82649283542</v>
      </c>
      <c r="H10" s="19">
        <f>'Stmt BH - Page 2'!H33</f>
        <v>-1067552.9475383847</v>
      </c>
      <c r="I10" s="17"/>
      <c r="J10" s="263">
        <v>1</v>
      </c>
    </row>
    <row r="11" spans="1:16" x14ac:dyDescent="0.25">
      <c r="A11" s="262">
        <f>A10+1</f>
        <v>2</v>
      </c>
      <c r="B11" s="11"/>
      <c r="C11" s="392"/>
      <c r="D11" s="392"/>
      <c r="E11" s="392"/>
      <c r="F11" s="392"/>
      <c r="G11" s="392"/>
      <c r="H11" s="392"/>
      <c r="I11" s="17"/>
      <c r="J11" s="263">
        <f>J10+1</f>
        <v>2</v>
      </c>
    </row>
    <row r="12" spans="1:16" ht="18.75" x14ac:dyDescent="0.25">
      <c r="A12" s="262">
        <f t="shared" ref="A12:A22" si="0">A11+1</f>
        <v>3</v>
      </c>
      <c r="B12" s="17" t="s">
        <v>119</v>
      </c>
      <c r="C12" s="31">
        <f>'Stmt BH - Page 2'!C35</f>
        <v>-561490.30847835867</v>
      </c>
      <c r="D12" s="31">
        <f>'Stmt BH - Page 2'!D35</f>
        <v>-544378.34881130187</v>
      </c>
      <c r="E12" s="31">
        <f>'Stmt BH - Page 2'!E35</f>
        <v>-542142.38107548864</v>
      </c>
      <c r="F12" s="31">
        <f>'Stmt BH - Page 2'!F35</f>
        <v>-537905.6644397669</v>
      </c>
      <c r="G12" s="31">
        <f>'Stmt BH - Page 2'!G35</f>
        <v>-536541.89404303278</v>
      </c>
      <c r="H12" s="31">
        <f>'Stmt BH - Page 2'!H35</f>
        <v>-561694.13724748802</v>
      </c>
      <c r="I12" s="17"/>
      <c r="J12" s="263">
        <f t="shared" ref="J12:J22" si="1">J11+1</f>
        <v>3</v>
      </c>
    </row>
    <row r="13" spans="1:16" x14ac:dyDescent="0.25">
      <c r="A13" s="262">
        <f t="shared" si="0"/>
        <v>4</v>
      </c>
      <c r="B13" s="385"/>
      <c r="C13" s="393"/>
      <c r="D13" s="393"/>
      <c r="E13" s="393"/>
      <c r="F13" s="393"/>
      <c r="G13" s="393"/>
      <c r="H13" s="393"/>
      <c r="I13" s="17"/>
      <c r="J13" s="263">
        <f t="shared" si="1"/>
        <v>4</v>
      </c>
    </row>
    <row r="14" spans="1:16" ht="18.75" x14ac:dyDescent="0.25">
      <c r="A14" s="262">
        <f t="shared" si="0"/>
        <v>5</v>
      </c>
      <c r="B14" s="17" t="s">
        <v>120</v>
      </c>
      <c r="C14" s="31">
        <f>'Stmt BH - Page 2'!C37</f>
        <v>-2170945.6153606055</v>
      </c>
      <c r="D14" s="31">
        <f>'Stmt BH - Page 2'!D37</f>
        <v>-2062105.5543734091</v>
      </c>
      <c r="E14" s="31">
        <f>'Stmt BH - Page 2'!E37</f>
        <v>-2065646.663902865</v>
      </c>
      <c r="F14" s="31">
        <f>'Stmt BH - Page 2'!F37</f>
        <v>-2076488.9836413101</v>
      </c>
      <c r="G14" s="31">
        <f>'Stmt BH - Page 2'!G37</f>
        <v>-2095009.7963387235</v>
      </c>
      <c r="H14" s="31">
        <f>'Stmt BH - Page 2'!H37</f>
        <v>-2197382.6050399011</v>
      </c>
      <c r="I14" s="17"/>
      <c r="J14" s="263">
        <f t="shared" si="1"/>
        <v>5</v>
      </c>
    </row>
    <row r="15" spans="1:16" x14ac:dyDescent="0.25">
      <c r="A15" s="262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3">
        <f t="shared" si="1"/>
        <v>6</v>
      </c>
    </row>
    <row r="16" spans="1:16" ht="18.75" x14ac:dyDescent="0.25">
      <c r="A16" s="262">
        <f t="shared" si="0"/>
        <v>7</v>
      </c>
      <c r="B16" s="56" t="s">
        <v>121</v>
      </c>
      <c r="C16" s="31">
        <f>'Stmt BH - Page 2'!C39</f>
        <v>-3920.4990912240783</v>
      </c>
      <c r="D16" s="31">
        <f>'Stmt BH - Page 2'!D39</f>
        <v>-4368.5292736987585</v>
      </c>
      <c r="E16" s="31">
        <f>'Stmt BH - Page 2'!E39</f>
        <v>-3795.4242768704535</v>
      </c>
      <c r="F16" s="31">
        <f>'Stmt BH - Page 2'!F39</f>
        <v>-3930.4565498336883</v>
      </c>
      <c r="G16" s="31">
        <f>'Stmt BH - Page 2'!G39</f>
        <v>-5568.2149109924403</v>
      </c>
      <c r="H16" s="31">
        <f>'Stmt BH - Page 2'!H39</f>
        <v>-6709.062070302346</v>
      </c>
      <c r="I16" s="17"/>
      <c r="J16" s="263">
        <f t="shared" si="1"/>
        <v>7</v>
      </c>
    </row>
    <row r="17" spans="1:18" x14ac:dyDescent="0.25">
      <c r="A17" s="262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3">
        <f t="shared" si="1"/>
        <v>8</v>
      </c>
    </row>
    <row r="18" spans="1:18" ht="18.75" x14ac:dyDescent="0.25">
      <c r="A18" s="262">
        <f t="shared" si="0"/>
        <v>9</v>
      </c>
      <c r="B18" s="56" t="s">
        <v>122</v>
      </c>
      <c r="C18" s="31">
        <f>'Stmt BH - Page 2'!C41</f>
        <v>-48836.942943280104</v>
      </c>
      <c r="D18" s="31">
        <f>'Stmt BH - Page 2'!D41</f>
        <v>-52833.320668211556</v>
      </c>
      <c r="E18" s="31">
        <f>'Stmt BH - Page 2'!E41</f>
        <v>-47450.70266215998</v>
      </c>
      <c r="F18" s="31">
        <f>'Stmt BH - Page 2'!F41</f>
        <v>-49964.494774832863</v>
      </c>
      <c r="G18" s="31">
        <f>'Stmt BH - Page 2'!G41</f>
        <v>-57978.21242271395</v>
      </c>
      <c r="H18" s="31">
        <f>'Stmt BH - Page 2'!H41</f>
        <v>-59543.2547196339</v>
      </c>
      <c r="I18" s="17"/>
      <c r="J18" s="263">
        <f t="shared" si="1"/>
        <v>9</v>
      </c>
    </row>
    <row r="19" spans="1:18" x14ac:dyDescent="0.25">
      <c r="A19" s="262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3">
        <f t="shared" si="1"/>
        <v>10</v>
      </c>
    </row>
    <row r="20" spans="1:18" ht="18.75" x14ac:dyDescent="0.25">
      <c r="A20" s="262">
        <f t="shared" si="0"/>
        <v>11</v>
      </c>
      <c r="B20" s="17" t="s">
        <v>123</v>
      </c>
      <c r="C20" s="38">
        <f>'Stmt BH - Page 2'!C43</f>
        <v>-19665.528595419266</v>
      </c>
      <c r="D20" s="38">
        <f>'Stmt BH - Page 2'!D43</f>
        <v>-19524.861218322978</v>
      </c>
      <c r="E20" s="38">
        <f>'Stmt BH - Page 2'!E43</f>
        <v>-19130.030808017433</v>
      </c>
      <c r="F20" s="38">
        <f>'Stmt BH - Page 2'!F43</f>
        <v>-18829.770151950095</v>
      </c>
      <c r="G20" s="38">
        <f>'Stmt BH - Page 2'!G43</f>
        <v>-18678.154383539139</v>
      </c>
      <c r="H20" s="38">
        <f>'Stmt BH - Page 2'!H43</f>
        <v>-18831.025278433503</v>
      </c>
      <c r="I20" s="17"/>
      <c r="J20" s="263">
        <f t="shared" si="1"/>
        <v>11</v>
      </c>
    </row>
    <row r="21" spans="1:18" x14ac:dyDescent="0.25">
      <c r="A21" s="262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3">
        <f t="shared" si="1"/>
        <v>12</v>
      </c>
    </row>
    <row r="22" spans="1:18" x14ac:dyDescent="0.25">
      <c r="A22" s="262">
        <f t="shared" si="0"/>
        <v>13</v>
      </c>
      <c r="B22" s="11" t="s">
        <v>124</v>
      </c>
      <c r="C22" s="518">
        <f t="shared" ref="C22:H22" si="2">SUM(C10:C20)</f>
        <v>-4636005.8059440898</v>
      </c>
      <c r="D22" s="518">
        <f t="shared" si="2"/>
        <v>-4172827.1126720719</v>
      </c>
      <c r="E22" s="518">
        <f t="shared" si="2"/>
        <v>-4000771.1506686709</v>
      </c>
      <c r="F22" s="518">
        <f t="shared" si="2"/>
        <v>-3744782.5539602702</v>
      </c>
      <c r="G22" s="518">
        <f t="shared" si="2"/>
        <v>-3703061.0985918376</v>
      </c>
      <c r="H22" s="518">
        <f t="shared" si="2"/>
        <v>-3911713.0318941437</v>
      </c>
      <c r="I22" s="12"/>
      <c r="J22" s="263">
        <f t="shared" si="1"/>
        <v>13</v>
      </c>
    </row>
    <row r="23" spans="1:18" ht="16.5" thickBot="1" x14ac:dyDescent="0.3">
      <c r="A23" s="300"/>
      <c r="B23" s="559"/>
      <c r="C23" s="560"/>
      <c r="D23" s="688"/>
      <c r="E23" s="561"/>
      <c r="F23" s="688"/>
      <c r="G23" s="561"/>
      <c r="H23" s="688"/>
      <c r="I23" s="562"/>
      <c r="J23" s="406"/>
      <c r="R23" s="143"/>
    </row>
    <row r="24" spans="1:18" ht="16.5" thickBot="1" x14ac:dyDescent="0.3">
      <c r="A24" s="37"/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</row>
    <row r="25" spans="1:18" x14ac:dyDescent="0.25">
      <c r="A25" s="759" t="s">
        <v>8</v>
      </c>
      <c r="B25" s="455"/>
      <c r="C25" s="556" t="str">
        <f t="shared" ref="C25:I25" si="3">C7</f>
        <v>(A)</v>
      </c>
      <c r="D25" s="556" t="str">
        <f t="shared" si="3"/>
        <v>(B)</v>
      </c>
      <c r="E25" s="556" t="str">
        <f t="shared" si="3"/>
        <v>(C)</v>
      </c>
      <c r="F25" s="556" t="str">
        <f t="shared" si="3"/>
        <v>(D)</v>
      </c>
      <c r="G25" s="556" t="str">
        <f t="shared" si="3"/>
        <v>(E)</v>
      </c>
      <c r="H25" s="556" t="str">
        <f t="shared" si="3"/>
        <v>(F)</v>
      </c>
      <c r="I25" s="556" t="str">
        <f t="shared" si="3"/>
        <v>(G)</v>
      </c>
      <c r="J25" s="760" t="s">
        <v>8</v>
      </c>
      <c r="K25" s="395"/>
      <c r="L25" s="395"/>
      <c r="M25" s="395"/>
      <c r="N25" s="395"/>
      <c r="O25" s="395"/>
    </row>
    <row r="26" spans="1:18" ht="16.5" thickBot="1" x14ac:dyDescent="0.3">
      <c r="A26" s="761" t="s">
        <v>11</v>
      </c>
      <c r="B26" s="153" t="s">
        <v>88</v>
      </c>
      <c r="C26" s="689">
        <f>'Stmt BG - Page 2'!C26</f>
        <v>45839</v>
      </c>
      <c r="D26" s="689">
        <f>'Stmt BG - Page 2'!D26</f>
        <v>45870</v>
      </c>
      <c r="E26" s="689">
        <f>'Stmt BG - Page 2'!E26</f>
        <v>45901</v>
      </c>
      <c r="F26" s="689">
        <f>'Stmt BG - Page 2'!F26</f>
        <v>45931</v>
      </c>
      <c r="G26" s="689">
        <f>'Stmt BG - Page 2'!G26</f>
        <v>45962</v>
      </c>
      <c r="H26" s="689">
        <f>'Stmt BG - Page 2'!H26</f>
        <v>45992</v>
      </c>
      <c r="I26" s="581"/>
      <c r="J26" s="570" t="s">
        <v>11</v>
      </c>
      <c r="K26" s="395"/>
      <c r="L26" s="395"/>
      <c r="M26" s="395"/>
      <c r="N26" s="395"/>
      <c r="O26" s="395"/>
    </row>
    <row r="27" spans="1:18" x14ac:dyDescent="0.25">
      <c r="A27" s="262"/>
      <c r="B27" s="10"/>
      <c r="C27" s="10"/>
      <c r="D27" s="10"/>
      <c r="E27" s="10"/>
      <c r="F27" s="10"/>
      <c r="G27" s="10"/>
      <c r="H27" s="10"/>
      <c r="I27" s="10"/>
      <c r="J27" s="263"/>
      <c r="K27" s="395"/>
      <c r="L27" s="395"/>
      <c r="M27" s="395"/>
      <c r="N27" s="395"/>
      <c r="O27" s="395"/>
    </row>
    <row r="28" spans="1:18" ht="18.75" x14ac:dyDescent="0.25">
      <c r="A28" s="262">
        <f>A22+1</f>
        <v>14</v>
      </c>
      <c r="B28" s="17" t="s">
        <v>118</v>
      </c>
      <c r="C28" s="19">
        <f>'Stmt BH - Page 3'!C33</f>
        <v>-1323531.7894463604</v>
      </c>
      <c r="D28" s="19">
        <f>'Stmt BH - Page 3'!D33</f>
        <v>-1825532.1051609984</v>
      </c>
      <c r="E28" s="19">
        <f>'Stmt BH - Page 3'!E33</f>
        <v>-2112439.9387309579</v>
      </c>
      <c r="F28" s="19">
        <f>'Stmt BH - Page 3'!F33</f>
        <v>-1536098.3569363081</v>
      </c>
      <c r="G28" s="19">
        <f>'Stmt BH - Page 3'!G33</f>
        <v>-1301482.3910932411</v>
      </c>
      <c r="H28" s="19">
        <f>'Stmt BH - Page 3'!H33</f>
        <v>-1654018.3013575126</v>
      </c>
      <c r="I28" s="19">
        <f>SUM(C10:H10,C28:H28)</f>
        <v>-17510973.198904771</v>
      </c>
      <c r="J28" s="263">
        <f>J22+1</f>
        <v>14</v>
      </c>
      <c r="K28" s="395"/>
      <c r="L28" s="395"/>
      <c r="M28" s="395"/>
      <c r="N28" s="395"/>
      <c r="O28" s="395"/>
    </row>
    <row r="29" spans="1:18" x14ac:dyDescent="0.25">
      <c r="A29" s="262">
        <f>A28+1</f>
        <v>15</v>
      </c>
      <c r="B29" s="11"/>
      <c r="C29" s="392"/>
      <c r="D29" s="392"/>
      <c r="E29" s="392"/>
      <c r="F29" s="392"/>
      <c r="G29" s="392"/>
      <c r="H29" s="392"/>
      <c r="I29" s="392"/>
      <c r="J29" s="263">
        <f>J28+1</f>
        <v>15</v>
      </c>
      <c r="K29" s="395"/>
      <c r="L29" s="395"/>
      <c r="M29" s="395"/>
      <c r="N29" s="395"/>
      <c r="O29" s="395"/>
    </row>
    <row r="30" spans="1:18" ht="18.75" x14ac:dyDescent="0.25">
      <c r="A30" s="262">
        <f t="shared" ref="A30:A40" si="4">A29+1</f>
        <v>16</v>
      </c>
      <c r="B30" s="17" t="s">
        <v>119</v>
      </c>
      <c r="C30" s="31">
        <f>'Stmt BH - Page 3'!C35</f>
        <v>-629170.06641368347</v>
      </c>
      <c r="D30" s="31">
        <f>'Stmt BH - Page 3'!D35</f>
        <v>-664465.98183510301</v>
      </c>
      <c r="E30" s="31">
        <f>'Stmt BH - Page 3'!E35</f>
        <v>-697807.82096070249</v>
      </c>
      <c r="F30" s="31">
        <f>'Stmt BH - Page 3'!F35</f>
        <v>-618920.69481466769</v>
      </c>
      <c r="G30" s="31">
        <f>'Stmt BH - Page 3'!G35</f>
        <v>-571723.66236020264</v>
      </c>
      <c r="H30" s="31">
        <f>'Stmt BH - Page 3'!H35</f>
        <v>-551514.94630523864</v>
      </c>
      <c r="I30" s="19">
        <f>SUM(C12:H12,C30:H30)</f>
        <v>-7017755.9067850346</v>
      </c>
      <c r="J30" s="263">
        <f t="shared" ref="J30:J40" si="5">J29+1</f>
        <v>16</v>
      </c>
      <c r="K30" s="395"/>
      <c r="L30" s="395"/>
      <c r="M30" s="395"/>
      <c r="N30" s="395"/>
      <c r="O30" s="395"/>
    </row>
    <row r="31" spans="1:18" x14ac:dyDescent="0.25">
      <c r="A31" s="262">
        <f t="shared" si="4"/>
        <v>17</v>
      </c>
      <c r="B31" s="385"/>
      <c r="C31" s="393"/>
      <c r="D31" s="393"/>
      <c r="E31" s="393"/>
      <c r="F31" s="393"/>
      <c r="G31" s="393"/>
      <c r="H31" s="393"/>
      <c r="I31" s="31"/>
      <c r="J31" s="263">
        <f t="shared" si="5"/>
        <v>17</v>
      </c>
      <c r="K31" s="395"/>
      <c r="L31" s="395"/>
      <c r="M31" s="395"/>
      <c r="N31" s="395"/>
      <c r="O31" s="395"/>
    </row>
    <row r="32" spans="1:18" ht="18.75" x14ac:dyDescent="0.25">
      <c r="A32" s="262">
        <f t="shared" si="4"/>
        <v>18</v>
      </c>
      <c r="B32" s="17" t="s">
        <v>120</v>
      </c>
      <c r="C32" s="31">
        <f>'Stmt BH - Page 3'!C37</f>
        <v>-2424265.4641387789</v>
      </c>
      <c r="D32" s="31">
        <f>'Stmt BH - Page 3'!D37</f>
        <v>-2530141.8452938898</v>
      </c>
      <c r="E32" s="31">
        <f>'Stmt BH - Page 3'!E37</f>
        <v>-2644837.8955505774</v>
      </c>
      <c r="F32" s="31">
        <f>'Stmt BH - Page 3'!F37</f>
        <v>-2400798.991559742</v>
      </c>
      <c r="G32" s="31">
        <f>'Stmt BH - Page 3'!G37</f>
        <v>-2188861.5757680619</v>
      </c>
      <c r="H32" s="31">
        <f>'Stmt BH - Page 3'!H37</f>
        <v>-2196020.4013468586</v>
      </c>
      <c r="I32" s="19">
        <f>SUM(C14:H14,C32:H32)</f>
        <v>-27052505.392314728</v>
      </c>
      <c r="J32" s="263">
        <f t="shared" si="5"/>
        <v>18</v>
      </c>
      <c r="K32" s="395"/>
      <c r="L32" s="395"/>
      <c r="M32" s="395"/>
      <c r="N32" s="395"/>
      <c r="O32" s="395"/>
    </row>
    <row r="33" spans="1:15" x14ac:dyDescent="0.25">
      <c r="A33" s="262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3">
        <f t="shared" si="5"/>
        <v>19</v>
      </c>
      <c r="K33" s="395"/>
      <c r="L33" s="395"/>
      <c r="M33" s="395"/>
      <c r="N33" s="395"/>
      <c r="O33" s="395"/>
    </row>
    <row r="34" spans="1:15" ht="18.75" x14ac:dyDescent="0.25">
      <c r="A34" s="262">
        <f t="shared" si="4"/>
        <v>20</v>
      </c>
      <c r="B34" s="56" t="s">
        <v>121</v>
      </c>
      <c r="C34" s="31">
        <f>'Stmt BH - Page 3'!C39</f>
        <v>-7734.8318091659767</v>
      </c>
      <c r="D34" s="31">
        <f>'Stmt BH - Page 3'!D39</f>
        <v>-8411.0084360923101</v>
      </c>
      <c r="E34" s="31">
        <f>'Stmt BH - Page 3'!E39</f>
        <v>-8395.7094040667052</v>
      </c>
      <c r="F34" s="31">
        <f>'Stmt BH - Page 3'!F39</f>
        <v>-7634.1745022380728</v>
      </c>
      <c r="G34" s="31">
        <f>'Stmt BH - Page 3'!G39</f>
        <v>-6652.4872097042644</v>
      </c>
      <c r="H34" s="31">
        <f>'Stmt BH - Page 3'!H39</f>
        <v>-6018.4540779387207</v>
      </c>
      <c r="I34" s="19">
        <f>SUM(C16:H16,C34:H34)</f>
        <v>-73138.851612127808</v>
      </c>
      <c r="J34" s="263">
        <f t="shared" si="5"/>
        <v>20</v>
      </c>
      <c r="K34" s="395"/>
      <c r="L34" s="395"/>
      <c r="M34" s="395"/>
      <c r="N34" s="395"/>
      <c r="O34" s="395"/>
    </row>
    <row r="35" spans="1:15" x14ac:dyDescent="0.25">
      <c r="A35" s="262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3">
        <f t="shared" si="5"/>
        <v>21</v>
      </c>
      <c r="K35" s="395"/>
      <c r="L35" s="395"/>
      <c r="M35" s="395"/>
      <c r="N35" s="395"/>
      <c r="O35" s="395"/>
    </row>
    <row r="36" spans="1:15" ht="18.75" x14ac:dyDescent="0.25">
      <c r="A36" s="262">
        <f t="shared" si="4"/>
        <v>22</v>
      </c>
      <c r="B36" s="56" t="s">
        <v>122</v>
      </c>
      <c r="C36" s="31">
        <f>'Stmt BH - Page 3'!C41</f>
        <v>-66481.952218840466</v>
      </c>
      <c r="D36" s="31">
        <f>'Stmt BH - Page 3'!D41</f>
        <v>-66074.505007521933</v>
      </c>
      <c r="E36" s="31">
        <f>'Stmt BH - Page 3'!E41</f>
        <v>-63457.492488136821</v>
      </c>
      <c r="F36" s="31">
        <f>'Stmt BH - Page 3'!F41</f>
        <v>-62317.554542894228</v>
      </c>
      <c r="G36" s="31">
        <f>'Stmt BH - Page 3'!G41</f>
        <v>-54869.42170547678</v>
      </c>
      <c r="H36" s="31">
        <f>'Stmt BH - Page 3'!H41</f>
        <v>-52440.370884754702</v>
      </c>
      <c r="I36" s="19">
        <f>SUM(C18:H18,C36:H36)</f>
        <v>-682248.22503845731</v>
      </c>
      <c r="J36" s="263">
        <f t="shared" si="5"/>
        <v>22</v>
      </c>
      <c r="K36" s="395"/>
      <c r="L36" s="395"/>
      <c r="M36" s="395"/>
      <c r="N36" s="395"/>
      <c r="O36" s="395"/>
    </row>
    <row r="37" spans="1:15" x14ac:dyDescent="0.25">
      <c r="A37" s="262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3">
        <f t="shared" si="5"/>
        <v>23</v>
      </c>
      <c r="K37" s="395"/>
      <c r="L37" s="395"/>
      <c r="M37" s="395"/>
      <c r="N37" s="395"/>
      <c r="O37" s="395"/>
    </row>
    <row r="38" spans="1:15" ht="18.75" x14ac:dyDescent="0.25">
      <c r="A38" s="262">
        <f t="shared" si="4"/>
        <v>24</v>
      </c>
      <c r="B38" s="17" t="s">
        <v>123</v>
      </c>
      <c r="C38" s="38">
        <f>'Stmt BH - Page 3'!C43</f>
        <v>-18762.025323279871</v>
      </c>
      <c r="D38" s="38">
        <f>'Stmt BH - Page 3'!D43</f>
        <v>-19393.659084819152</v>
      </c>
      <c r="E38" s="38">
        <f>'Stmt BH - Page 3'!E43</f>
        <v>-18828.910737486956</v>
      </c>
      <c r="F38" s="38">
        <f>'Stmt BH - Page 3'!F43</f>
        <v>-18968.00145328803</v>
      </c>
      <c r="G38" s="38">
        <f>'Stmt BH - Page 3'!G43</f>
        <v>-20120.064226374296</v>
      </c>
      <c r="H38" s="38">
        <f>'Stmt BH - Page 3'!H43</f>
        <v>-21171.905405935642</v>
      </c>
      <c r="I38" s="14">
        <f>SUM(C20:H20,C38:H38)</f>
        <v>-231903.93666686636</v>
      </c>
      <c r="J38" s="263">
        <f t="shared" si="5"/>
        <v>24</v>
      </c>
      <c r="K38" s="395"/>
      <c r="L38" s="395"/>
      <c r="M38" s="395"/>
      <c r="N38" s="395"/>
      <c r="O38" s="395"/>
    </row>
    <row r="39" spans="1:15" x14ac:dyDescent="0.25">
      <c r="A39" s="262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3">
        <f t="shared" si="5"/>
        <v>25</v>
      </c>
      <c r="K39" s="395"/>
      <c r="L39" s="395"/>
      <c r="M39" s="395"/>
      <c r="N39" s="395"/>
      <c r="O39" s="395"/>
    </row>
    <row r="40" spans="1:15" x14ac:dyDescent="0.25">
      <c r="A40" s="262">
        <f t="shared" si="4"/>
        <v>26</v>
      </c>
      <c r="B40" s="11" t="s">
        <v>124</v>
      </c>
      <c r="C40" s="518">
        <f t="shared" ref="C40:I40" si="6">SUM(C28:C38)</f>
        <v>-4469946.12935011</v>
      </c>
      <c r="D40" s="518">
        <f t="shared" si="6"/>
        <v>-5114019.1048184251</v>
      </c>
      <c r="E40" s="518">
        <f t="shared" si="6"/>
        <v>-5545767.7678719284</v>
      </c>
      <c r="F40" s="518">
        <f t="shared" si="6"/>
        <v>-4644737.7738091378</v>
      </c>
      <c r="G40" s="518">
        <f t="shared" si="6"/>
        <v>-4143709.6023630612</v>
      </c>
      <c r="H40" s="518">
        <f t="shared" si="6"/>
        <v>-4481184.3793782387</v>
      </c>
      <c r="I40" s="518">
        <f t="shared" si="6"/>
        <v>-52568525.511321984</v>
      </c>
      <c r="J40" s="263">
        <f t="shared" si="5"/>
        <v>26</v>
      </c>
      <c r="K40" s="395"/>
      <c r="L40" s="395"/>
      <c r="M40" s="395"/>
      <c r="N40" s="395"/>
      <c r="O40" s="395"/>
    </row>
    <row r="41" spans="1:15" ht="16.5" thickBot="1" x14ac:dyDescent="0.3">
      <c r="A41" s="300"/>
      <c r="B41" s="559"/>
      <c r="C41" s="561"/>
      <c r="D41" s="561"/>
      <c r="E41" s="561"/>
      <c r="F41" s="561"/>
      <c r="G41" s="561"/>
      <c r="H41" s="561"/>
      <c r="I41" s="260"/>
      <c r="J41" s="406"/>
      <c r="K41" s="395"/>
      <c r="L41" s="395"/>
      <c r="M41" s="395"/>
      <c r="N41" s="395"/>
      <c r="O41" s="395"/>
    </row>
    <row r="42" spans="1:15" x14ac:dyDescent="0.25">
      <c r="A42" s="50"/>
      <c r="B42" s="395"/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395"/>
      <c r="N42" s="395"/>
      <c r="O42" s="396"/>
    </row>
    <row r="43" spans="1:15" ht="18.75" x14ac:dyDescent="0.25">
      <c r="A43" s="83" t="s">
        <v>125</v>
      </c>
      <c r="B43" s="22" t="s">
        <v>163</v>
      </c>
      <c r="C43" s="242"/>
      <c r="D43" s="242"/>
      <c r="F43" s="519">
        <v>4</v>
      </c>
      <c r="G43" s="22" t="s">
        <v>164</v>
      </c>
    </row>
    <row r="44" spans="1:15" ht="18.75" x14ac:dyDescent="0.25">
      <c r="A44" s="83">
        <v>2</v>
      </c>
      <c r="B44" s="22" t="s">
        <v>165</v>
      </c>
      <c r="C44" s="827"/>
      <c r="D44" s="827"/>
      <c r="F44" s="519">
        <v>5</v>
      </c>
      <c r="G44" s="22" t="s">
        <v>166</v>
      </c>
    </row>
    <row r="45" spans="1:15" ht="18.75" x14ac:dyDescent="0.25">
      <c r="A45" s="83">
        <v>3</v>
      </c>
      <c r="B45" s="22" t="s">
        <v>167</v>
      </c>
      <c r="C45" s="242"/>
      <c r="D45" s="242"/>
      <c r="F45" s="519">
        <v>6</v>
      </c>
      <c r="G45" s="22" t="s">
        <v>168</v>
      </c>
    </row>
    <row r="46" spans="1:15" x14ac:dyDescent="0.25">
      <c r="C46" s="242"/>
      <c r="D46" s="242"/>
    </row>
    <row r="47" spans="1:15" x14ac:dyDescent="0.25">
      <c r="C47" s="242"/>
      <c r="D47" s="242"/>
    </row>
    <row r="48" spans="1:15" x14ac:dyDescent="0.25">
      <c r="C48" s="242"/>
      <c r="D48" s="242"/>
    </row>
    <row r="49" spans="1:1" x14ac:dyDescent="0.25">
      <c r="A49" s="37"/>
    </row>
    <row r="50" spans="1:1" x14ac:dyDescent="0.25">
      <c r="A50" s="37"/>
    </row>
    <row r="51" spans="1:1" x14ac:dyDescent="0.25">
      <c r="A51" s="37"/>
    </row>
    <row r="52" spans="1:1" x14ac:dyDescent="0.25">
      <c r="A52" s="37"/>
    </row>
    <row r="53" spans="1:1" x14ac:dyDescent="0.25">
      <c r="A53" s="37"/>
    </row>
    <row r="54" spans="1:1" x14ac:dyDescent="0.25">
      <c r="A54" s="37"/>
    </row>
    <row r="55" spans="1:1" x14ac:dyDescent="0.25">
      <c r="A55" s="37"/>
    </row>
    <row r="56" spans="1:1" x14ac:dyDescent="0.25">
      <c r="A56" s="37"/>
    </row>
    <row r="57" spans="1:1" x14ac:dyDescent="0.25">
      <c r="A57" s="37"/>
    </row>
    <row r="58" spans="1:1" x14ac:dyDescent="0.25">
      <c r="A58" s="37"/>
    </row>
    <row r="59" spans="1:1" x14ac:dyDescent="0.25">
      <c r="A59" s="37"/>
    </row>
    <row r="60" spans="1:1" x14ac:dyDescent="0.25">
      <c r="A60" s="37"/>
    </row>
    <row r="61" spans="1:1" x14ac:dyDescent="0.25">
      <c r="A61" s="37"/>
    </row>
    <row r="62" spans="1:1" x14ac:dyDescent="0.25">
      <c r="A62" s="37"/>
    </row>
    <row r="63" spans="1:1" x14ac:dyDescent="0.25">
      <c r="A63" s="37"/>
    </row>
    <row r="64" spans="1:1" x14ac:dyDescent="0.25">
      <c r="A64" s="37"/>
    </row>
    <row r="65" spans="1:1" x14ac:dyDescent="0.25">
      <c r="A65" s="37"/>
    </row>
    <row r="66" spans="1:1" x14ac:dyDescent="0.25">
      <c r="A66" s="37"/>
    </row>
    <row r="67" spans="1:1" x14ac:dyDescent="0.25">
      <c r="A67" s="37"/>
    </row>
    <row r="68" spans="1:1" x14ac:dyDescent="0.25">
      <c r="A68" s="37"/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7"/>
    </row>
    <row r="73" spans="1:1" x14ac:dyDescent="0.25">
      <c r="A73" s="37"/>
    </row>
    <row r="74" spans="1:1" x14ac:dyDescent="0.25">
      <c r="A74" s="37"/>
    </row>
    <row r="75" spans="1:1" x14ac:dyDescent="0.25">
      <c r="A75" s="37"/>
    </row>
    <row r="76" spans="1:1" x14ac:dyDescent="0.25">
      <c r="A76" s="37"/>
    </row>
    <row r="77" spans="1:1" x14ac:dyDescent="0.25">
      <c r="A77" s="37"/>
    </row>
    <row r="78" spans="1:1" x14ac:dyDescent="0.25">
      <c r="A78" s="37"/>
    </row>
    <row r="79" spans="1:1" x14ac:dyDescent="0.25">
      <c r="A79" s="37"/>
    </row>
    <row r="80" spans="1:1" x14ac:dyDescent="0.25">
      <c r="A80" s="37"/>
    </row>
    <row r="81" spans="1:1" x14ac:dyDescent="0.25">
      <c r="A81" s="37"/>
    </row>
    <row r="82" spans="1:1" x14ac:dyDescent="0.25">
      <c r="A82" s="37"/>
    </row>
    <row r="83" spans="1:1" x14ac:dyDescent="0.25">
      <c r="A83" s="37"/>
    </row>
    <row r="84" spans="1:1" x14ac:dyDescent="0.25">
      <c r="A84" s="37"/>
    </row>
    <row r="85" spans="1:1" x14ac:dyDescent="0.25">
      <c r="A85" s="37"/>
    </row>
    <row r="86" spans="1:1" x14ac:dyDescent="0.25">
      <c r="A86" s="37"/>
    </row>
    <row r="87" spans="1:1" x14ac:dyDescent="0.25">
      <c r="A87" s="37"/>
    </row>
    <row r="88" spans="1:1" x14ac:dyDescent="0.25">
      <c r="A88" s="37"/>
    </row>
    <row r="89" spans="1:1" x14ac:dyDescent="0.25">
      <c r="A89" s="37"/>
    </row>
    <row r="90" spans="1:1" x14ac:dyDescent="0.25">
      <c r="A90" s="37"/>
    </row>
    <row r="91" spans="1:1" x14ac:dyDescent="0.25">
      <c r="A91" s="37"/>
    </row>
    <row r="92" spans="1:1" x14ac:dyDescent="0.25">
      <c r="A92" s="37"/>
    </row>
    <row r="93" spans="1:1" x14ac:dyDescent="0.25">
      <c r="A93" s="37"/>
    </row>
    <row r="94" spans="1:1" x14ac:dyDescent="0.25">
      <c r="A94" s="37"/>
    </row>
    <row r="95" spans="1:1" x14ac:dyDescent="0.25">
      <c r="A95" s="37"/>
    </row>
    <row r="96" spans="1:1" x14ac:dyDescent="0.25">
      <c r="A96" s="37"/>
    </row>
    <row r="97" spans="1:1" x14ac:dyDescent="0.25">
      <c r="A97" s="37"/>
    </row>
    <row r="98" spans="1:1" x14ac:dyDescent="0.25">
      <c r="A98" s="37"/>
    </row>
    <row r="99" spans="1:1" x14ac:dyDescent="0.25">
      <c r="A99" s="37"/>
    </row>
    <row r="100" spans="1:1" x14ac:dyDescent="0.25">
      <c r="A100" s="37"/>
    </row>
    <row r="101" spans="1:1" x14ac:dyDescent="0.25">
      <c r="A101" s="37"/>
    </row>
    <row r="102" spans="1:1" x14ac:dyDescent="0.25">
      <c r="A102" s="37"/>
    </row>
    <row r="103" spans="1:1" x14ac:dyDescent="0.25">
      <c r="A103" s="37"/>
    </row>
    <row r="104" spans="1:1" x14ac:dyDescent="0.25">
      <c r="A104" s="37"/>
    </row>
    <row r="105" spans="1:1" x14ac:dyDescent="0.25">
      <c r="A105" s="37"/>
    </row>
    <row r="106" spans="1:1" x14ac:dyDescent="0.25">
      <c r="A106" s="37"/>
    </row>
    <row r="107" spans="1:1" x14ac:dyDescent="0.25">
      <c r="A107" s="37"/>
    </row>
    <row r="108" spans="1:1" x14ac:dyDescent="0.25">
      <c r="A108" s="37"/>
    </row>
    <row r="109" spans="1:1" x14ac:dyDescent="0.25">
      <c r="A109" s="37"/>
    </row>
    <row r="110" spans="1:1" x14ac:dyDescent="0.25">
      <c r="A110" s="37"/>
    </row>
    <row r="111" spans="1:1" x14ac:dyDescent="0.25">
      <c r="A111" s="37"/>
    </row>
    <row r="112" spans="1:1" x14ac:dyDescent="0.25">
      <c r="A112" s="37"/>
    </row>
    <row r="113" spans="1:1" x14ac:dyDescent="0.25">
      <c r="A113" s="37"/>
    </row>
    <row r="114" spans="1:1" x14ac:dyDescent="0.25">
      <c r="A114" s="37"/>
    </row>
    <row r="115" spans="1:1" x14ac:dyDescent="0.25">
      <c r="A115" s="37"/>
    </row>
    <row r="116" spans="1:1" x14ac:dyDescent="0.25">
      <c r="A116" s="37"/>
    </row>
    <row r="117" spans="1:1" x14ac:dyDescent="0.25">
      <c r="A117" s="37"/>
    </row>
    <row r="118" spans="1:1" x14ac:dyDescent="0.25">
      <c r="A118" s="37"/>
    </row>
    <row r="119" spans="1:1" x14ac:dyDescent="0.25">
      <c r="A119" s="37"/>
    </row>
    <row r="120" spans="1:1" x14ac:dyDescent="0.25">
      <c r="A120" s="37"/>
    </row>
    <row r="121" spans="1:1" x14ac:dyDescent="0.25">
      <c r="A121" s="37"/>
    </row>
    <row r="122" spans="1:1" x14ac:dyDescent="0.25">
      <c r="A122" s="37"/>
    </row>
    <row r="123" spans="1:1" x14ac:dyDescent="0.25">
      <c r="A123" s="37"/>
    </row>
    <row r="124" spans="1:1" x14ac:dyDescent="0.25">
      <c r="A124" s="37"/>
    </row>
    <row r="125" spans="1:1" x14ac:dyDescent="0.25">
      <c r="A125" s="37"/>
    </row>
    <row r="126" spans="1:1" x14ac:dyDescent="0.25">
      <c r="A126" s="37"/>
    </row>
    <row r="127" spans="1:1" x14ac:dyDescent="0.25">
      <c r="A127" s="37"/>
    </row>
    <row r="128" spans="1:1" x14ac:dyDescent="0.25">
      <c r="A128" s="37"/>
    </row>
    <row r="129" spans="1:1" x14ac:dyDescent="0.25">
      <c r="A129" s="37"/>
    </row>
    <row r="130" spans="1:1" x14ac:dyDescent="0.25">
      <c r="A130" s="37"/>
    </row>
    <row r="131" spans="1:1" x14ac:dyDescent="0.25">
      <c r="A131" s="37"/>
    </row>
    <row r="132" spans="1:1" x14ac:dyDescent="0.25">
      <c r="A132" s="37"/>
    </row>
    <row r="133" spans="1:1" x14ac:dyDescent="0.25">
      <c r="A133" s="37"/>
    </row>
    <row r="134" spans="1:1" x14ac:dyDescent="0.25">
      <c r="A134" s="37"/>
    </row>
    <row r="135" spans="1:1" x14ac:dyDescent="0.25">
      <c r="A135" s="37"/>
    </row>
    <row r="136" spans="1:1" x14ac:dyDescent="0.25">
      <c r="A136" s="37"/>
    </row>
    <row r="137" spans="1:1" x14ac:dyDescent="0.25">
      <c r="A137" s="37"/>
    </row>
    <row r="138" spans="1:1" x14ac:dyDescent="0.25">
      <c r="A138" s="37"/>
    </row>
    <row r="139" spans="1:1" x14ac:dyDescent="0.25">
      <c r="A139" s="37"/>
    </row>
    <row r="140" spans="1:1" x14ac:dyDescent="0.25">
      <c r="A140" s="37"/>
    </row>
    <row r="141" spans="1:1" x14ac:dyDescent="0.25">
      <c r="A141" s="37"/>
    </row>
    <row r="142" spans="1:1" x14ac:dyDescent="0.25">
      <c r="A142" s="37"/>
    </row>
    <row r="143" spans="1:1" x14ac:dyDescent="0.2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2" orientation="landscape" r:id="rId1"/>
  <headerFooter alignWithMargins="0">
    <oddFooter>&amp;L&amp;"Times New Roman,Regular"&amp;12&amp;F&amp;C&amp;"Times New Roman,Regular"&amp;12Page 1 of 3&amp;R&amp;"Times New Roman,Regular"&amp;12Stmt BH - Page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122"/>
  <sheetViews>
    <sheetView zoomScale="80" zoomScaleNormal="80" workbookViewId="0"/>
  </sheetViews>
  <sheetFormatPr defaultColWidth="9.28515625" defaultRowHeight="12.75" x14ac:dyDescent="0.2"/>
  <cols>
    <col min="1" max="1" width="5.5703125" style="242" customWidth="1"/>
    <col min="2" max="2" width="45.5703125" style="242" customWidth="1"/>
    <col min="3" max="8" width="15.5703125" style="242" customWidth="1"/>
    <col min="9" max="9" width="40.5703125" style="242" customWidth="1"/>
    <col min="10" max="10" width="5.5703125" style="242" customWidth="1"/>
    <col min="11" max="16384" width="9.28515625" style="242"/>
  </cols>
  <sheetData>
    <row r="2" spans="1:10" ht="15.75" x14ac:dyDescent="0.2">
      <c r="A2" s="5" t="s">
        <v>162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x14ac:dyDescent="0.2">
      <c r="A3" s="418" t="s">
        <v>52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75" x14ac:dyDescent="0.2">
      <c r="A4" s="976" t="str">
        <f>'Stmt BH - Page 1'!A4:J4</f>
        <v>Transmission Revenue Balancing Account Adjustment (TRBAA) Revenue Data To Reflect Present Rates per ER24-212</v>
      </c>
      <c r="B4" s="976"/>
      <c r="C4" s="976"/>
      <c r="D4" s="976"/>
      <c r="E4" s="976"/>
      <c r="F4" s="976"/>
      <c r="G4" s="976"/>
      <c r="H4" s="976"/>
      <c r="I4" s="976"/>
      <c r="J4" s="976"/>
    </row>
    <row r="5" spans="1:10" ht="15.75" x14ac:dyDescent="0.2">
      <c r="A5" s="418" t="str">
        <f>'Stmt BH - Page 1'!A5</f>
        <v>Rate Effective Period - Twelve Months Ending December 31, 2025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.5" thickBot="1" x14ac:dyDescent="0.3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5.75" x14ac:dyDescent="0.25">
      <c r="A7" s="75"/>
      <c r="B7" s="75"/>
      <c r="C7" s="571" t="s">
        <v>3</v>
      </c>
      <c r="D7" s="571" t="s">
        <v>4</v>
      </c>
      <c r="E7" s="571" t="s">
        <v>113</v>
      </c>
      <c r="F7" s="571" t="s">
        <v>114</v>
      </c>
      <c r="G7" s="571" t="s">
        <v>115</v>
      </c>
      <c r="H7" s="571" t="s">
        <v>116</v>
      </c>
      <c r="I7" s="571" t="s">
        <v>116</v>
      </c>
      <c r="J7" s="75"/>
    </row>
    <row r="8" spans="1:10" ht="15.75" x14ac:dyDescent="0.25">
      <c r="A8" s="75" t="s">
        <v>8</v>
      </c>
      <c r="B8" s="75"/>
      <c r="C8" s="572">
        <f>'Stmt BH - Page 1'!C8</f>
        <v>45658</v>
      </c>
      <c r="D8" s="572">
        <f>'Stmt BH - Page 1'!D8</f>
        <v>45689</v>
      </c>
      <c r="E8" s="572">
        <f>'Stmt BH - Page 1'!E8</f>
        <v>45717</v>
      </c>
      <c r="F8" s="572">
        <f>'Stmt BH - Page 1'!F8</f>
        <v>45748</v>
      </c>
      <c r="G8" s="572">
        <f>'Stmt BH - Page 1'!G8</f>
        <v>45778</v>
      </c>
      <c r="H8" s="572">
        <f>'Stmt BH - Page 1'!H8</f>
        <v>45809</v>
      </c>
      <c r="I8" s="566"/>
      <c r="J8" s="75" t="s">
        <v>8</v>
      </c>
    </row>
    <row r="9" spans="1:10" ht="16.5" thickBot="1" x14ac:dyDescent="0.3">
      <c r="A9" s="153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16</v>
      </c>
      <c r="J9" s="153" t="s">
        <v>11</v>
      </c>
    </row>
    <row r="10" spans="1:10" ht="15.75" x14ac:dyDescent="0.25">
      <c r="A10" s="10"/>
      <c r="B10" s="10"/>
      <c r="C10" s="74"/>
      <c r="D10" s="10"/>
      <c r="E10" s="10"/>
      <c r="F10" s="10"/>
      <c r="G10" s="10"/>
      <c r="H10" s="10"/>
      <c r="I10" s="10"/>
      <c r="J10" s="10"/>
    </row>
    <row r="11" spans="1:10" ht="15.75" x14ac:dyDescent="0.25">
      <c r="A11" s="10">
        <v>1</v>
      </c>
      <c r="B11" s="11" t="s">
        <v>93</v>
      </c>
      <c r="C11" s="31">
        <f>'WP 1.2 Forecast Sales'!C6*1000</f>
        <v>633614848.26131558</v>
      </c>
      <c r="D11" s="31">
        <f>'WP 1.2 Forecast Sales'!D6*1000</f>
        <v>515438234.71526903</v>
      </c>
      <c r="E11" s="31">
        <f>'WP 1.2 Forecast Sales'!E6*1000</f>
        <v>457649116.93538713</v>
      </c>
      <c r="F11" s="31">
        <f>'WP 1.2 Forecast Sales'!F6*1000</f>
        <v>365973420.20850414</v>
      </c>
      <c r="G11" s="31">
        <f>'WP 1.2 Forecast Sales'!G6*1000</f>
        <v>342313088.75184613</v>
      </c>
      <c r="H11" s="31">
        <f>'WP 1.2 Forecast Sales'!H6*1000</f>
        <v>369395483.57729572</v>
      </c>
      <c r="I11" s="240" t="s">
        <v>133</v>
      </c>
      <c r="J11" s="10">
        <v>1</v>
      </c>
    </row>
    <row r="12" spans="1:10" ht="15.75" x14ac:dyDescent="0.25">
      <c r="A12" s="10">
        <f>A11+1</f>
        <v>2</v>
      </c>
      <c r="B12" s="11"/>
      <c r="C12" s="398"/>
      <c r="D12" s="398"/>
      <c r="E12" s="398"/>
      <c r="F12" s="398"/>
      <c r="G12" s="398"/>
      <c r="H12" s="398"/>
      <c r="I12" s="399"/>
      <c r="J12" s="10">
        <f>J11+1</f>
        <v>2</v>
      </c>
    </row>
    <row r="13" spans="1:10" ht="15.75" x14ac:dyDescent="0.25">
      <c r="A13" s="10">
        <f t="shared" ref="A13:A45" si="0">A12+1</f>
        <v>3</v>
      </c>
      <c r="B13" s="11" t="s">
        <v>134</v>
      </c>
      <c r="C13" s="31">
        <f>'WP 1.2 Forecast Sales'!C7*1000</f>
        <v>194287303.97175041</v>
      </c>
      <c r="D13" s="31">
        <f>'WP 1.2 Forecast Sales'!D7*1000</f>
        <v>188366210.6613501</v>
      </c>
      <c r="E13" s="31">
        <f>'WP 1.2 Forecast Sales'!E7*1000</f>
        <v>187592519.40328324</v>
      </c>
      <c r="F13" s="31">
        <f>'WP 1.2 Forecast Sales'!F7*1000</f>
        <v>186126527.48780861</v>
      </c>
      <c r="G13" s="31">
        <f>'WP 1.2 Forecast Sales'!G7*1000</f>
        <v>185654634.61696634</v>
      </c>
      <c r="H13" s="31">
        <f>'WP 1.2 Forecast Sales'!H7*1000</f>
        <v>194357832.95760828</v>
      </c>
      <c r="I13" s="240" t="s">
        <v>135</v>
      </c>
      <c r="J13" s="10">
        <f t="shared" ref="J13:J45" si="1">J12+1</f>
        <v>3</v>
      </c>
    </row>
    <row r="14" spans="1:10" ht="15.75" x14ac:dyDescent="0.25">
      <c r="A14" s="10">
        <f t="shared" si="0"/>
        <v>4</v>
      </c>
      <c r="B14" s="385"/>
      <c r="C14" s="393"/>
      <c r="D14" s="393"/>
      <c r="E14" s="393"/>
      <c r="F14" s="393"/>
      <c r="G14" s="393"/>
      <c r="H14" s="393"/>
      <c r="I14" s="400"/>
      <c r="J14" s="10">
        <f t="shared" si="1"/>
        <v>4</v>
      </c>
    </row>
    <row r="15" spans="1:10" ht="15.75" x14ac:dyDescent="0.25">
      <c r="A15" s="10">
        <f t="shared" si="0"/>
        <v>5</v>
      </c>
      <c r="B15" s="17" t="s">
        <v>99</v>
      </c>
      <c r="C15" s="31">
        <f>'WP 1.2 Forecast Sales'!C8*1000</f>
        <v>751192254.45003653</v>
      </c>
      <c r="D15" s="31">
        <f>'WP 1.2 Forecast Sales'!D8*1000</f>
        <v>713531333.69322109</v>
      </c>
      <c r="E15" s="31">
        <f>'WP 1.2 Forecast Sales'!E8*1000</f>
        <v>714756631.10825777</v>
      </c>
      <c r="F15" s="31">
        <f>'WP 1.2 Forecast Sales'!F8*1000</f>
        <v>718508298.83782351</v>
      </c>
      <c r="G15" s="31">
        <f>'WP 1.2 Forecast Sales'!G8*1000</f>
        <v>724916884.54627109</v>
      </c>
      <c r="H15" s="31">
        <f>'WP 1.2 Forecast Sales'!H8*1000</f>
        <v>760340001.74391031</v>
      </c>
      <c r="I15" s="240" t="s">
        <v>136</v>
      </c>
      <c r="J15" s="10">
        <f t="shared" si="1"/>
        <v>5</v>
      </c>
    </row>
    <row r="16" spans="1:10" ht="15.75" x14ac:dyDescent="0.2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401"/>
      <c r="J16" s="10">
        <f t="shared" si="1"/>
        <v>6</v>
      </c>
    </row>
    <row r="17" spans="1:10" ht="15.75" x14ac:dyDescent="0.25">
      <c r="A17" s="10">
        <f t="shared" si="0"/>
        <v>7</v>
      </c>
      <c r="B17" s="11" t="s">
        <v>102</v>
      </c>
      <c r="C17" s="31">
        <f>'WP 1.2 Forecast Sales'!C10*1000</f>
        <v>1356574.0800083315</v>
      </c>
      <c r="D17" s="31">
        <f>'WP 1.2 Forecast Sales'!D10*1000</f>
        <v>1511601.8248092588</v>
      </c>
      <c r="E17" s="31">
        <f>'WP 1.2 Forecast Sales'!E10*1000</f>
        <v>1313295.5975330288</v>
      </c>
      <c r="F17" s="31">
        <f>'WP 1.2 Forecast Sales'!F10*1000</f>
        <v>1360019.567416501</v>
      </c>
      <c r="G17" s="31">
        <f>'WP 1.2 Forecast Sales'!G10*1000</f>
        <v>1926717.9622811209</v>
      </c>
      <c r="H17" s="31">
        <f>'WP 1.2 Forecast Sales'!H10*1000</f>
        <v>2321474.7648105002</v>
      </c>
      <c r="I17" s="240" t="s">
        <v>137</v>
      </c>
      <c r="J17" s="10">
        <f t="shared" si="1"/>
        <v>7</v>
      </c>
    </row>
    <row r="18" spans="1:10" ht="15.75" x14ac:dyDescent="0.2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401"/>
      <c r="J18" s="10">
        <f t="shared" si="1"/>
        <v>8</v>
      </c>
    </row>
    <row r="19" spans="1:10" ht="15.75" x14ac:dyDescent="0.25">
      <c r="A19" s="10">
        <f t="shared" si="0"/>
        <v>9</v>
      </c>
      <c r="B19" s="11" t="s">
        <v>105</v>
      </c>
      <c r="C19" s="31">
        <f>'WP 1.2 Forecast Sales'!C11*1000</f>
        <v>16898596.174145363</v>
      </c>
      <c r="D19" s="31">
        <f>'WP 1.2 Forecast Sales'!D11*1000</f>
        <v>18281425.836751401</v>
      </c>
      <c r="E19" s="31">
        <f>'WP 1.2 Forecast Sales'!E11*1000</f>
        <v>16418928.25680276</v>
      </c>
      <c r="F19" s="31">
        <f>'WP 1.2 Forecast Sales'!F11*1000</f>
        <v>17288752.517243203</v>
      </c>
      <c r="G19" s="31">
        <f>'WP 1.2 Forecast Sales'!G11*1000</f>
        <v>20061665.198170915</v>
      </c>
      <c r="H19" s="31">
        <f>'WP 1.2 Forecast Sales'!H11*1000</f>
        <v>20603202.325132836</v>
      </c>
      <c r="I19" s="240" t="s">
        <v>138</v>
      </c>
      <c r="J19" s="10">
        <f t="shared" si="1"/>
        <v>9</v>
      </c>
    </row>
    <row r="20" spans="1:10" ht="15.75" x14ac:dyDescent="0.2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401"/>
      <c r="J20" s="10">
        <f t="shared" si="1"/>
        <v>10</v>
      </c>
    </row>
    <row r="21" spans="1:10" ht="15.75" x14ac:dyDescent="0.25">
      <c r="A21" s="10">
        <f t="shared" si="0"/>
        <v>11</v>
      </c>
      <c r="B21" s="11" t="s">
        <v>139</v>
      </c>
      <c r="C21" s="38">
        <f>'WP 1.2 Forecast Sales'!C12*1000</f>
        <v>6804681.1748855589</v>
      </c>
      <c r="D21" s="38">
        <f>'WP 1.2 Forecast Sales'!D12*1000</f>
        <v>6756007.3419802682</v>
      </c>
      <c r="E21" s="38">
        <f>'WP 1.2 Forecast Sales'!E12*1000</f>
        <v>6619387.8228434017</v>
      </c>
      <c r="F21" s="38">
        <f>'WP 1.2 Forecast Sales'!F12*1000</f>
        <v>6515491.4020588556</v>
      </c>
      <c r="G21" s="38">
        <f>'WP 1.2 Forecast Sales'!G12*1000</f>
        <v>6463029.1984564485</v>
      </c>
      <c r="H21" s="38">
        <f>'WP 1.2 Forecast Sales'!H12*1000</f>
        <v>6515925.7018801039</v>
      </c>
      <c r="I21" s="240" t="s">
        <v>140</v>
      </c>
      <c r="J21" s="10">
        <f t="shared" si="1"/>
        <v>11</v>
      </c>
    </row>
    <row r="22" spans="1:10" ht="15.75" x14ac:dyDescent="0.2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10">
        <f t="shared" si="1"/>
        <v>12</v>
      </c>
    </row>
    <row r="23" spans="1:10" ht="16.5" thickBot="1" x14ac:dyDescent="0.3">
      <c r="A23" s="10">
        <f t="shared" si="0"/>
        <v>13</v>
      </c>
      <c r="B23" s="11" t="s">
        <v>124</v>
      </c>
      <c r="C23" s="474">
        <f>SUM(C11:C21)</f>
        <v>1604154258.1121418</v>
      </c>
      <c r="D23" s="474">
        <f t="shared" ref="D23:H23" si="2">SUM(D11:D21)</f>
        <v>1443884814.0733812</v>
      </c>
      <c r="E23" s="474">
        <f t="shared" si="2"/>
        <v>1384349879.1241071</v>
      </c>
      <c r="F23" s="474">
        <f t="shared" si="2"/>
        <v>1295772510.0208547</v>
      </c>
      <c r="G23" s="474">
        <f t="shared" si="2"/>
        <v>1281336020.2739921</v>
      </c>
      <c r="H23" s="474">
        <f t="shared" si="2"/>
        <v>1353533921.0706379</v>
      </c>
      <c r="I23" s="399" t="s">
        <v>141</v>
      </c>
      <c r="J23" s="10">
        <f t="shared" si="1"/>
        <v>13</v>
      </c>
    </row>
    <row r="24" spans="1:10" ht="17.25" thickTop="1" thickBot="1" x14ac:dyDescent="0.3">
      <c r="A24" s="57">
        <f t="shared" si="0"/>
        <v>14</v>
      </c>
      <c r="B24" s="419"/>
      <c r="C24" s="825"/>
      <c r="D24" s="58"/>
      <c r="E24" s="58"/>
      <c r="F24" s="58"/>
      <c r="G24" s="58"/>
      <c r="H24" s="58"/>
      <c r="I24" s="58"/>
      <c r="J24" s="57">
        <f t="shared" si="1"/>
        <v>14</v>
      </c>
    </row>
    <row r="25" spans="1:10" ht="15.75" x14ac:dyDescent="0.25">
      <c r="A25" s="10">
        <f t="shared" si="0"/>
        <v>15</v>
      </c>
      <c r="B25" s="420"/>
      <c r="C25" s="408"/>
      <c r="D25" s="408"/>
      <c r="E25" s="408"/>
      <c r="F25" s="408"/>
      <c r="G25" s="408"/>
      <c r="H25" s="408"/>
      <c r="I25" s="17"/>
      <c r="J25" s="10">
        <f t="shared" si="1"/>
        <v>15</v>
      </c>
    </row>
    <row r="26" spans="1:10" ht="16.5" thickBot="1" x14ac:dyDescent="0.3">
      <c r="A26" s="57">
        <f>A25+1</f>
        <v>16</v>
      </c>
      <c r="B26" s="419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57">
        <f>J25+1</f>
        <v>16</v>
      </c>
    </row>
    <row r="27" spans="1:10" ht="15.75" x14ac:dyDescent="0.25">
      <c r="A27" s="10">
        <f t="shared" si="0"/>
        <v>17</v>
      </c>
      <c r="B27" s="448"/>
      <c r="C27" s="75"/>
      <c r="D27" s="10"/>
      <c r="E27" s="10"/>
      <c r="F27" s="10"/>
      <c r="G27" s="10"/>
      <c r="H27" s="10"/>
      <c r="I27" s="409" t="s">
        <v>144</v>
      </c>
      <c r="J27" s="10">
        <f t="shared" si="1"/>
        <v>17</v>
      </c>
    </row>
    <row r="28" spans="1:10" ht="15.75" x14ac:dyDescent="0.25">
      <c r="A28" s="10">
        <f t="shared" si="0"/>
        <v>18</v>
      </c>
      <c r="B28" s="11" t="s">
        <v>169</v>
      </c>
      <c r="C28" s="384">
        <v>-2.8900000000000002E-3</v>
      </c>
      <c r="D28" s="384">
        <f>$C28</f>
        <v>-2.8900000000000002E-3</v>
      </c>
      <c r="E28" s="384">
        <f>$C28</f>
        <v>-2.8900000000000002E-3</v>
      </c>
      <c r="F28" s="384">
        <f>$C28</f>
        <v>-2.8900000000000002E-3</v>
      </c>
      <c r="G28" s="384">
        <f>$C28</f>
        <v>-2.8900000000000002E-3</v>
      </c>
      <c r="H28" s="384">
        <f>$C28</f>
        <v>-2.8900000000000002E-3</v>
      </c>
      <c r="I28" s="399" t="s">
        <v>495</v>
      </c>
      <c r="J28" s="10">
        <f t="shared" si="1"/>
        <v>18</v>
      </c>
    </row>
    <row r="29" spans="1:10" ht="16.5" thickBot="1" x14ac:dyDescent="0.3">
      <c r="A29" s="57">
        <f>A28+1</f>
        <v>19</v>
      </c>
      <c r="B29" s="419"/>
      <c r="C29" s="58"/>
      <c r="D29" s="58"/>
      <c r="E29" s="58"/>
      <c r="F29" s="58"/>
      <c r="G29" s="58"/>
      <c r="H29" s="58"/>
      <c r="I29" s="410"/>
      <c r="J29" s="57">
        <f>J28+1</f>
        <v>19</v>
      </c>
    </row>
    <row r="30" spans="1:10" ht="15.75" x14ac:dyDescent="0.2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0">
        <f t="shared" si="1"/>
        <v>20</v>
      </c>
    </row>
    <row r="31" spans="1:10" ht="34.5" customHeight="1" thickBot="1" x14ac:dyDescent="0.3">
      <c r="A31" s="57">
        <f t="shared" si="0"/>
        <v>21</v>
      </c>
      <c r="B31" s="419"/>
      <c r="C31" s="403" t="s">
        <v>170</v>
      </c>
      <c r="D31" s="403" t="s">
        <v>170</v>
      </c>
      <c r="E31" s="403" t="s">
        <v>170</v>
      </c>
      <c r="F31" s="403" t="s">
        <v>170</v>
      </c>
      <c r="G31" s="403" t="s">
        <v>170</v>
      </c>
      <c r="H31" s="403" t="s">
        <v>170</v>
      </c>
      <c r="I31" s="57"/>
      <c r="J31" s="57">
        <f t="shared" si="1"/>
        <v>21</v>
      </c>
    </row>
    <row r="32" spans="1:10" ht="15.75" x14ac:dyDescent="0.2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10">
        <f t="shared" si="1"/>
        <v>22</v>
      </c>
    </row>
    <row r="33" spans="1:10" ht="15.75" x14ac:dyDescent="0.25">
      <c r="A33" s="10">
        <f t="shared" si="0"/>
        <v>23</v>
      </c>
      <c r="B33" s="11" t="s">
        <v>93</v>
      </c>
      <c r="C33" s="141">
        <f>C11*C$28</f>
        <v>-1831146.9114752021</v>
      </c>
      <c r="D33" s="141">
        <f t="shared" ref="D33:H33" si="3">D11*D$28</f>
        <v>-1489616.4983271277</v>
      </c>
      <c r="E33" s="141">
        <f t="shared" si="3"/>
        <v>-1322605.9479432688</v>
      </c>
      <c r="F33" s="141">
        <f t="shared" si="3"/>
        <v>-1057663.1844025771</v>
      </c>
      <c r="G33" s="141">
        <f t="shared" si="3"/>
        <v>-989284.82649283542</v>
      </c>
      <c r="H33" s="141">
        <f t="shared" si="3"/>
        <v>-1067552.9475383847</v>
      </c>
      <c r="I33" s="26" t="s">
        <v>146</v>
      </c>
      <c r="J33" s="10">
        <f t="shared" si="1"/>
        <v>23</v>
      </c>
    </row>
    <row r="34" spans="1:10" ht="15.75" x14ac:dyDescent="0.25">
      <c r="A34" s="10">
        <f t="shared" si="0"/>
        <v>24</v>
      </c>
      <c r="B34" s="11"/>
      <c r="C34" s="398"/>
      <c r="D34" s="398"/>
      <c r="E34" s="398"/>
      <c r="F34" s="398"/>
      <c r="G34" s="398"/>
      <c r="H34" s="398"/>
      <c r="I34" s="404"/>
      <c r="J34" s="10">
        <f t="shared" si="1"/>
        <v>24</v>
      </c>
    </row>
    <row r="35" spans="1:10" ht="15.75" x14ac:dyDescent="0.25">
      <c r="A35" s="10">
        <f t="shared" si="0"/>
        <v>25</v>
      </c>
      <c r="B35" s="11" t="s">
        <v>134</v>
      </c>
      <c r="C35" s="44">
        <f>C13*C$28</f>
        <v>-561490.30847835867</v>
      </c>
      <c r="D35" s="44">
        <f t="shared" ref="D35:H35" si="4">D13*D$28</f>
        <v>-544378.34881130187</v>
      </c>
      <c r="E35" s="44">
        <f t="shared" si="4"/>
        <v>-542142.38107548864</v>
      </c>
      <c r="F35" s="44">
        <f t="shared" si="4"/>
        <v>-537905.6644397669</v>
      </c>
      <c r="G35" s="44">
        <f t="shared" si="4"/>
        <v>-536541.89404303278</v>
      </c>
      <c r="H35" s="44">
        <f t="shared" si="4"/>
        <v>-561694.13724748802</v>
      </c>
      <c r="I35" s="26" t="s">
        <v>147</v>
      </c>
      <c r="J35" s="10">
        <f t="shared" si="1"/>
        <v>25</v>
      </c>
    </row>
    <row r="36" spans="1:10" ht="15.75" x14ac:dyDescent="0.25">
      <c r="A36" s="10">
        <f t="shared" si="0"/>
        <v>26</v>
      </c>
      <c r="B36" s="385"/>
      <c r="C36" s="393"/>
      <c r="D36" s="393"/>
      <c r="E36" s="393"/>
      <c r="F36" s="393"/>
      <c r="G36" s="393"/>
      <c r="H36" s="393"/>
      <c r="I36" s="26"/>
      <c r="J36" s="10">
        <f t="shared" si="1"/>
        <v>26</v>
      </c>
    </row>
    <row r="37" spans="1:10" ht="15.75" x14ac:dyDescent="0.25">
      <c r="A37" s="10">
        <f t="shared" si="0"/>
        <v>27</v>
      </c>
      <c r="B37" s="17" t="s">
        <v>99</v>
      </c>
      <c r="C37" s="44">
        <f>C15*C$28</f>
        <v>-2170945.6153606055</v>
      </c>
      <c r="D37" s="44">
        <f t="shared" ref="D37:H37" si="5">D15*D$28</f>
        <v>-2062105.5543734091</v>
      </c>
      <c r="E37" s="44">
        <f t="shared" si="5"/>
        <v>-2065646.663902865</v>
      </c>
      <c r="F37" s="44">
        <f t="shared" si="5"/>
        <v>-2076488.9836413101</v>
      </c>
      <c r="G37" s="44">
        <f t="shared" si="5"/>
        <v>-2095009.7963387235</v>
      </c>
      <c r="H37" s="44">
        <f t="shared" si="5"/>
        <v>-2197382.6050399011</v>
      </c>
      <c r="I37" s="26" t="s">
        <v>148</v>
      </c>
      <c r="J37" s="10">
        <f t="shared" si="1"/>
        <v>27</v>
      </c>
    </row>
    <row r="38" spans="1:10" ht="15.75" x14ac:dyDescent="0.2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10">
        <f t="shared" si="1"/>
        <v>28</v>
      </c>
    </row>
    <row r="39" spans="1:10" ht="15.75" x14ac:dyDescent="0.25">
      <c r="A39" s="10">
        <f t="shared" si="0"/>
        <v>29</v>
      </c>
      <c r="B39" s="11" t="s">
        <v>102</v>
      </c>
      <c r="C39" s="44">
        <f>C17*C$28</f>
        <v>-3920.4990912240783</v>
      </c>
      <c r="D39" s="44">
        <f t="shared" ref="D39:H39" si="6">D17*D$28</f>
        <v>-4368.5292736987585</v>
      </c>
      <c r="E39" s="44">
        <f t="shared" si="6"/>
        <v>-3795.4242768704535</v>
      </c>
      <c r="F39" s="44">
        <f t="shared" si="6"/>
        <v>-3930.4565498336883</v>
      </c>
      <c r="G39" s="44">
        <f t="shared" si="6"/>
        <v>-5568.2149109924403</v>
      </c>
      <c r="H39" s="44">
        <f t="shared" si="6"/>
        <v>-6709.062070302346</v>
      </c>
      <c r="I39" s="26" t="s">
        <v>149</v>
      </c>
      <c r="J39" s="10">
        <f t="shared" si="1"/>
        <v>29</v>
      </c>
    </row>
    <row r="40" spans="1:10" ht="15.75" x14ac:dyDescent="0.2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10">
        <f t="shared" si="1"/>
        <v>30</v>
      </c>
    </row>
    <row r="41" spans="1:10" ht="15.75" x14ac:dyDescent="0.25">
      <c r="A41" s="10">
        <f t="shared" si="0"/>
        <v>31</v>
      </c>
      <c r="B41" s="11" t="s">
        <v>105</v>
      </c>
      <c r="C41" s="44">
        <f>C19*C$28</f>
        <v>-48836.942943280104</v>
      </c>
      <c r="D41" s="44">
        <f t="shared" ref="D41:H41" si="7">D19*D$28</f>
        <v>-52833.320668211556</v>
      </c>
      <c r="E41" s="44">
        <f t="shared" si="7"/>
        <v>-47450.70266215998</v>
      </c>
      <c r="F41" s="44">
        <f t="shared" si="7"/>
        <v>-49964.494774832863</v>
      </c>
      <c r="G41" s="44">
        <f t="shared" si="7"/>
        <v>-57978.21242271395</v>
      </c>
      <c r="H41" s="44">
        <f t="shared" si="7"/>
        <v>-59543.2547196339</v>
      </c>
      <c r="I41" s="26" t="s">
        <v>150</v>
      </c>
      <c r="J41" s="10">
        <f t="shared" si="1"/>
        <v>31</v>
      </c>
    </row>
    <row r="42" spans="1:10" ht="15.75" x14ac:dyDescent="0.2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10">
        <f t="shared" si="1"/>
        <v>32</v>
      </c>
    </row>
    <row r="43" spans="1:10" ht="15.75" x14ac:dyDescent="0.25">
      <c r="A43" s="10">
        <f t="shared" si="0"/>
        <v>33</v>
      </c>
      <c r="B43" s="11" t="s">
        <v>139</v>
      </c>
      <c r="C43" s="51">
        <f>C21*C$28</f>
        <v>-19665.528595419266</v>
      </c>
      <c r="D43" s="51">
        <f t="shared" ref="D43:H43" si="8">D21*D$28</f>
        <v>-19524.861218322978</v>
      </c>
      <c r="E43" s="51">
        <f t="shared" si="8"/>
        <v>-19130.030808017433</v>
      </c>
      <c r="F43" s="51">
        <f t="shared" si="8"/>
        <v>-18829.770151950095</v>
      </c>
      <c r="G43" s="51">
        <f t="shared" si="8"/>
        <v>-18678.154383539139</v>
      </c>
      <c r="H43" s="51">
        <f t="shared" si="8"/>
        <v>-18831.025278433503</v>
      </c>
      <c r="I43" s="26" t="s">
        <v>151</v>
      </c>
      <c r="J43" s="10">
        <f t="shared" si="1"/>
        <v>33</v>
      </c>
    </row>
    <row r="44" spans="1:10" ht="15.75" x14ac:dyDescent="0.25">
      <c r="A44" s="10">
        <f t="shared" si="0"/>
        <v>34</v>
      </c>
      <c r="B44" s="11"/>
      <c r="C44" s="138"/>
      <c r="D44" s="138"/>
      <c r="E44" s="138"/>
      <c r="F44" s="138"/>
      <c r="G44" s="138"/>
      <c r="H44" s="138"/>
      <c r="I44" s="26"/>
      <c r="J44" s="10">
        <f t="shared" si="1"/>
        <v>34</v>
      </c>
    </row>
    <row r="45" spans="1:10" ht="16.5" thickBot="1" x14ac:dyDescent="0.3">
      <c r="A45" s="10">
        <f t="shared" si="0"/>
        <v>35</v>
      </c>
      <c r="B45" s="11" t="s">
        <v>124</v>
      </c>
      <c r="C45" s="394">
        <f>SUM(C33:C43)</f>
        <v>-4636005.8059440898</v>
      </c>
      <c r="D45" s="394">
        <f t="shared" ref="D45:H45" si="9">SUM(D33:D43)</f>
        <v>-4172827.1126720719</v>
      </c>
      <c r="E45" s="394">
        <f t="shared" si="9"/>
        <v>-4000771.1506686709</v>
      </c>
      <c r="F45" s="394">
        <f t="shared" si="9"/>
        <v>-3744782.5539602702</v>
      </c>
      <c r="G45" s="394">
        <f t="shared" si="9"/>
        <v>-3703061.0985918376</v>
      </c>
      <c r="H45" s="394">
        <f t="shared" si="9"/>
        <v>-3911713.0318941437</v>
      </c>
      <c r="I45" s="405" t="s">
        <v>152</v>
      </c>
      <c r="J45" s="10">
        <f t="shared" si="1"/>
        <v>35</v>
      </c>
    </row>
    <row r="46" spans="1:10" ht="17.25" thickTop="1" thickBot="1" x14ac:dyDescent="0.3">
      <c r="A46" s="57"/>
      <c r="B46" s="57"/>
      <c r="C46" s="825"/>
      <c r="D46" s="58"/>
      <c r="E46" s="58"/>
      <c r="F46" s="58"/>
      <c r="G46" s="58"/>
      <c r="H46" s="58"/>
      <c r="I46" s="58"/>
      <c r="J46" s="57"/>
    </row>
    <row r="47" spans="1:10" ht="15.75" x14ac:dyDescent="0.25">
      <c r="A47" s="37"/>
      <c r="B47" s="390"/>
      <c r="C47" s="22"/>
      <c r="D47" s="22"/>
      <c r="E47" s="22"/>
      <c r="F47" s="22"/>
      <c r="G47" s="22"/>
      <c r="H47" s="22"/>
      <c r="I47" s="22"/>
      <c r="J47" s="22"/>
    </row>
    <row r="48" spans="1:10" ht="18.75" x14ac:dyDescent="0.25">
      <c r="A48" s="69"/>
      <c r="B48" s="22"/>
      <c r="C48" s="397"/>
      <c r="D48" s="22"/>
      <c r="E48" s="22"/>
      <c r="F48" s="22"/>
      <c r="G48" s="22"/>
      <c r="H48" s="22"/>
      <c r="I48" s="22"/>
      <c r="J48" s="22"/>
    </row>
    <row r="49" spans="1:10" ht="15.75" x14ac:dyDescent="0.25">
      <c r="A49" s="826"/>
      <c r="B49" s="22"/>
      <c r="D49" s="22"/>
      <c r="E49" s="22"/>
      <c r="F49" s="22"/>
      <c r="G49" s="22"/>
      <c r="H49" s="22"/>
      <c r="I49" s="22"/>
      <c r="J49" s="22"/>
    </row>
    <row r="50" spans="1:10" ht="15.75" x14ac:dyDescent="0.25">
      <c r="A50" s="826"/>
      <c r="B50" s="22"/>
      <c r="C50" s="827"/>
      <c r="D50" s="22"/>
      <c r="E50" s="22"/>
      <c r="F50" s="22"/>
      <c r="G50" s="22"/>
      <c r="H50" s="22"/>
      <c r="I50" s="22"/>
      <c r="J50" s="22"/>
    </row>
    <row r="51" spans="1:10" ht="15.75" x14ac:dyDescent="0.25">
      <c r="A51" s="826"/>
      <c r="D51" s="22"/>
      <c r="E51" s="22"/>
      <c r="F51" s="22"/>
      <c r="G51" s="22"/>
      <c r="H51" s="22"/>
      <c r="I51" s="22"/>
      <c r="J51" s="22"/>
    </row>
    <row r="52" spans="1:10" ht="15.75" x14ac:dyDescent="0.2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75" x14ac:dyDescent="0.2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75" x14ac:dyDescent="0.2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75" x14ac:dyDescent="0.2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75" x14ac:dyDescent="0.2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75" x14ac:dyDescent="0.2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75" x14ac:dyDescent="0.2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75" x14ac:dyDescent="0.2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75" x14ac:dyDescent="0.2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75" x14ac:dyDescent="0.2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75" x14ac:dyDescent="0.2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75" x14ac:dyDescent="0.2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75" x14ac:dyDescent="0.2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75" x14ac:dyDescent="0.2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75" x14ac:dyDescent="0.2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75" x14ac:dyDescent="0.2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75" x14ac:dyDescent="0.2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75" x14ac:dyDescent="0.2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75" x14ac:dyDescent="0.2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75" x14ac:dyDescent="0.2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75" x14ac:dyDescent="0.2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75" x14ac:dyDescent="0.2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75" x14ac:dyDescent="0.2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75" x14ac:dyDescent="0.2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75" x14ac:dyDescent="0.2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75" x14ac:dyDescent="0.2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75" x14ac:dyDescent="0.2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">
      <c r="A79" s="826"/>
    </row>
    <row r="80" spans="1:10" x14ac:dyDescent="0.2">
      <c r="A80" s="826"/>
    </row>
    <row r="81" spans="1:1" x14ac:dyDescent="0.2">
      <c r="A81" s="826"/>
    </row>
    <row r="82" spans="1:1" x14ac:dyDescent="0.2">
      <c r="A82" s="826"/>
    </row>
    <row r="83" spans="1:1" x14ac:dyDescent="0.2">
      <c r="A83" s="826"/>
    </row>
    <row r="84" spans="1:1" x14ac:dyDescent="0.2">
      <c r="A84" s="826"/>
    </row>
    <row r="85" spans="1:1" x14ac:dyDescent="0.2">
      <c r="A85" s="826"/>
    </row>
    <row r="86" spans="1:1" x14ac:dyDescent="0.2">
      <c r="A86" s="826"/>
    </row>
    <row r="87" spans="1:1" x14ac:dyDescent="0.2">
      <c r="A87" s="826"/>
    </row>
    <row r="88" spans="1:1" x14ac:dyDescent="0.2">
      <c r="A88" s="826"/>
    </row>
    <row r="89" spans="1:1" x14ac:dyDescent="0.2">
      <c r="A89" s="826"/>
    </row>
    <row r="90" spans="1:1" x14ac:dyDescent="0.2">
      <c r="A90" s="826"/>
    </row>
    <row r="91" spans="1:1" x14ac:dyDescent="0.2">
      <c r="A91" s="826"/>
    </row>
    <row r="92" spans="1:1" x14ac:dyDescent="0.2">
      <c r="A92" s="826"/>
    </row>
    <row r="93" spans="1:1" x14ac:dyDescent="0.2">
      <c r="A93" s="826"/>
    </row>
    <row r="94" spans="1:1" x14ac:dyDescent="0.2">
      <c r="A94" s="826"/>
    </row>
    <row r="95" spans="1:1" x14ac:dyDescent="0.2">
      <c r="A95" s="826"/>
    </row>
    <row r="96" spans="1:1" x14ac:dyDescent="0.2">
      <c r="A96" s="826"/>
    </row>
    <row r="97" spans="1:1" x14ac:dyDescent="0.2">
      <c r="A97" s="826"/>
    </row>
    <row r="98" spans="1:1" x14ac:dyDescent="0.2">
      <c r="A98" s="826"/>
    </row>
    <row r="99" spans="1:1" x14ac:dyDescent="0.2">
      <c r="A99" s="826"/>
    </row>
    <row r="100" spans="1:1" x14ac:dyDescent="0.2">
      <c r="A100" s="826"/>
    </row>
    <row r="101" spans="1:1" x14ac:dyDescent="0.2">
      <c r="A101" s="826"/>
    </row>
    <row r="102" spans="1:1" x14ac:dyDescent="0.2">
      <c r="A102" s="826"/>
    </row>
    <row r="103" spans="1:1" x14ac:dyDescent="0.2">
      <c r="A103" s="826"/>
    </row>
    <row r="104" spans="1:1" x14ac:dyDescent="0.2">
      <c r="A104" s="826"/>
    </row>
    <row r="105" spans="1:1" x14ac:dyDescent="0.2">
      <c r="A105" s="826"/>
    </row>
    <row r="106" spans="1:1" x14ac:dyDescent="0.2">
      <c r="A106" s="826"/>
    </row>
    <row r="107" spans="1:1" x14ac:dyDescent="0.2">
      <c r="A107" s="826"/>
    </row>
    <row r="108" spans="1:1" x14ac:dyDescent="0.2">
      <c r="A108" s="826"/>
    </row>
    <row r="109" spans="1:1" x14ac:dyDescent="0.2">
      <c r="A109" s="826"/>
    </row>
    <row r="110" spans="1:1" x14ac:dyDescent="0.2">
      <c r="A110" s="826"/>
    </row>
    <row r="111" spans="1:1" x14ac:dyDescent="0.2">
      <c r="A111" s="826"/>
    </row>
    <row r="112" spans="1:1" x14ac:dyDescent="0.2">
      <c r="A112" s="826"/>
    </row>
    <row r="113" spans="1:1" x14ac:dyDescent="0.2">
      <c r="A113" s="826"/>
    </row>
    <row r="114" spans="1:1" x14ac:dyDescent="0.2">
      <c r="A114" s="826"/>
    </row>
    <row r="115" spans="1:1" x14ac:dyDescent="0.2">
      <c r="A115" s="826"/>
    </row>
    <row r="116" spans="1:1" x14ac:dyDescent="0.2">
      <c r="A116" s="826"/>
    </row>
    <row r="117" spans="1:1" x14ac:dyDescent="0.2">
      <c r="A117" s="826"/>
    </row>
    <row r="118" spans="1:1" x14ac:dyDescent="0.2">
      <c r="A118" s="826"/>
    </row>
    <row r="119" spans="1:1" x14ac:dyDescent="0.2">
      <c r="A119" s="826"/>
    </row>
    <row r="120" spans="1:1" x14ac:dyDescent="0.2">
      <c r="A120" s="826"/>
    </row>
    <row r="121" spans="1:1" x14ac:dyDescent="0.2">
      <c r="A121" s="826"/>
    </row>
    <row r="122" spans="1:1" x14ac:dyDescent="0.2">
      <c r="A122" s="826"/>
    </row>
  </sheetData>
  <mergeCells count="1">
    <mergeCell ref="A4:J4"/>
  </mergeCells>
  <printOptions horizontalCentered="1"/>
  <pageMargins left="0.25" right="0.25" top="0.5" bottom="0.5" header="0.25" footer="0.25"/>
  <pageSetup scale="71" orientation="landscape" r:id="rId1"/>
  <headerFooter alignWithMargins="0">
    <oddFooter>&amp;L&amp;"Times New Roman,Regular"&amp;12&amp;F&amp;C&amp;"Times New Roman,Regular"&amp;12Page 2 of 3&amp;R&amp;"Times New Roman,Regular"&amp;12&amp;A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122"/>
  <sheetViews>
    <sheetView zoomScale="80" zoomScaleNormal="80" workbookViewId="0"/>
  </sheetViews>
  <sheetFormatPr defaultColWidth="9.28515625" defaultRowHeight="12.75" x14ac:dyDescent="0.2"/>
  <cols>
    <col min="1" max="1" width="5.5703125" style="242" customWidth="1"/>
    <col min="2" max="2" width="45.5703125" style="242" customWidth="1"/>
    <col min="3" max="8" width="15.5703125" style="242" customWidth="1"/>
    <col min="9" max="9" width="17.5703125" style="242" customWidth="1"/>
    <col min="10" max="10" width="40.5703125" style="242" customWidth="1"/>
    <col min="11" max="11" width="5.5703125" style="242" customWidth="1"/>
    <col min="12" max="16384" width="9.28515625" style="242"/>
  </cols>
  <sheetData>
    <row r="2" spans="1:11" ht="15.75" x14ac:dyDescent="0.2">
      <c r="A2" s="5" t="s">
        <v>162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 x14ac:dyDescent="0.2">
      <c r="A3" s="5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75" x14ac:dyDescent="0.2">
      <c r="A4" s="976" t="str">
        <f>'Stmt BH - Page 1'!A4:J4</f>
        <v>Transmission Revenue Balancing Account Adjustment (TRBAA) Revenue Data To Reflect Present Rates per ER24-212</v>
      </c>
      <c r="B4" s="976"/>
      <c r="C4" s="976"/>
      <c r="D4" s="976"/>
      <c r="E4" s="976"/>
      <c r="F4" s="976"/>
      <c r="G4" s="976"/>
      <c r="H4" s="976"/>
      <c r="I4" s="976"/>
      <c r="J4" s="976"/>
      <c r="K4" s="976"/>
    </row>
    <row r="5" spans="1:11" ht="15.75" x14ac:dyDescent="0.2">
      <c r="A5" s="418" t="str">
        <f>'Stmt BH - Page 1'!A5</f>
        <v>Rate Effective Period - Twelve Months Ending December 31, 2025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.5" thickBot="1" x14ac:dyDescent="0.3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.75" x14ac:dyDescent="0.25">
      <c r="A7" s="75"/>
      <c r="B7" s="75"/>
      <c r="C7" s="573" t="s">
        <v>117</v>
      </c>
      <c r="D7" s="573" t="s">
        <v>153</v>
      </c>
      <c r="E7" s="573" t="s">
        <v>154</v>
      </c>
      <c r="F7" s="573" t="s">
        <v>155</v>
      </c>
      <c r="G7" s="573" t="s">
        <v>156</v>
      </c>
      <c r="H7" s="573" t="s">
        <v>157</v>
      </c>
      <c r="I7" s="573" t="s">
        <v>158</v>
      </c>
      <c r="J7" s="573" t="s">
        <v>158</v>
      </c>
      <c r="K7" s="75"/>
    </row>
    <row r="8" spans="1:11" ht="15.75" x14ac:dyDescent="0.25">
      <c r="A8" s="75" t="s">
        <v>8</v>
      </c>
      <c r="B8" s="75"/>
      <c r="C8" s="565">
        <f>'Stmt BH - Page 1'!C26</f>
        <v>45839</v>
      </c>
      <c r="D8" s="565">
        <f>'Stmt BH - Page 1'!D26</f>
        <v>45870</v>
      </c>
      <c r="E8" s="565">
        <f>'Stmt BH - Page 1'!E26</f>
        <v>45901</v>
      </c>
      <c r="F8" s="565">
        <f>'Stmt BH - Page 1'!F26</f>
        <v>45931</v>
      </c>
      <c r="G8" s="565">
        <f>'Stmt BH - Page 1'!G26</f>
        <v>45962</v>
      </c>
      <c r="H8" s="565">
        <f>'Stmt BH - Page 1'!H26</f>
        <v>45992</v>
      </c>
      <c r="I8" s="565" t="s">
        <v>18</v>
      </c>
      <c r="J8" s="566"/>
      <c r="K8" s="75" t="s">
        <v>8</v>
      </c>
    </row>
    <row r="9" spans="1:11" ht="16.5" thickBot="1" x14ac:dyDescent="0.3">
      <c r="A9" s="153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132</v>
      </c>
      <c r="J9" s="153" t="s">
        <v>16</v>
      </c>
      <c r="K9" s="153" t="s">
        <v>11</v>
      </c>
    </row>
    <row r="10" spans="1:11" ht="15.75" x14ac:dyDescent="0.2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75" x14ac:dyDescent="0.25">
      <c r="A11" s="10">
        <v>1</v>
      </c>
      <c r="B11" s="11" t="s">
        <v>93</v>
      </c>
      <c r="C11" s="31">
        <f>'WP 1.2 Forecast Sales'!I6*1000</f>
        <v>457969477.31707972</v>
      </c>
      <c r="D11" s="31">
        <f>'WP 1.2 Forecast Sales'!J6*1000</f>
        <v>631672008.70622778</v>
      </c>
      <c r="E11" s="31">
        <f>'WP 1.2 Forecast Sales'!K6*1000</f>
        <v>730948075.68545246</v>
      </c>
      <c r="F11" s="31">
        <f>'WP 1.2 Forecast Sales'!L6*1000</f>
        <v>531521922.81533152</v>
      </c>
      <c r="G11" s="31">
        <f>'WP 1.2 Forecast Sales'!M6*1000</f>
        <v>450339927.71392423</v>
      </c>
      <c r="H11" s="31">
        <f>'WP 1.2 Forecast Sales'!N6*1000</f>
        <v>572324671.75000429</v>
      </c>
      <c r="I11" s="31">
        <f>SUM(C11:H11)+SUM('Stmt BH - Page 2'!C11:H11)</f>
        <v>6059160276.4376383</v>
      </c>
      <c r="J11" s="240" t="s">
        <v>133</v>
      </c>
      <c r="K11" s="10">
        <v>1</v>
      </c>
    </row>
    <row r="12" spans="1:11" ht="15.75" x14ac:dyDescent="0.25">
      <c r="A12" s="10">
        <f>A11+1</f>
        <v>2</v>
      </c>
      <c r="B12" s="11"/>
      <c r="C12" s="398"/>
      <c r="D12" s="398"/>
      <c r="E12" s="398"/>
      <c r="F12" s="398"/>
      <c r="G12" s="398"/>
      <c r="H12" s="398"/>
      <c r="I12" s="398"/>
      <c r="J12" s="399"/>
      <c r="K12" s="10">
        <f>K11+1</f>
        <v>2</v>
      </c>
    </row>
    <row r="13" spans="1:11" ht="15.75" x14ac:dyDescent="0.25">
      <c r="A13" s="10">
        <f t="shared" ref="A13:A25" si="0">A12+1</f>
        <v>3</v>
      </c>
      <c r="B13" s="11" t="s">
        <v>134</v>
      </c>
      <c r="C13" s="31">
        <f>'WP 1.2 Forecast Sales'!I7*1000</f>
        <v>217705905.33345446</v>
      </c>
      <c r="D13" s="31">
        <f>'WP 1.2 Forecast Sales'!J7*1000</f>
        <v>229919024.856437</v>
      </c>
      <c r="E13" s="31">
        <f>'WP 1.2 Forecast Sales'!K7*1000</f>
        <v>241455993.41200775</v>
      </c>
      <c r="F13" s="31">
        <f>'WP 1.2 Forecast Sales'!L7*1000</f>
        <v>214159409.97047323</v>
      </c>
      <c r="G13" s="31">
        <f>'WP 1.2 Forecast Sales'!M7*1000</f>
        <v>197828256.87204242</v>
      </c>
      <c r="H13" s="31">
        <f>'WP 1.2 Forecast Sales'!N7*1000</f>
        <v>190835621.55890608</v>
      </c>
      <c r="I13" s="31">
        <f>SUM(C13:H13)+SUM('Stmt BH - Page 2'!C13:H13)</f>
        <v>2428289241.102088</v>
      </c>
      <c r="J13" s="240" t="s">
        <v>135</v>
      </c>
      <c r="K13" s="10">
        <f t="shared" ref="K13:K25" si="1">K12+1</f>
        <v>3</v>
      </c>
    </row>
    <row r="14" spans="1:11" ht="15.75" x14ac:dyDescent="0.25">
      <c r="A14" s="10">
        <f t="shared" si="0"/>
        <v>4</v>
      </c>
      <c r="B14" s="385"/>
      <c r="C14" s="393"/>
      <c r="D14" s="393"/>
      <c r="E14" s="393"/>
      <c r="F14" s="393"/>
      <c r="G14" s="393"/>
      <c r="H14" s="393"/>
      <c r="I14" s="31"/>
      <c r="J14" s="400"/>
      <c r="K14" s="10">
        <f t="shared" si="1"/>
        <v>4</v>
      </c>
    </row>
    <row r="15" spans="1:11" ht="15.75" x14ac:dyDescent="0.25">
      <c r="A15" s="10">
        <f t="shared" si="0"/>
        <v>5</v>
      </c>
      <c r="B15" s="17" t="s">
        <v>99</v>
      </c>
      <c r="C15" s="31">
        <f>'WP 1.2 Forecast Sales'!I8*1000</f>
        <v>838846181.36289918</v>
      </c>
      <c r="D15" s="31">
        <f>'WP 1.2 Forecast Sales'!J8*1000</f>
        <v>875481607.36812794</v>
      </c>
      <c r="E15" s="31">
        <f>'WP 1.2 Forecast Sales'!K8*1000</f>
        <v>915168821.98981917</v>
      </c>
      <c r="F15" s="31">
        <f>'WP 1.2 Forecast Sales'!L8*1000</f>
        <v>830726294.65735018</v>
      </c>
      <c r="G15" s="31">
        <f>'WP 1.2 Forecast Sales'!M8*1000</f>
        <v>757391548.70867193</v>
      </c>
      <c r="H15" s="31">
        <f>'WP 1.2 Forecast Sales'!N8*1000</f>
        <v>759868650.98507214</v>
      </c>
      <c r="I15" s="31">
        <f>SUM(C15:H15)+SUM('Stmt BH - Page 2'!C15:H15)</f>
        <v>9360728509.4514618</v>
      </c>
      <c r="J15" s="240" t="s">
        <v>136</v>
      </c>
      <c r="K15" s="10">
        <f t="shared" si="1"/>
        <v>5</v>
      </c>
    </row>
    <row r="16" spans="1:11" ht="15.75" x14ac:dyDescent="0.2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401"/>
      <c r="K16" s="10">
        <f t="shared" si="1"/>
        <v>6</v>
      </c>
    </row>
    <row r="17" spans="1:11" ht="15.75" x14ac:dyDescent="0.25">
      <c r="A17" s="10">
        <f t="shared" si="0"/>
        <v>7</v>
      </c>
      <c r="B17" s="11" t="s">
        <v>102</v>
      </c>
      <c r="C17" s="31">
        <f>'WP 1.2 Forecast Sales'!I10*1000</f>
        <v>2676412.3907148708</v>
      </c>
      <c r="D17" s="31">
        <f>'WP 1.2 Forecast Sales'!J10*1000</f>
        <v>2910383.5419004532</v>
      </c>
      <c r="E17" s="31">
        <f>'WP 1.2 Forecast Sales'!K10*1000</f>
        <v>2905089.7591926311</v>
      </c>
      <c r="F17" s="31">
        <f>'WP 1.2 Forecast Sales'!L10*1000</f>
        <v>2641582.8727467377</v>
      </c>
      <c r="G17" s="31">
        <f>'WP 1.2 Forecast Sales'!M10*1000</f>
        <v>2301898.6884789839</v>
      </c>
      <c r="H17" s="31">
        <f>'WP 1.2 Forecast Sales'!N10*1000</f>
        <v>2082510.0615704914</v>
      </c>
      <c r="I17" s="31">
        <f>SUM(C17:H17)+SUM('Stmt BH - Page 2'!C17:H17)</f>
        <v>25307561.11146291</v>
      </c>
      <c r="J17" s="240" t="s">
        <v>137</v>
      </c>
      <c r="K17" s="10">
        <f t="shared" si="1"/>
        <v>7</v>
      </c>
    </row>
    <row r="18" spans="1:11" ht="15.75" x14ac:dyDescent="0.2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401"/>
      <c r="K18" s="10">
        <f t="shared" si="1"/>
        <v>8</v>
      </c>
    </row>
    <row r="19" spans="1:11" ht="15.75" x14ac:dyDescent="0.25">
      <c r="A19" s="10">
        <f t="shared" si="0"/>
        <v>9</v>
      </c>
      <c r="B19" s="11" t="s">
        <v>105</v>
      </c>
      <c r="C19" s="31">
        <f>'WP 1.2 Forecast Sales'!I11*1000</f>
        <v>23004135.715861753</v>
      </c>
      <c r="D19" s="31">
        <f>'WP 1.2 Forecast Sales'!J11*1000</f>
        <v>22863150.521633886</v>
      </c>
      <c r="E19" s="31">
        <f>'WP 1.2 Forecast Sales'!K11*1000</f>
        <v>21957609.857486788</v>
      </c>
      <c r="F19" s="31">
        <f>'WP 1.2 Forecast Sales'!L11*1000</f>
        <v>21563167.661901116</v>
      </c>
      <c r="G19" s="31">
        <f>'WP 1.2 Forecast Sales'!M11*1000</f>
        <v>18985959.067639023</v>
      </c>
      <c r="H19" s="31">
        <f>'WP 1.2 Forecast Sales'!N11*1000</f>
        <v>18145457.05354834</v>
      </c>
      <c r="I19" s="31">
        <f>SUM(C19:H19)+SUM('Stmt BH - Page 2'!C19:H19)</f>
        <v>236072050.18631738</v>
      </c>
      <c r="J19" s="240" t="s">
        <v>138</v>
      </c>
      <c r="K19" s="10">
        <f t="shared" si="1"/>
        <v>9</v>
      </c>
    </row>
    <row r="20" spans="1:11" ht="15.75" x14ac:dyDescent="0.2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401"/>
      <c r="K20" s="10">
        <f t="shared" si="1"/>
        <v>10</v>
      </c>
    </row>
    <row r="21" spans="1:11" ht="15.75" x14ac:dyDescent="0.25">
      <c r="A21" s="10">
        <f t="shared" si="0"/>
        <v>11</v>
      </c>
      <c r="B21" s="11" t="s">
        <v>139</v>
      </c>
      <c r="C21" s="38">
        <f>'WP 1.2 Forecast Sales'!I12*1000</f>
        <v>6492050.2848719275</v>
      </c>
      <c r="D21" s="38">
        <f>'WP 1.2 Forecast Sales'!J12*1000</f>
        <v>6710608.6798682185</v>
      </c>
      <c r="E21" s="38">
        <f>'WP 1.2 Forecast Sales'!K12*1000</f>
        <v>6515194.0268120952</v>
      </c>
      <c r="F21" s="38">
        <f>'WP 1.2 Forecast Sales'!L12*1000</f>
        <v>6563322.3021757882</v>
      </c>
      <c r="G21" s="38">
        <f>'WP 1.2 Forecast Sales'!M12*1000</f>
        <v>6961959.9399219016</v>
      </c>
      <c r="H21" s="38">
        <f>'WP 1.2 Forecast Sales'!N12*1000</f>
        <v>7325918.825583267</v>
      </c>
      <c r="I21" s="38">
        <f>SUM(C21:H21)+SUM('Stmt BH - Page 2'!C21:H21)</f>
        <v>80243576.701337829</v>
      </c>
      <c r="J21" s="240" t="s">
        <v>140</v>
      </c>
      <c r="K21" s="10">
        <f t="shared" si="1"/>
        <v>11</v>
      </c>
    </row>
    <row r="22" spans="1:11" ht="15.75" x14ac:dyDescent="0.2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31"/>
      <c r="K22" s="10">
        <f t="shared" si="1"/>
        <v>12</v>
      </c>
    </row>
    <row r="23" spans="1:11" ht="16.5" thickBot="1" x14ac:dyDescent="0.3">
      <c r="A23" s="10">
        <f t="shared" si="0"/>
        <v>13</v>
      </c>
      <c r="B23" s="11" t="s">
        <v>124</v>
      </c>
      <c r="C23" s="474">
        <f>SUM(C11:C21)</f>
        <v>1546694162.404882</v>
      </c>
      <c r="D23" s="474">
        <f t="shared" ref="D23:I23" si="2">SUM(D11:D21)</f>
        <v>1769556783.6741953</v>
      </c>
      <c r="E23" s="474">
        <f t="shared" si="2"/>
        <v>1918950784.7307708</v>
      </c>
      <c r="F23" s="474">
        <f t="shared" si="2"/>
        <v>1607175700.2799785</v>
      </c>
      <c r="G23" s="474">
        <f t="shared" si="2"/>
        <v>1433809550.9906785</v>
      </c>
      <c r="H23" s="474">
        <f t="shared" si="2"/>
        <v>1550582830.2346845</v>
      </c>
      <c r="I23" s="474">
        <f t="shared" si="2"/>
        <v>18189801214.990307</v>
      </c>
      <c r="J23" s="404" t="s">
        <v>141</v>
      </c>
      <c r="K23" s="10">
        <f t="shared" si="1"/>
        <v>13</v>
      </c>
    </row>
    <row r="24" spans="1:11" ht="17.25" thickTop="1" thickBot="1" x14ac:dyDescent="0.3">
      <c r="A24" s="57">
        <f t="shared" si="0"/>
        <v>14</v>
      </c>
      <c r="B24" s="419"/>
      <c r="C24" s="825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75" x14ac:dyDescent="0.25">
      <c r="A25" s="10">
        <f t="shared" si="0"/>
        <v>15</v>
      </c>
      <c r="B25" s="420"/>
      <c r="C25" s="408"/>
      <c r="D25" s="408"/>
      <c r="E25" s="408"/>
      <c r="F25" s="408"/>
      <c r="G25" s="408"/>
      <c r="H25" s="408"/>
      <c r="I25" s="17"/>
      <c r="J25" s="17"/>
      <c r="K25" s="10">
        <f t="shared" si="1"/>
        <v>15</v>
      </c>
    </row>
    <row r="26" spans="1:11" ht="16.5" thickBot="1" x14ac:dyDescent="0.3">
      <c r="A26" s="57">
        <f>A25+1</f>
        <v>16</v>
      </c>
      <c r="B26" s="419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57"/>
      <c r="K26" s="57">
        <f>K25+1</f>
        <v>16</v>
      </c>
    </row>
    <row r="27" spans="1:11" ht="15.75" x14ac:dyDescent="0.25">
      <c r="A27" s="9">
        <f>A26+1</f>
        <v>17</v>
      </c>
      <c r="B27" s="8"/>
      <c r="C27" s="75"/>
      <c r="D27" s="9"/>
      <c r="E27" s="9"/>
      <c r="F27" s="9"/>
      <c r="G27" s="9"/>
      <c r="H27" s="9"/>
      <c r="I27" s="9"/>
      <c r="J27" s="409" t="str">
        <f>'Stmt BH - Page 2'!I27</f>
        <v>Statement BL (Retail); Page 1; Line 27</v>
      </c>
      <c r="K27" s="9">
        <f>K26+1</f>
        <v>17</v>
      </c>
    </row>
    <row r="28" spans="1:11" ht="15.75" x14ac:dyDescent="0.25">
      <c r="A28" s="10">
        <f>A27+1</f>
        <v>18</v>
      </c>
      <c r="B28" s="11" t="str">
        <f>'Stmt BH - Page 2'!B28</f>
        <v>Retail TRBAA Rate ($/kWh) @ Present Rate</v>
      </c>
      <c r="C28" s="384">
        <f>'Stmt BH - Page 2'!C28</f>
        <v>-2.8900000000000002E-3</v>
      </c>
      <c r="D28" s="384">
        <f>$C28</f>
        <v>-2.8900000000000002E-3</v>
      </c>
      <c r="E28" s="384">
        <f>$C28</f>
        <v>-2.8900000000000002E-3</v>
      </c>
      <c r="F28" s="384">
        <f>$C28</f>
        <v>-2.8900000000000002E-3</v>
      </c>
      <c r="G28" s="384">
        <f>$C28</f>
        <v>-2.8900000000000002E-3</v>
      </c>
      <c r="H28" s="384">
        <f>$C28</f>
        <v>-2.8900000000000002E-3</v>
      </c>
      <c r="I28" s="31"/>
      <c r="J28" s="399" t="str">
        <f>'Stmt BH - Page 2'!I28</f>
        <v>FERC Docket No. ER24-212-000</v>
      </c>
      <c r="K28" s="10">
        <f>K27+1</f>
        <v>18</v>
      </c>
    </row>
    <row r="29" spans="1:11" ht="16.5" thickBot="1" x14ac:dyDescent="0.3">
      <c r="A29" s="57">
        <f>A28+1</f>
        <v>19</v>
      </c>
      <c r="B29" s="419"/>
      <c r="C29" s="58"/>
      <c r="D29" s="58"/>
      <c r="E29" s="58"/>
      <c r="F29" s="58"/>
      <c r="G29" s="58"/>
      <c r="H29" s="58"/>
      <c r="I29" s="58"/>
      <c r="J29" s="410"/>
      <c r="K29" s="57">
        <f>K28+1</f>
        <v>19</v>
      </c>
    </row>
    <row r="30" spans="1:11" ht="15.75" x14ac:dyDescent="0.25">
      <c r="A30" s="10">
        <f t="shared" ref="A30:A45" si="3">A29+1</f>
        <v>20</v>
      </c>
      <c r="B30" s="11"/>
      <c r="C30" s="247"/>
      <c r="D30" s="247"/>
      <c r="E30" s="247"/>
      <c r="F30" s="247"/>
      <c r="G30" s="247"/>
      <c r="H30" s="247"/>
      <c r="I30" s="31"/>
      <c r="J30" s="17"/>
      <c r="K30" s="10">
        <f t="shared" ref="K30:K45" si="4">K29+1</f>
        <v>20</v>
      </c>
    </row>
    <row r="31" spans="1:11" ht="34.5" customHeight="1" thickBot="1" x14ac:dyDescent="0.3">
      <c r="A31" s="57">
        <f t="shared" si="3"/>
        <v>21</v>
      </c>
      <c r="B31" s="419"/>
      <c r="C31" s="411" t="s">
        <v>170</v>
      </c>
      <c r="D31" s="411" t="s">
        <v>170</v>
      </c>
      <c r="E31" s="411" t="s">
        <v>170</v>
      </c>
      <c r="F31" s="411" t="s">
        <v>170</v>
      </c>
      <c r="G31" s="411" t="s">
        <v>170</v>
      </c>
      <c r="H31" s="411" t="s">
        <v>170</v>
      </c>
      <c r="I31" s="411" t="s">
        <v>170</v>
      </c>
      <c r="J31" s="57"/>
      <c r="K31" s="57">
        <f t="shared" si="4"/>
        <v>21</v>
      </c>
    </row>
    <row r="32" spans="1:11" ht="15.75" x14ac:dyDescent="0.25">
      <c r="A32" s="10">
        <f t="shared" si="3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4"/>
        <v>22</v>
      </c>
    </row>
    <row r="33" spans="1:11" ht="15.75" x14ac:dyDescent="0.25">
      <c r="A33" s="10">
        <f t="shared" si="3"/>
        <v>23</v>
      </c>
      <c r="B33" s="11" t="s">
        <v>93</v>
      </c>
      <c r="C33" s="141">
        <f>C11*C$28</f>
        <v>-1323531.7894463604</v>
      </c>
      <c r="D33" s="141">
        <f t="shared" ref="D33:H33" si="5">D11*D$28</f>
        <v>-1825532.1051609984</v>
      </c>
      <c r="E33" s="141">
        <f t="shared" si="5"/>
        <v>-2112439.9387309579</v>
      </c>
      <c r="F33" s="141">
        <f t="shared" si="5"/>
        <v>-1536098.3569363081</v>
      </c>
      <c r="G33" s="141">
        <f t="shared" si="5"/>
        <v>-1301482.3910932411</v>
      </c>
      <c r="H33" s="141">
        <f t="shared" si="5"/>
        <v>-1654018.3013575126</v>
      </c>
      <c r="I33" s="141">
        <f>SUM('Stmt BH - Page 2'!C33:H33)+SUM('Stmt BH - Page 3'!C33:H33)</f>
        <v>-17510973.198904775</v>
      </c>
      <c r="J33" s="26" t="s">
        <v>146</v>
      </c>
      <c r="K33" s="10">
        <f t="shared" si="4"/>
        <v>23</v>
      </c>
    </row>
    <row r="34" spans="1:11" ht="15.75" x14ac:dyDescent="0.25">
      <c r="A34" s="10">
        <f t="shared" si="3"/>
        <v>24</v>
      </c>
      <c r="B34" s="11"/>
      <c r="C34" s="398"/>
      <c r="D34" s="398"/>
      <c r="E34" s="398"/>
      <c r="F34" s="398"/>
      <c r="G34" s="398"/>
      <c r="H34" s="398"/>
      <c r="I34" s="398"/>
      <c r="J34" s="404"/>
      <c r="K34" s="10">
        <f t="shared" si="4"/>
        <v>24</v>
      </c>
    </row>
    <row r="35" spans="1:11" ht="15.75" x14ac:dyDescent="0.25">
      <c r="A35" s="10">
        <f t="shared" si="3"/>
        <v>25</v>
      </c>
      <c r="B35" s="11" t="s">
        <v>134</v>
      </c>
      <c r="C35" s="44">
        <f>C13*C$28</f>
        <v>-629170.06641368347</v>
      </c>
      <c r="D35" s="44">
        <f t="shared" ref="D35:H35" si="6">D13*D$28</f>
        <v>-664465.98183510301</v>
      </c>
      <c r="E35" s="44">
        <f t="shared" si="6"/>
        <v>-697807.82096070249</v>
      </c>
      <c r="F35" s="44">
        <f t="shared" si="6"/>
        <v>-618920.69481466769</v>
      </c>
      <c r="G35" s="44">
        <f t="shared" si="6"/>
        <v>-571723.66236020264</v>
      </c>
      <c r="H35" s="44">
        <f t="shared" si="6"/>
        <v>-551514.94630523864</v>
      </c>
      <c r="I35" s="44">
        <f>SUM('Stmt BH - Page 2'!C35:H35)+SUM('Stmt BH - Page 3'!C35:H35)</f>
        <v>-7017755.9067850336</v>
      </c>
      <c r="J35" s="26" t="s">
        <v>147</v>
      </c>
      <c r="K35" s="10">
        <f t="shared" si="4"/>
        <v>25</v>
      </c>
    </row>
    <row r="36" spans="1:11" ht="15.75" x14ac:dyDescent="0.25">
      <c r="A36" s="10">
        <f t="shared" si="3"/>
        <v>26</v>
      </c>
      <c r="B36" s="385"/>
      <c r="C36" s="393"/>
      <c r="D36" s="393"/>
      <c r="E36" s="393"/>
      <c r="F36" s="393"/>
      <c r="G36" s="393"/>
      <c r="H36" s="393"/>
      <c r="I36" s="44"/>
      <c r="J36" s="26"/>
      <c r="K36" s="10">
        <f t="shared" si="4"/>
        <v>26</v>
      </c>
    </row>
    <row r="37" spans="1:11" ht="15.75" x14ac:dyDescent="0.25">
      <c r="A37" s="10">
        <f t="shared" si="3"/>
        <v>27</v>
      </c>
      <c r="B37" s="17" t="s">
        <v>99</v>
      </c>
      <c r="C37" s="44">
        <f>C15*C$28</f>
        <v>-2424265.4641387789</v>
      </c>
      <c r="D37" s="44">
        <f t="shared" ref="D37:H37" si="7">D15*D$28</f>
        <v>-2530141.8452938898</v>
      </c>
      <c r="E37" s="44">
        <f t="shared" si="7"/>
        <v>-2644837.8955505774</v>
      </c>
      <c r="F37" s="44">
        <f t="shared" si="7"/>
        <v>-2400798.991559742</v>
      </c>
      <c r="G37" s="44">
        <f t="shared" si="7"/>
        <v>-2188861.5757680619</v>
      </c>
      <c r="H37" s="44">
        <f t="shared" si="7"/>
        <v>-2196020.4013468586</v>
      </c>
      <c r="I37" s="44">
        <f>SUM('Stmt BH - Page 2'!C37:H37)+SUM('Stmt BH - Page 3'!C37:H37)</f>
        <v>-27052505.392314725</v>
      </c>
      <c r="J37" s="26" t="s">
        <v>148</v>
      </c>
      <c r="K37" s="10">
        <f t="shared" si="4"/>
        <v>27</v>
      </c>
    </row>
    <row r="38" spans="1:11" ht="15.75" x14ac:dyDescent="0.25">
      <c r="A38" s="10">
        <f t="shared" si="3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4"/>
        <v>28</v>
      </c>
    </row>
    <row r="39" spans="1:11" ht="15.75" x14ac:dyDescent="0.25">
      <c r="A39" s="10">
        <f t="shared" si="3"/>
        <v>29</v>
      </c>
      <c r="B39" s="11" t="s">
        <v>102</v>
      </c>
      <c r="C39" s="44">
        <f>C17*C$28</f>
        <v>-7734.8318091659767</v>
      </c>
      <c r="D39" s="44">
        <f t="shared" ref="D39:H39" si="8">D17*D$28</f>
        <v>-8411.0084360923101</v>
      </c>
      <c r="E39" s="44">
        <f t="shared" si="8"/>
        <v>-8395.7094040667052</v>
      </c>
      <c r="F39" s="44">
        <f t="shared" si="8"/>
        <v>-7634.1745022380728</v>
      </c>
      <c r="G39" s="44">
        <f t="shared" si="8"/>
        <v>-6652.4872097042644</v>
      </c>
      <c r="H39" s="44">
        <f t="shared" si="8"/>
        <v>-6018.4540779387207</v>
      </c>
      <c r="I39" s="44">
        <f>SUM('Stmt BH - Page 2'!C39:H39)+SUM('Stmt BH - Page 3'!C39:H39)</f>
        <v>-73138.851612127808</v>
      </c>
      <c r="J39" s="26" t="s">
        <v>149</v>
      </c>
      <c r="K39" s="10">
        <f t="shared" si="4"/>
        <v>29</v>
      </c>
    </row>
    <row r="40" spans="1:11" ht="15.75" x14ac:dyDescent="0.25">
      <c r="A40" s="10">
        <f t="shared" si="3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4"/>
        <v>30</v>
      </c>
    </row>
    <row r="41" spans="1:11" ht="15.75" x14ac:dyDescent="0.25">
      <c r="A41" s="10">
        <f t="shared" si="3"/>
        <v>31</v>
      </c>
      <c r="B41" s="11" t="s">
        <v>105</v>
      </c>
      <c r="C41" s="44">
        <f>C19*C$28</f>
        <v>-66481.952218840466</v>
      </c>
      <c r="D41" s="44">
        <f t="shared" ref="D41:H41" si="9">D19*D$28</f>
        <v>-66074.505007521933</v>
      </c>
      <c r="E41" s="44">
        <f t="shared" si="9"/>
        <v>-63457.492488136821</v>
      </c>
      <c r="F41" s="44">
        <f t="shared" si="9"/>
        <v>-62317.554542894228</v>
      </c>
      <c r="G41" s="44">
        <f t="shared" si="9"/>
        <v>-54869.42170547678</v>
      </c>
      <c r="H41" s="44">
        <f t="shared" si="9"/>
        <v>-52440.370884754702</v>
      </c>
      <c r="I41" s="44">
        <f>SUM('Stmt BH - Page 2'!C41:H41)+SUM('Stmt BH - Page 3'!C41:H41)</f>
        <v>-682248.22503845731</v>
      </c>
      <c r="J41" s="26" t="s">
        <v>150</v>
      </c>
      <c r="K41" s="10">
        <f t="shared" si="4"/>
        <v>31</v>
      </c>
    </row>
    <row r="42" spans="1:11" ht="15.75" x14ac:dyDescent="0.25">
      <c r="A42" s="10">
        <f t="shared" si="3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4"/>
        <v>32</v>
      </c>
    </row>
    <row r="43" spans="1:11" ht="15.75" x14ac:dyDescent="0.25">
      <c r="A43" s="10">
        <f t="shared" si="3"/>
        <v>33</v>
      </c>
      <c r="B43" s="11" t="s">
        <v>139</v>
      </c>
      <c r="C43" s="51">
        <f>C21*C$28</f>
        <v>-18762.025323279871</v>
      </c>
      <c r="D43" s="51">
        <f t="shared" ref="D43:H43" si="10">D21*D$28</f>
        <v>-19393.659084819152</v>
      </c>
      <c r="E43" s="51">
        <f t="shared" si="10"/>
        <v>-18828.910737486956</v>
      </c>
      <c r="F43" s="51">
        <f t="shared" si="10"/>
        <v>-18968.00145328803</v>
      </c>
      <c r="G43" s="51">
        <f t="shared" si="10"/>
        <v>-20120.064226374296</v>
      </c>
      <c r="H43" s="51">
        <f t="shared" si="10"/>
        <v>-21171.905405935642</v>
      </c>
      <c r="I43" s="44">
        <f>SUM('Stmt BH - Page 2'!C43:H43)+SUM('Stmt BH - Page 3'!C43:H43)</f>
        <v>-231903.93666686636</v>
      </c>
      <c r="J43" s="26" t="s">
        <v>151</v>
      </c>
      <c r="K43" s="10">
        <f t="shared" si="4"/>
        <v>33</v>
      </c>
    </row>
    <row r="44" spans="1:11" ht="15.75" x14ac:dyDescent="0.25">
      <c r="A44" s="10">
        <f t="shared" si="3"/>
        <v>34</v>
      </c>
      <c r="B44" s="11"/>
      <c r="C44" s="138"/>
      <c r="D44" s="138"/>
      <c r="E44" s="138"/>
      <c r="F44" s="138"/>
      <c r="G44" s="138"/>
      <c r="H44" s="138"/>
      <c r="I44" s="138"/>
      <c r="J44" s="26"/>
      <c r="K44" s="10">
        <f t="shared" si="4"/>
        <v>34</v>
      </c>
    </row>
    <row r="45" spans="1:11" ht="16.5" thickBot="1" x14ac:dyDescent="0.3">
      <c r="A45" s="10">
        <f t="shared" si="3"/>
        <v>35</v>
      </c>
      <c r="B45" s="11" t="s">
        <v>124</v>
      </c>
      <c r="C45" s="394">
        <f>SUM(C33:C43)</f>
        <v>-4469946.12935011</v>
      </c>
      <c r="D45" s="394">
        <f t="shared" ref="D45:I45" si="11">SUM(D33:D43)</f>
        <v>-5114019.1048184251</v>
      </c>
      <c r="E45" s="394">
        <f t="shared" si="11"/>
        <v>-5545767.7678719284</v>
      </c>
      <c r="F45" s="394">
        <f t="shared" si="11"/>
        <v>-4644737.7738091378</v>
      </c>
      <c r="G45" s="394">
        <f t="shared" si="11"/>
        <v>-4143709.6023630612</v>
      </c>
      <c r="H45" s="394">
        <f t="shared" si="11"/>
        <v>-4481184.3793782387</v>
      </c>
      <c r="I45" s="394">
        <f t="shared" si="11"/>
        <v>-52568525.511321984</v>
      </c>
      <c r="J45" s="405" t="s">
        <v>152</v>
      </c>
      <c r="K45" s="10">
        <f t="shared" si="4"/>
        <v>35</v>
      </c>
    </row>
    <row r="46" spans="1:11" ht="17.25" thickTop="1" thickBot="1" x14ac:dyDescent="0.3">
      <c r="A46" s="57"/>
      <c r="B46" s="81"/>
      <c r="C46" s="825"/>
      <c r="D46" s="58"/>
      <c r="E46" s="58"/>
      <c r="F46" s="58"/>
      <c r="G46" s="58"/>
      <c r="H46" s="58"/>
      <c r="I46" s="58"/>
      <c r="J46" s="58"/>
      <c r="K46" s="57"/>
    </row>
    <row r="47" spans="1:11" ht="15.75" x14ac:dyDescent="0.25">
      <c r="A47" s="37"/>
      <c r="B47" s="390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75" x14ac:dyDescent="0.25">
      <c r="A48" s="69"/>
      <c r="B48" s="22"/>
      <c r="C48" s="397"/>
      <c r="D48" s="22"/>
      <c r="E48" s="22"/>
      <c r="F48" s="22"/>
      <c r="G48" s="22"/>
      <c r="H48" s="22"/>
      <c r="I48" s="22"/>
      <c r="J48" s="22"/>
      <c r="K48" s="22"/>
    </row>
    <row r="49" spans="1:11" ht="15.75" x14ac:dyDescent="0.25">
      <c r="A49" s="826"/>
      <c r="B49" s="22"/>
      <c r="D49" s="22"/>
      <c r="E49" s="22"/>
      <c r="F49" s="22"/>
      <c r="G49" s="22"/>
      <c r="H49" s="22"/>
      <c r="I49" s="22"/>
      <c r="J49" s="22"/>
      <c r="K49" s="22"/>
    </row>
    <row r="50" spans="1:11" ht="15.75" x14ac:dyDescent="0.25">
      <c r="A50" s="826"/>
      <c r="B50" s="22"/>
      <c r="C50" s="827"/>
      <c r="D50" s="22"/>
      <c r="E50" s="22"/>
      <c r="F50" s="22"/>
      <c r="G50" s="22"/>
      <c r="H50" s="22"/>
      <c r="I50" s="22"/>
      <c r="J50" s="22"/>
      <c r="K50" s="22"/>
    </row>
    <row r="51" spans="1:11" ht="15.75" x14ac:dyDescent="0.25">
      <c r="A51" s="826"/>
      <c r="D51" s="22"/>
      <c r="E51" s="22"/>
      <c r="F51" s="22"/>
      <c r="G51" s="22"/>
      <c r="H51" s="22"/>
      <c r="I51" s="22"/>
      <c r="J51" s="22"/>
      <c r="K51" s="22"/>
    </row>
    <row r="52" spans="1:11" ht="15.75" x14ac:dyDescent="0.2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75" x14ac:dyDescent="0.2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75" x14ac:dyDescent="0.2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75" x14ac:dyDescent="0.2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75" x14ac:dyDescent="0.2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75" x14ac:dyDescent="0.2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75" x14ac:dyDescent="0.2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75" x14ac:dyDescent="0.2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75" x14ac:dyDescent="0.2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75" x14ac:dyDescent="0.2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75" x14ac:dyDescent="0.2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75" x14ac:dyDescent="0.2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75" x14ac:dyDescent="0.2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75" x14ac:dyDescent="0.2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75" x14ac:dyDescent="0.2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75" x14ac:dyDescent="0.2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75" x14ac:dyDescent="0.2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75" x14ac:dyDescent="0.2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75" x14ac:dyDescent="0.2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75" x14ac:dyDescent="0.2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75" x14ac:dyDescent="0.2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75" x14ac:dyDescent="0.2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75" x14ac:dyDescent="0.2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75" x14ac:dyDescent="0.2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75" x14ac:dyDescent="0.2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75" x14ac:dyDescent="0.2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75" x14ac:dyDescent="0.2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75" x14ac:dyDescent="0.2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75" x14ac:dyDescent="0.2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75" x14ac:dyDescent="0.2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75" x14ac:dyDescent="0.2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75" x14ac:dyDescent="0.2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75" x14ac:dyDescent="0.2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75" x14ac:dyDescent="0.2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75" x14ac:dyDescent="0.2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75" x14ac:dyDescent="0.2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75" x14ac:dyDescent="0.2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75" x14ac:dyDescent="0.2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75" x14ac:dyDescent="0.2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75" x14ac:dyDescent="0.2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75" x14ac:dyDescent="0.2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75" x14ac:dyDescent="0.2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75" x14ac:dyDescent="0.2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75" x14ac:dyDescent="0.2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75" x14ac:dyDescent="0.2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75" x14ac:dyDescent="0.2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75" x14ac:dyDescent="0.2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75" x14ac:dyDescent="0.2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75" x14ac:dyDescent="0.2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75" x14ac:dyDescent="0.2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75" x14ac:dyDescent="0.2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75" x14ac:dyDescent="0.2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75" x14ac:dyDescent="0.2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75" x14ac:dyDescent="0.2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75" x14ac:dyDescent="0.2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75" x14ac:dyDescent="0.2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75" x14ac:dyDescent="0.2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75" x14ac:dyDescent="0.2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75" x14ac:dyDescent="0.2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75" x14ac:dyDescent="0.2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">
      <c r="A112" s="826"/>
    </row>
    <row r="113" spans="1:1" x14ac:dyDescent="0.2">
      <c r="A113" s="826"/>
    </row>
    <row r="114" spans="1:1" x14ac:dyDescent="0.2">
      <c r="A114" s="826"/>
    </row>
    <row r="115" spans="1:1" x14ac:dyDescent="0.2">
      <c r="A115" s="826"/>
    </row>
    <row r="116" spans="1:1" x14ac:dyDescent="0.2">
      <c r="A116" s="826"/>
    </row>
    <row r="117" spans="1:1" x14ac:dyDescent="0.2">
      <c r="A117" s="826"/>
    </row>
    <row r="118" spans="1:1" x14ac:dyDescent="0.2">
      <c r="A118" s="826"/>
    </row>
    <row r="119" spans="1:1" x14ac:dyDescent="0.2">
      <c r="A119" s="826"/>
    </row>
    <row r="120" spans="1:1" x14ac:dyDescent="0.2">
      <c r="A120" s="826"/>
    </row>
    <row r="121" spans="1:1" x14ac:dyDescent="0.2">
      <c r="A121" s="826"/>
    </row>
    <row r="122" spans="1:1" x14ac:dyDescent="0.2">
      <c r="A122" s="826"/>
    </row>
  </sheetData>
  <mergeCells count="1">
    <mergeCell ref="A4:K4"/>
  </mergeCells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Roman,Regular"&amp;12&amp;F&amp;C&amp;"Times New Roman,Regular"&amp;12Page 3 of 3&amp;R&amp;"Times New Roman,Regular"&amp;12&amp;A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E34"/>
  <sheetViews>
    <sheetView zoomScale="80" zoomScaleNormal="80" workbookViewId="0"/>
  </sheetViews>
  <sheetFormatPr defaultColWidth="8.5703125" defaultRowHeight="12.75" x14ac:dyDescent="0.2"/>
  <cols>
    <col min="1" max="1" width="5.5703125" style="1" customWidth="1"/>
    <col min="2" max="2" width="55.5703125" style="2" customWidth="1"/>
    <col min="3" max="3" width="20.5703125" style="2" customWidth="1"/>
    <col min="4" max="4" width="40.5703125" style="1" customWidth="1"/>
    <col min="5" max="5" width="5.5703125" style="1" customWidth="1"/>
    <col min="6" max="7" width="15.5703125" style="1" customWidth="1"/>
    <col min="8" max="16384" width="8.5703125" style="1"/>
  </cols>
  <sheetData>
    <row r="2" spans="1:5" ht="15.75" x14ac:dyDescent="0.2">
      <c r="B2" s="5" t="s">
        <v>171</v>
      </c>
      <c r="C2" s="5"/>
      <c r="D2" s="6"/>
    </row>
    <row r="3" spans="1:5" ht="15.75" x14ac:dyDescent="0.2">
      <c r="B3" s="5" t="s">
        <v>1</v>
      </c>
      <c r="C3" s="5"/>
      <c r="D3" s="6"/>
    </row>
    <row r="4" spans="1:5" ht="15.75" x14ac:dyDescent="0.2">
      <c r="B4" s="5" t="str">
        <f>'Stmnt BD - Recorded KWH'!A4</f>
        <v>2025 - TRBAA Rate Filing</v>
      </c>
      <c r="C4" s="5"/>
      <c r="D4" s="6"/>
    </row>
    <row r="5" spans="1:5" ht="18.600000000000001" customHeight="1" x14ac:dyDescent="0.2">
      <c r="B5" s="5" t="s">
        <v>172</v>
      </c>
      <c r="C5" s="5"/>
      <c r="D5" s="6"/>
    </row>
    <row r="6" spans="1:5" ht="16.5" thickBot="1" x14ac:dyDescent="0.25">
      <c r="A6" s="55"/>
      <c r="B6" s="579"/>
      <c r="C6" s="579"/>
      <c r="D6" s="580"/>
      <c r="E6" s="55"/>
    </row>
    <row r="7" spans="1:5" ht="15.75" x14ac:dyDescent="0.25">
      <c r="A7" s="549" t="s">
        <v>8</v>
      </c>
      <c r="B7" s="75"/>
      <c r="C7" s="576" t="s">
        <v>18</v>
      </c>
      <c r="D7" s="33"/>
      <c r="E7" s="550" t="s">
        <v>8</v>
      </c>
    </row>
    <row r="8" spans="1:5" ht="16.5" thickBot="1" x14ac:dyDescent="0.3">
      <c r="A8" s="567" t="s">
        <v>11</v>
      </c>
      <c r="B8" s="153" t="s">
        <v>173</v>
      </c>
      <c r="C8" s="581" t="s">
        <v>174</v>
      </c>
      <c r="D8" s="582" t="s">
        <v>16</v>
      </c>
      <c r="E8" s="568" t="s">
        <v>11</v>
      </c>
    </row>
    <row r="9" spans="1:5" ht="15.75" x14ac:dyDescent="0.25">
      <c r="A9" s="332"/>
      <c r="B9" s="11"/>
      <c r="C9" s="824"/>
      <c r="D9" s="91"/>
      <c r="E9" s="348"/>
    </row>
    <row r="10" spans="1:5" ht="15.75" x14ac:dyDescent="0.25">
      <c r="A10" s="262">
        <v>1</v>
      </c>
      <c r="B10" s="18" t="s">
        <v>496</v>
      </c>
      <c r="C10" s="439">
        <f>'WP 4 Monthly TRBAA '!O38</f>
        <v>-4388350.026621067</v>
      </c>
      <c r="D10" s="61" t="s">
        <v>175</v>
      </c>
      <c r="E10" s="263">
        <v>1</v>
      </c>
    </row>
    <row r="11" spans="1:5" ht="15.75" x14ac:dyDescent="0.25">
      <c r="A11" s="262">
        <f>A10+1</f>
        <v>2</v>
      </c>
      <c r="B11" s="17"/>
      <c r="C11" s="91"/>
      <c r="D11" s="33"/>
      <c r="E11" s="263">
        <f>E10+1</f>
        <v>2</v>
      </c>
    </row>
    <row r="12" spans="1:5" ht="15.75" x14ac:dyDescent="0.25">
      <c r="A12" s="262">
        <f t="shared" ref="A12:A32" si="0">A11+1</f>
        <v>3</v>
      </c>
      <c r="B12" s="20" t="s">
        <v>176</v>
      </c>
      <c r="C12" s="236"/>
      <c r="D12" s="61"/>
      <c r="E12" s="263">
        <f t="shared" ref="E12:E32" si="1">E11+1</f>
        <v>3</v>
      </c>
    </row>
    <row r="13" spans="1:5" ht="15.75" x14ac:dyDescent="0.25">
      <c r="A13" s="262">
        <f t="shared" si="0"/>
        <v>4</v>
      </c>
      <c r="B13" s="17"/>
      <c r="C13" s="441"/>
      <c r="D13" s="33"/>
      <c r="E13" s="263">
        <f t="shared" si="1"/>
        <v>4</v>
      </c>
    </row>
    <row r="14" spans="1:5" ht="15.75" x14ac:dyDescent="0.25">
      <c r="A14" s="262">
        <f t="shared" si="0"/>
        <v>5</v>
      </c>
      <c r="B14" s="18" t="s">
        <v>177</v>
      </c>
      <c r="C14" s="237">
        <f>'WP 7 Wheeling Revenues'!E37</f>
        <v>-35001351.080000006</v>
      </c>
      <c r="D14" s="61" t="s">
        <v>178</v>
      </c>
      <c r="E14" s="263">
        <f t="shared" si="1"/>
        <v>5</v>
      </c>
    </row>
    <row r="15" spans="1:5" ht="15.75" x14ac:dyDescent="0.25">
      <c r="A15" s="262">
        <f t="shared" si="0"/>
        <v>6</v>
      </c>
      <c r="B15" s="17"/>
      <c r="C15" s="821"/>
      <c r="D15" s="33"/>
      <c r="E15" s="263">
        <f t="shared" si="1"/>
        <v>6</v>
      </c>
    </row>
    <row r="16" spans="1:5" ht="15.75" x14ac:dyDescent="0.25">
      <c r="A16" s="262">
        <f t="shared" si="0"/>
        <v>7</v>
      </c>
      <c r="B16" s="18" t="s">
        <v>179</v>
      </c>
      <c r="C16" s="237">
        <f>'WP 8 CT4575'!C34</f>
        <v>18000</v>
      </c>
      <c r="D16" s="61" t="s">
        <v>180</v>
      </c>
      <c r="E16" s="263">
        <f t="shared" si="1"/>
        <v>7</v>
      </c>
    </row>
    <row r="17" spans="1:5" ht="15.75" x14ac:dyDescent="0.25">
      <c r="A17" s="262">
        <f t="shared" si="0"/>
        <v>8</v>
      </c>
      <c r="B17" s="17"/>
      <c r="C17" s="821"/>
      <c r="D17" s="33"/>
      <c r="E17" s="263">
        <f t="shared" si="1"/>
        <v>8</v>
      </c>
    </row>
    <row r="18" spans="1:5" ht="15.75" x14ac:dyDescent="0.25">
      <c r="A18" s="262">
        <f t="shared" si="0"/>
        <v>9</v>
      </c>
      <c r="B18" s="18" t="s">
        <v>181</v>
      </c>
      <c r="C18" s="237">
        <f>'WP 9 ETC Cost Diffs'!C34</f>
        <v>-291439.30342000001</v>
      </c>
      <c r="D18" s="61" t="s">
        <v>182</v>
      </c>
      <c r="E18" s="263">
        <f t="shared" si="1"/>
        <v>9</v>
      </c>
    </row>
    <row r="19" spans="1:5" ht="15.75" x14ac:dyDescent="0.25">
      <c r="A19" s="262">
        <f t="shared" si="0"/>
        <v>10</v>
      </c>
      <c r="B19" s="17"/>
      <c r="C19" s="821"/>
      <c r="D19" s="33"/>
      <c r="E19" s="263">
        <f t="shared" si="1"/>
        <v>10</v>
      </c>
    </row>
    <row r="20" spans="1:5" ht="15.75" x14ac:dyDescent="0.25">
      <c r="A20" s="262">
        <f t="shared" si="0"/>
        <v>11</v>
      </c>
      <c r="B20" s="18" t="s">
        <v>183</v>
      </c>
      <c r="C20" s="440">
        <f>'WP 11 Other PTO Forecast'!C34</f>
        <v>-673737.34658000013</v>
      </c>
      <c r="D20" s="61" t="s">
        <v>184</v>
      </c>
      <c r="E20" s="263">
        <f t="shared" si="1"/>
        <v>11</v>
      </c>
    </row>
    <row r="21" spans="1:5" ht="15.75" x14ac:dyDescent="0.25">
      <c r="A21" s="262">
        <f t="shared" si="0"/>
        <v>12</v>
      </c>
      <c r="B21" s="17"/>
      <c r="C21" s="238"/>
      <c r="D21" s="33"/>
      <c r="E21" s="263">
        <f t="shared" si="1"/>
        <v>12</v>
      </c>
    </row>
    <row r="22" spans="1:5" ht="15.75" x14ac:dyDescent="0.25">
      <c r="A22" s="262">
        <f t="shared" si="0"/>
        <v>13</v>
      </c>
      <c r="B22" s="477" t="s">
        <v>185</v>
      </c>
      <c r="C22" s="254">
        <f>SUM(C14:C20)</f>
        <v>-35948527.730000004</v>
      </c>
      <c r="D22" s="61" t="s">
        <v>186</v>
      </c>
      <c r="E22" s="263">
        <f t="shared" si="1"/>
        <v>13</v>
      </c>
    </row>
    <row r="23" spans="1:5" ht="15.75" x14ac:dyDescent="0.25">
      <c r="A23" s="262">
        <f t="shared" si="0"/>
        <v>14</v>
      </c>
      <c r="B23" s="18"/>
      <c r="C23" s="238"/>
      <c r="D23" s="61"/>
      <c r="E23" s="263">
        <f t="shared" si="1"/>
        <v>14</v>
      </c>
    </row>
    <row r="24" spans="1:5" ht="15.75" x14ac:dyDescent="0.25">
      <c r="A24" s="262">
        <f t="shared" si="0"/>
        <v>15</v>
      </c>
      <c r="B24" s="11" t="s">
        <v>187</v>
      </c>
      <c r="C24" s="254">
        <f>C10+C22</f>
        <v>-40336877.75662107</v>
      </c>
      <c r="D24" s="61" t="s">
        <v>188</v>
      </c>
      <c r="E24" s="263">
        <f t="shared" si="1"/>
        <v>15</v>
      </c>
    </row>
    <row r="25" spans="1:5" ht="15.75" x14ac:dyDescent="0.25">
      <c r="A25" s="262">
        <f t="shared" si="0"/>
        <v>16</v>
      </c>
      <c r="B25" s="11"/>
      <c r="C25" s="238"/>
      <c r="D25" s="62"/>
      <c r="E25" s="263">
        <f t="shared" si="1"/>
        <v>16</v>
      </c>
    </row>
    <row r="26" spans="1:5" ht="15.75" x14ac:dyDescent="0.25">
      <c r="A26" s="262">
        <f t="shared" si="0"/>
        <v>17</v>
      </c>
      <c r="B26" s="11" t="s">
        <v>480</v>
      </c>
      <c r="C26" s="238">
        <f>C24*0.010207</f>
        <v>-411718.51126183127</v>
      </c>
      <c r="D26" s="61" t="s">
        <v>482</v>
      </c>
      <c r="E26" s="263">
        <f t="shared" si="1"/>
        <v>17</v>
      </c>
    </row>
    <row r="27" spans="1:5" ht="15.75" x14ac:dyDescent="0.25">
      <c r="A27" s="262">
        <f t="shared" si="0"/>
        <v>18</v>
      </c>
      <c r="B27" s="11"/>
      <c r="C27" s="238"/>
      <c r="D27" s="62"/>
      <c r="E27" s="263">
        <f t="shared" si="1"/>
        <v>18</v>
      </c>
    </row>
    <row r="28" spans="1:5" ht="15.75" x14ac:dyDescent="0.25">
      <c r="A28" s="262">
        <f t="shared" si="0"/>
        <v>19</v>
      </c>
      <c r="B28" s="11" t="s">
        <v>481</v>
      </c>
      <c r="C28" s="252">
        <f>C24*0.00205</f>
        <v>-82690.599401073196</v>
      </c>
      <c r="D28" s="61" t="s">
        <v>483</v>
      </c>
      <c r="E28" s="263">
        <f t="shared" si="1"/>
        <v>19</v>
      </c>
    </row>
    <row r="29" spans="1:5" ht="15.75" x14ac:dyDescent="0.25">
      <c r="A29" s="262">
        <f t="shared" si="0"/>
        <v>20</v>
      </c>
      <c r="B29" s="11"/>
      <c r="C29" s="238"/>
      <c r="D29" s="62"/>
      <c r="E29" s="263">
        <f t="shared" si="1"/>
        <v>20</v>
      </c>
    </row>
    <row r="30" spans="1:5" ht="15.75" x14ac:dyDescent="0.25">
      <c r="A30" s="262">
        <f t="shared" si="0"/>
        <v>21</v>
      </c>
      <c r="B30" s="11" t="s">
        <v>189</v>
      </c>
      <c r="C30" s="252">
        <f>SUM(C26:C28)</f>
        <v>-494409.11066290445</v>
      </c>
      <c r="D30" s="61" t="s">
        <v>190</v>
      </c>
      <c r="E30" s="263">
        <f t="shared" si="1"/>
        <v>21</v>
      </c>
    </row>
    <row r="31" spans="1:5" ht="15.75" x14ac:dyDescent="0.25">
      <c r="A31" s="262">
        <f t="shared" si="0"/>
        <v>22</v>
      </c>
      <c r="B31" s="11"/>
      <c r="C31" s="238"/>
      <c r="D31" s="62"/>
      <c r="E31" s="263">
        <f t="shared" si="1"/>
        <v>22</v>
      </c>
    </row>
    <row r="32" spans="1:5" ht="16.5" thickBot="1" x14ac:dyDescent="0.3">
      <c r="A32" s="262">
        <f t="shared" si="0"/>
        <v>23</v>
      </c>
      <c r="B32" s="11" t="s">
        <v>191</v>
      </c>
      <c r="C32" s="414">
        <f>C24+C30</f>
        <v>-40831286.867283978</v>
      </c>
      <c r="D32" s="61" t="s">
        <v>192</v>
      </c>
      <c r="E32" s="263">
        <f t="shared" si="1"/>
        <v>23</v>
      </c>
    </row>
    <row r="33" spans="1:5" ht="17.25" thickTop="1" thickBot="1" x14ac:dyDescent="0.3">
      <c r="A33" s="574"/>
      <c r="B33" s="81"/>
      <c r="C33" s="554"/>
      <c r="D33" s="575"/>
      <c r="E33" s="406"/>
    </row>
    <row r="34" spans="1:5" ht="15.75" x14ac:dyDescent="0.25">
      <c r="A34" s="22"/>
      <c r="B34" s="22"/>
      <c r="C34" s="22"/>
      <c r="D34" s="37"/>
      <c r="E34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1&amp;R&amp;"Times New Roman,Regular"&amp;12&amp;A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J90"/>
  <sheetViews>
    <sheetView zoomScale="80" zoomScaleNormal="80" workbookViewId="0"/>
  </sheetViews>
  <sheetFormatPr defaultColWidth="8.5703125" defaultRowHeight="12.75" x14ac:dyDescent="0.2"/>
  <cols>
    <col min="1" max="1" width="5.5703125" style="1" customWidth="1"/>
    <col min="2" max="2" width="55.5703125" style="2" customWidth="1"/>
    <col min="3" max="4" width="22.5703125" style="1" bestFit="1" customWidth="1"/>
    <col min="5" max="5" width="20.5703125" style="1" customWidth="1"/>
    <col min="6" max="6" width="50.5703125" style="1" customWidth="1"/>
    <col min="7" max="7" width="5.5703125" style="1" customWidth="1"/>
    <col min="8" max="9" width="15.5703125" style="179" customWidth="1"/>
    <col min="10" max="10" width="11.42578125" style="179" customWidth="1"/>
    <col min="11" max="16384" width="8.5703125" style="1"/>
  </cols>
  <sheetData>
    <row r="2" spans="1:7" ht="15.75" x14ac:dyDescent="0.2">
      <c r="B2" s="5" t="s">
        <v>193</v>
      </c>
      <c r="C2" s="6"/>
      <c r="D2" s="6"/>
      <c r="E2" s="6"/>
      <c r="F2" s="6"/>
    </row>
    <row r="3" spans="1:7" ht="15.75" x14ac:dyDescent="0.2">
      <c r="B3" s="5" t="s">
        <v>1</v>
      </c>
      <c r="C3" s="6"/>
      <c r="D3" s="6"/>
      <c r="E3" s="6"/>
      <c r="F3" s="6"/>
    </row>
    <row r="4" spans="1:7" ht="15.75" x14ac:dyDescent="0.2">
      <c r="B4" s="5" t="str">
        <f>'Stmnt BK1 - TRBAA'!B4</f>
        <v>2025 - TRBAA Rate Filing</v>
      </c>
      <c r="C4" s="6"/>
      <c r="D4" s="6"/>
      <c r="E4" s="6"/>
      <c r="F4" s="6"/>
    </row>
    <row r="5" spans="1:7" ht="15.75" x14ac:dyDescent="0.2">
      <c r="B5" s="5" t="s">
        <v>194</v>
      </c>
      <c r="C5" s="6"/>
      <c r="D5" s="6"/>
      <c r="E5" s="6"/>
      <c r="F5" s="6"/>
    </row>
    <row r="6" spans="1:7" ht="16.5" thickBot="1" x14ac:dyDescent="0.25">
      <c r="B6" s="5"/>
      <c r="C6" s="6"/>
      <c r="D6" s="6"/>
      <c r="E6" s="6"/>
      <c r="F6" s="6"/>
    </row>
    <row r="7" spans="1:7" ht="15.75" x14ac:dyDescent="0.25">
      <c r="A7" s="286"/>
      <c r="B7" s="587"/>
      <c r="C7" s="588" t="s">
        <v>3</v>
      </c>
      <c r="D7" s="589" t="s">
        <v>4</v>
      </c>
      <c r="E7" s="589" t="s">
        <v>195</v>
      </c>
      <c r="F7" s="590"/>
      <c r="G7" s="546"/>
    </row>
    <row r="8" spans="1:7" ht="15.75" x14ac:dyDescent="0.25">
      <c r="A8" s="547"/>
      <c r="B8" s="74"/>
      <c r="C8" s="576" t="s">
        <v>18</v>
      </c>
      <c r="D8" s="75" t="s">
        <v>18</v>
      </c>
      <c r="E8" s="75" t="s">
        <v>18</v>
      </c>
      <c r="F8" s="33"/>
      <c r="G8" s="548"/>
    </row>
    <row r="9" spans="1:7" ht="21.75" customHeight="1" x14ac:dyDescent="0.25">
      <c r="A9" s="549"/>
      <c r="B9" s="74"/>
      <c r="C9" s="583" t="s">
        <v>196</v>
      </c>
      <c r="D9" s="584" t="s">
        <v>197</v>
      </c>
      <c r="E9" s="584" t="s">
        <v>198</v>
      </c>
      <c r="F9" s="33"/>
      <c r="G9" s="550"/>
    </row>
    <row r="10" spans="1:7" ht="15.75" x14ac:dyDescent="0.25">
      <c r="A10" s="549" t="s">
        <v>8</v>
      </c>
      <c r="B10" s="75"/>
      <c r="C10" s="577" t="s">
        <v>199</v>
      </c>
      <c r="D10" s="585" t="s">
        <v>199</v>
      </c>
      <c r="E10" s="585" t="s">
        <v>200</v>
      </c>
      <c r="F10" s="33"/>
      <c r="G10" s="550" t="s">
        <v>8</v>
      </c>
    </row>
    <row r="11" spans="1:7" ht="16.5" thickBot="1" x14ac:dyDescent="0.3">
      <c r="A11" s="567" t="s">
        <v>11</v>
      </c>
      <c r="B11" s="153" t="s">
        <v>173</v>
      </c>
      <c r="C11" s="582" t="s">
        <v>201</v>
      </c>
      <c r="D11" s="591" t="s">
        <v>201</v>
      </c>
      <c r="E11" s="591" t="s">
        <v>201</v>
      </c>
      <c r="F11" s="582" t="s">
        <v>16</v>
      </c>
      <c r="G11" s="568" t="s">
        <v>11</v>
      </c>
    </row>
    <row r="12" spans="1:7" ht="15.75" x14ac:dyDescent="0.25">
      <c r="A12" s="332"/>
      <c r="B12" s="11"/>
      <c r="C12" s="821"/>
      <c r="D12" s="17"/>
      <c r="E12" s="17"/>
      <c r="F12" s="91"/>
      <c r="G12" s="348"/>
    </row>
    <row r="13" spans="1:7" ht="18.75" x14ac:dyDescent="0.25">
      <c r="A13" s="262">
        <v>1</v>
      </c>
      <c r="B13" s="11" t="s">
        <v>202</v>
      </c>
      <c r="C13" s="259">
        <v>493162962.94898325</v>
      </c>
      <c r="D13" s="103">
        <v>519265174.11431122</v>
      </c>
      <c r="E13" s="103">
        <f>C13+D13</f>
        <v>1012428137.0632944</v>
      </c>
      <c r="F13" s="61" t="s">
        <v>203</v>
      </c>
      <c r="G13" s="263">
        <v>1</v>
      </c>
    </row>
    <row r="14" spans="1:7" ht="15.75" x14ac:dyDescent="0.25">
      <c r="A14" s="262">
        <f>A13+1</f>
        <v>2</v>
      </c>
      <c r="B14" s="11"/>
      <c r="C14" s="822"/>
      <c r="D14" s="16"/>
      <c r="E14" s="16"/>
      <c r="F14" s="33"/>
      <c r="G14" s="263">
        <f>G13+1</f>
        <v>2</v>
      </c>
    </row>
    <row r="15" spans="1:7" ht="15.75" x14ac:dyDescent="0.25">
      <c r="A15" s="262">
        <f t="shared" ref="A15:A37" si="0">A14+1</f>
        <v>3</v>
      </c>
      <c r="B15" s="18" t="str">
        <f>'Stmnt BK1 - TRBAA'!B10</f>
        <v>Beginning TRBAA Balance @ 9/30/2024</v>
      </c>
      <c r="C15" s="252">
        <f>'WP 2 Allocation of TRBAA'!D24</f>
        <v>-4306434</v>
      </c>
      <c r="D15" s="38">
        <f>'WP 2 Allocation of TRBAA'!E24</f>
        <v>-81916</v>
      </c>
      <c r="E15" s="38">
        <f>C15+D15</f>
        <v>-4388350</v>
      </c>
      <c r="F15" s="61" t="s">
        <v>204</v>
      </c>
      <c r="G15" s="263">
        <f>G14+1</f>
        <v>3</v>
      </c>
    </row>
    <row r="16" spans="1:7" ht="15.75" x14ac:dyDescent="0.25">
      <c r="A16" s="262">
        <f t="shared" si="0"/>
        <v>4</v>
      </c>
      <c r="B16" s="17"/>
      <c r="C16" s="238"/>
      <c r="D16" s="31"/>
      <c r="E16" s="31"/>
      <c r="F16" s="33"/>
      <c r="G16" s="263">
        <f>G15+1</f>
        <v>4</v>
      </c>
    </row>
    <row r="17" spans="1:7" ht="15.75" x14ac:dyDescent="0.25">
      <c r="A17" s="262">
        <f t="shared" si="0"/>
        <v>5</v>
      </c>
      <c r="B17" s="20" t="s">
        <v>176</v>
      </c>
      <c r="C17" s="238"/>
      <c r="D17" s="31"/>
      <c r="E17" s="31"/>
      <c r="F17" s="61"/>
      <c r="G17" s="263">
        <f>G16+1</f>
        <v>5</v>
      </c>
    </row>
    <row r="18" spans="1:7" ht="15.75" x14ac:dyDescent="0.25">
      <c r="A18" s="262">
        <f t="shared" si="0"/>
        <v>6</v>
      </c>
      <c r="B18" s="17"/>
      <c r="C18" s="238"/>
      <c r="D18" s="31"/>
      <c r="E18" s="31"/>
      <c r="F18" s="33"/>
      <c r="G18" s="263">
        <f t="shared" ref="G18:G37" si="1">G17+1</f>
        <v>6</v>
      </c>
    </row>
    <row r="19" spans="1:7" ht="15.75" x14ac:dyDescent="0.25">
      <c r="A19" s="262">
        <f t="shared" si="0"/>
        <v>7</v>
      </c>
      <c r="B19" s="18" t="s">
        <v>205</v>
      </c>
      <c r="C19" s="238">
        <f>'WP 6 HV LV Alloc Summary'!C26</f>
        <v>-35001351.080000006</v>
      </c>
      <c r="D19" s="238">
        <f>'WP 6 HV LV Alloc Summary'!D26</f>
        <v>0</v>
      </c>
      <c r="E19" s="31">
        <f>C19+D19</f>
        <v>-35001351.080000006</v>
      </c>
      <c r="F19" s="61" t="s">
        <v>206</v>
      </c>
      <c r="G19" s="263">
        <f t="shared" si="1"/>
        <v>7</v>
      </c>
    </row>
    <row r="20" spans="1:7" ht="15.75" x14ac:dyDescent="0.25">
      <c r="A20" s="262">
        <f t="shared" si="0"/>
        <v>8</v>
      </c>
      <c r="B20" s="17"/>
      <c r="C20" s="238"/>
      <c r="D20" s="31"/>
      <c r="E20" s="31"/>
      <c r="F20" s="33"/>
      <c r="G20" s="263">
        <f t="shared" si="1"/>
        <v>8</v>
      </c>
    </row>
    <row r="21" spans="1:7" ht="15.75" x14ac:dyDescent="0.25">
      <c r="A21" s="262">
        <f t="shared" si="0"/>
        <v>9</v>
      </c>
      <c r="B21" s="18" t="s">
        <v>207</v>
      </c>
      <c r="C21" s="238">
        <f>'WP 6 HV LV Alloc Summary'!C33</f>
        <v>8751.6</v>
      </c>
      <c r="D21" s="238">
        <f>'WP 6 HV LV Alloc Summary'!D33</f>
        <v>9248.4000000000015</v>
      </c>
      <c r="E21" s="31">
        <f>C21+D21</f>
        <v>18000</v>
      </c>
      <c r="F21" s="61" t="s">
        <v>208</v>
      </c>
      <c r="G21" s="263">
        <f t="shared" si="1"/>
        <v>9</v>
      </c>
    </row>
    <row r="22" spans="1:7" ht="15.75" x14ac:dyDescent="0.25">
      <c r="A22" s="262">
        <f t="shared" si="0"/>
        <v>10</v>
      </c>
      <c r="B22" s="17"/>
      <c r="C22" s="238"/>
      <c r="D22" s="31"/>
      <c r="E22" s="31"/>
      <c r="F22" s="33"/>
      <c r="G22" s="263">
        <f t="shared" si="1"/>
        <v>10</v>
      </c>
    </row>
    <row r="23" spans="1:7" ht="15.75" x14ac:dyDescent="0.25">
      <c r="A23" s="262">
        <f t="shared" si="0"/>
        <v>11</v>
      </c>
      <c r="B23" s="18" t="s">
        <v>209</v>
      </c>
      <c r="C23" s="238">
        <f>'WP 6 HV LV Alloc Summary'!C39</f>
        <v>-141697.78932280402</v>
      </c>
      <c r="D23" s="238">
        <f>'WP 6 HV LV Alloc Summary'!D39</f>
        <v>-149741.51409719602</v>
      </c>
      <c r="E23" s="31">
        <f>C23+D23</f>
        <v>-291439.30342000001</v>
      </c>
      <c r="F23" s="61" t="s">
        <v>210</v>
      </c>
      <c r="G23" s="263">
        <f t="shared" si="1"/>
        <v>11</v>
      </c>
    </row>
    <row r="24" spans="1:7" ht="15.75" x14ac:dyDescent="0.25">
      <c r="A24" s="262">
        <f t="shared" si="0"/>
        <v>12</v>
      </c>
      <c r="B24" s="17"/>
      <c r="C24" s="238"/>
      <c r="D24" s="31"/>
      <c r="E24" s="31"/>
      <c r="F24" s="33"/>
      <c r="G24" s="263">
        <f t="shared" si="1"/>
        <v>12</v>
      </c>
    </row>
    <row r="25" spans="1:7" ht="15.75" x14ac:dyDescent="0.25">
      <c r="A25" s="262">
        <f t="shared" si="0"/>
        <v>13</v>
      </c>
      <c r="B25" s="18" t="s">
        <v>183</v>
      </c>
      <c r="C25" s="252">
        <f>'WP 6 HV LV Alloc Summary'!C49</f>
        <v>-143186.82170319601</v>
      </c>
      <c r="D25" s="252">
        <f>'WP 6 HV LV Alloc Summary'!D49</f>
        <v>-530550.52487680409</v>
      </c>
      <c r="E25" s="38">
        <f>C25+D25</f>
        <v>-673737.34658000013</v>
      </c>
      <c r="F25" s="61" t="s">
        <v>211</v>
      </c>
      <c r="G25" s="263">
        <f t="shared" si="1"/>
        <v>13</v>
      </c>
    </row>
    <row r="26" spans="1:7" ht="15.75" x14ac:dyDescent="0.25">
      <c r="A26" s="262">
        <f t="shared" si="0"/>
        <v>14</v>
      </c>
      <c r="B26" s="17"/>
      <c r="C26" s="238"/>
      <c r="D26" s="31"/>
      <c r="E26" s="31"/>
      <c r="F26" s="33"/>
      <c r="G26" s="263">
        <f t="shared" si="1"/>
        <v>14</v>
      </c>
    </row>
    <row r="27" spans="1:7" ht="15.75" x14ac:dyDescent="0.25">
      <c r="A27" s="262">
        <f t="shared" si="0"/>
        <v>15</v>
      </c>
      <c r="B27" s="542" t="s">
        <v>185</v>
      </c>
      <c r="C27" s="38">
        <f>SUM(C19:C25)</f>
        <v>-35277484.091026001</v>
      </c>
      <c r="D27" s="331">
        <f>SUM(D19:D25)</f>
        <v>-671043.63897400012</v>
      </c>
      <c r="E27" s="38">
        <f>SUM(E19:E25)</f>
        <v>-35948527.730000004</v>
      </c>
      <c r="F27" s="61" t="s">
        <v>212</v>
      </c>
      <c r="G27" s="263">
        <f t="shared" si="1"/>
        <v>15</v>
      </c>
    </row>
    <row r="28" spans="1:7" ht="15.75" x14ac:dyDescent="0.25">
      <c r="A28" s="262">
        <f t="shared" si="0"/>
        <v>16</v>
      </c>
      <c r="B28" s="477"/>
      <c r="C28" s="238"/>
      <c r="D28" s="31"/>
      <c r="E28" s="31"/>
      <c r="F28" s="61"/>
      <c r="G28" s="263">
        <f t="shared" si="1"/>
        <v>16</v>
      </c>
    </row>
    <row r="29" spans="1:7" ht="15.75" x14ac:dyDescent="0.25">
      <c r="A29" s="262">
        <f t="shared" si="0"/>
        <v>17</v>
      </c>
      <c r="B29" s="18" t="s">
        <v>213</v>
      </c>
      <c r="C29" s="238">
        <f>C15+C27</f>
        <v>-39583918.091026001</v>
      </c>
      <c r="D29" s="238">
        <f>D15+D27</f>
        <v>-752959.63897400012</v>
      </c>
      <c r="E29" s="238">
        <f t="shared" ref="E29" si="2">E15+E27</f>
        <v>-40336877.730000004</v>
      </c>
      <c r="F29" s="61" t="s">
        <v>214</v>
      </c>
      <c r="G29" s="263">
        <f t="shared" si="1"/>
        <v>17</v>
      </c>
    </row>
    <row r="30" spans="1:7" ht="15.75" x14ac:dyDescent="0.25">
      <c r="A30" s="262">
        <f t="shared" si="0"/>
        <v>18</v>
      </c>
      <c r="B30" s="477"/>
      <c r="C30" s="238"/>
      <c r="D30" s="31"/>
      <c r="E30" s="31"/>
      <c r="F30" s="61"/>
      <c r="G30" s="263">
        <f t="shared" si="1"/>
        <v>18</v>
      </c>
    </row>
    <row r="31" spans="1:7" ht="15.75" x14ac:dyDescent="0.25">
      <c r="A31" s="262">
        <f t="shared" si="0"/>
        <v>19</v>
      </c>
      <c r="B31" s="478" t="s">
        <v>480</v>
      </c>
      <c r="C31" s="252">
        <f>C29*0.010207</f>
        <v>-404033.05195510242</v>
      </c>
      <c r="D31" s="38">
        <f>D29*0.010207</f>
        <v>-7685.4590350076196</v>
      </c>
      <c r="E31" s="38">
        <f>C31+D31</f>
        <v>-411718.51099011005</v>
      </c>
      <c r="F31" s="61" t="s">
        <v>486</v>
      </c>
      <c r="G31" s="263">
        <f t="shared" si="1"/>
        <v>19</v>
      </c>
    </row>
    <row r="32" spans="1:7" ht="15.75" x14ac:dyDescent="0.25">
      <c r="A32" s="262">
        <f t="shared" si="0"/>
        <v>20</v>
      </c>
      <c r="B32" s="478"/>
      <c r="C32" s="238"/>
      <c r="D32" s="31"/>
      <c r="E32" s="31"/>
      <c r="F32" s="61"/>
      <c r="G32" s="263">
        <f t="shared" si="1"/>
        <v>20</v>
      </c>
    </row>
    <row r="33" spans="1:9" ht="15.75" x14ac:dyDescent="0.25">
      <c r="A33" s="262">
        <f t="shared" si="0"/>
        <v>21</v>
      </c>
      <c r="B33" s="56" t="s">
        <v>215</v>
      </c>
      <c r="C33" s="51">
        <f>C29+C31</f>
        <v>-39987951.142981105</v>
      </c>
      <c r="D33" s="51">
        <f>D29+D31</f>
        <v>-760645.09800900775</v>
      </c>
      <c r="E33" s="51">
        <f>E29+E31</f>
        <v>-40748596.240990117</v>
      </c>
      <c r="F33" s="61" t="s">
        <v>190</v>
      </c>
      <c r="G33" s="263">
        <f t="shared" si="1"/>
        <v>21</v>
      </c>
      <c r="I33" s="973"/>
    </row>
    <row r="34" spans="1:9" ht="15.75" x14ac:dyDescent="0.25">
      <c r="A34" s="262">
        <f t="shared" si="0"/>
        <v>22</v>
      </c>
      <c r="B34" s="11"/>
      <c r="C34" s="528"/>
      <c r="D34" s="44"/>
      <c r="E34" s="44"/>
      <c r="F34" s="62"/>
      <c r="G34" s="263">
        <f t="shared" si="1"/>
        <v>22</v>
      </c>
    </row>
    <row r="35" spans="1:9" ht="18.75" x14ac:dyDescent="0.25">
      <c r="A35" s="262">
        <f t="shared" si="0"/>
        <v>23</v>
      </c>
      <c r="B35" s="11" t="s">
        <v>216</v>
      </c>
      <c r="C35" s="445">
        <f>'WP 3 Standby Revenues'!C15</f>
        <v>-7768656</v>
      </c>
      <c r="D35" s="51">
        <f>'WP 3 Standby Revenues'!D15</f>
        <v>-8179836</v>
      </c>
      <c r="E35" s="51">
        <f>C35+D35</f>
        <v>-15948492</v>
      </c>
      <c r="F35" s="61" t="s">
        <v>217</v>
      </c>
      <c r="G35" s="263">
        <f t="shared" si="1"/>
        <v>23</v>
      </c>
    </row>
    <row r="36" spans="1:9" ht="15.75" x14ac:dyDescent="0.25">
      <c r="A36" s="262">
        <f t="shared" si="0"/>
        <v>24</v>
      </c>
      <c r="B36" s="17"/>
      <c r="C36" s="442"/>
      <c r="D36" s="476"/>
      <c r="E36" s="476"/>
      <c r="F36" s="61"/>
      <c r="G36" s="263">
        <f t="shared" si="1"/>
        <v>24</v>
      </c>
    </row>
    <row r="37" spans="1:9" ht="16.5" thickBot="1" x14ac:dyDescent="0.3">
      <c r="A37" s="262">
        <f t="shared" si="0"/>
        <v>25</v>
      </c>
      <c r="B37" s="11" t="s">
        <v>218</v>
      </c>
      <c r="C37" s="507">
        <f>C13+C33+C35</f>
        <v>445406355.80600214</v>
      </c>
      <c r="D37" s="232">
        <f>D13+D33+D35</f>
        <v>510324693.01630223</v>
      </c>
      <c r="E37" s="232">
        <f>E13+E33+E35</f>
        <v>955731048.82230425</v>
      </c>
      <c r="F37" s="61" t="s">
        <v>219</v>
      </c>
      <c r="G37" s="263">
        <f t="shared" si="1"/>
        <v>25</v>
      </c>
    </row>
    <row r="38" spans="1:9" ht="17.25" thickTop="1" thickBot="1" x14ac:dyDescent="0.3">
      <c r="A38" s="574"/>
      <c r="B38" s="81"/>
      <c r="C38" s="823"/>
      <c r="D38" s="81"/>
      <c r="E38" s="81"/>
      <c r="F38" s="554"/>
      <c r="G38" s="406"/>
    </row>
    <row r="39" spans="1:9" ht="15.75" x14ac:dyDescent="0.25">
      <c r="A39" s="22"/>
      <c r="B39" s="22"/>
      <c r="C39" s="3"/>
      <c r="D39" s="22"/>
      <c r="E39" s="22"/>
      <c r="F39" s="22"/>
      <c r="G39" s="22"/>
    </row>
    <row r="40" spans="1:9" ht="15.75" x14ac:dyDescent="0.25">
      <c r="A40" s="22"/>
      <c r="B40" s="22"/>
      <c r="C40" s="143"/>
      <c r="D40" s="143"/>
      <c r="E40" s="22"/>
      <c r="F40" s="22"/>
      <c r="G40" s="22"/>
    </row>
    <row r="41" spans="1:9" ht="18.75" x14ac:dyDescent="0.25">
      <c r="A41" s="83" t="s">
        <v>125</v>
      </c>
      <c r="B41" s="50" t="s">
        <v>519</v>
      </c>
      <c r="C41" s="22"/>
      <c r="D41" s="22"/>
      <c r="E41" s="22"/>
      <c r="F41" s="22"/>
      <c r="G41" s="22"/>
    </row>
    <row r="42" spans="1:9" ht="18.75" x14ac:dyDescent="0.25">
      <c r="A42" s="83">
        <v>2</v>
      </c>
      <c r="B42" s="50" t="s">
        <v>520</v>
      </c>
      <c r="C42" s="22"/>
      <c r="D42" s="22"/>
      <c r="E42" s="22"/>
      <c r="F42" s="22"/>
      <c r="G42" s="22"/>
    </row>
    <row r="43" spans="1:9" ht="18.75" x14ac:dyDescent="0.25">
      <c r="A43" s="69"/>
      <c r="B43" s="50"/>
      <c r="C43" s="22"/>
      <c r="D43" s="22"/>
      <c r="E43" s="22"/>
      <c r="F43" s="22"/>
      <c r="G43" s="22"/>
    </row>
    <row r="44" spans="1:9" ht="15.75" x14ac:dyDescent="0.25">
      <c r="A44" s="22"/>
      <c r="B44" s="50"/>
      <c r="C44" s="22"/>
      <c r="D44" s="22"/>
      <c r="E44" s="22"/>
      <c r="F44" s="22"/>
      <c r="G44" s="22"/>
    </row>
    <row r="45" spans="1:9" ht="15.75" x14ac:dyDescent="0.25">
      <c r="A45" s="22"/>
      <c r="B45" s="50"/>
      <c r="C45" s="22"/>
      <c r="D45" s="22"/>
      <c r="E45" s="22"/>
      <c r="F45" s="22"/>
      <c r="G45" s="22"/>
    </row>
    <row r="46" spans="1:9" ht="15.75" x14ac:dyDescent="0.25">
      <c r="A46" s="22"/>
      <c r="B46" s="50"/>
      <c r="C46" s="22"/>
      <c r="D46" s="22"/>
      <c r="E46" s="22"/>
      <c r="F46" s="22"/>
      <c r="G46" s="22"/>
    </row>
    <row r="47" spans="1:9" ht="15.75" x14ac:dyDescent="0.25">
      <c r="A47" s="22"/>
      <c r="B47" s="50"/>
      <c r="C47" s="22"/>
      <c r="D47" s="22"/>
      <c r="E47" s="22"/>
      <c r="F47" s="22"/>
      <c r="G47" s="22"/>
    </row>
    <row r="48" spans="1:9" ht="15.75" x14ac:dyDescent="0.25">
      <c r="A48" s="22"/>
      <c r="B48" s="50"/>
      <c r="C48" s="22"/>
      <c r="D48" s="22"/>
      <c r="E48" s="22"/>
      <c r="F48" s="22"/>
      <c r="G48" s="22"/>
    </row>
    <row r="49" spans="1:7" ht="15.75" x14ac:dyDescent="0.25">
      <c r="A49" s="22"/>
      <c r="B49" s="50"/>
      <c r="C49" s="22"/>
      <c r="D49" s="22"/>
      <c r="E49" s="22"/>
      <c r="F49" s="22"/>
      <c r="G49" s="22"/>
    </row>
    <row r="50" spans="1:7" ht="15.75" x14ac:dyDescent="0.25">
      <c r="A50" s="22"/>
      <c r="B50" s="50"/>
      <c r="C50" s="22"/>
      <c r="D50" s="22"/>
      <c r="E50" s="22"/>
      <c r="F50" s="22"/>
      <c r="G50" s="22"/>
    </row>
    <row r="51" spans="1:7" ht="15.75" x14ac:dyDescent="0.25">
      <c r="A51" s="22"/>
      <c r="B51" s="50"/>
      <c r="C51" s="22"/>
      <c r="D51" s="22"/>
      <c r="E51" s="22"/>
      <c r="F51" s="22"/>
      <c r="G51" s="22"/>
    </row>
    <row r="52" spans="1:7" ht="15.75" x14ac:dyDescent="0.25">
      <c r="A52" s="22"/>
      <c r="B52" s="50"/>
      <c r="C52" s="22"/>
      <c r="D52" s="22"/>
      <c r="E52" s="22"/>
      <c r="F52" s="22"/>
      <c r="G52" s="22"/>
    </row>
    <row r="53" spans="1:7" ht="15.75" x14ac:dyDescent="0.25">
      <c r="A53" s="22"/>
      <c r="B53" s="50"/>
      <c r="C53" s="22"/>
      <c r="D53" s="22"/>
      <c r="E53" s="22"/>
      <c r="F53" s="22"/>
      <c r="G53" s="22"/>
    </row>
    <row r="54" spans="1:7" ht="15.75" x14ac:dyDescent="0.25">
      <c r="A54" s="22"/>
      <c r="B54" s="50"/>
      <c r="C54" s="22"/>
      <c r="D54" s="22"/>
      <c r="E54" s="22"/>
      <c r="F54" s="22"/>
      <c r="G54" s="22"/>
    </row>
    <row r="55" spans="1:7" ht="15.75" x14ac:dyDescent="0.25">
      <c r="A55" s="22"/>
      <c r="B55" s="50"/>
      <c r="C55" s="22"/>
      <c r="D55" s="22"/>
      <c r="E55" s="22"/>
      <c r="F55" s="22"/>
      <c r="G55" s="22"/>
    </row>
    <row r="56" spans="1:7" ht="15.75" x14ac:dyDescent="0.25">
      <c r="A56" s="22"/>
      <c r="B56" s="50"/>
      <c r="C56" s="22"/>
      <c r="D56" s="22"/>
      <c r="E56" s="22"/>
      <c r="F56" s="22"/>
      <c r="G56" s="22"/>
    </row>
    <row r="57" spans="1:7" ht="15.75" x14ac:dyDescent="0.25">
      <c r="A57" s="22"/>
      <c r="B57" s="50"/>
      <c r="C57" s="22"/>
      <c r="D57" s="22"/>
      <c r="E57" s="22"/>
      <c r="F57" s="22"/>
      <c r="G57" s="22"/>
    </row>
    <row r="58" spans="1:7" ht="15.75" x14ac:dyDescent="0.25">
      <c r="A58" s="22"/>
      <c r="B58" s="50"/>
      <c r="C58" s="22"/>
      <c r="D58" s="22"/>
      <c r="E58" s="22"/>
      <c r="F58" s="22"/>
      <c r="G58" s="22"/>
    </row>
    <row r="59" spans="1:7" ht="15.75" x14ac:dyDescent="0.25">
      <c r="A59" s="22"/>
      <c r="B59" s="50"/>
      <c r="C59" s="22"/>
      <c r="D59" s="22"/>
      <c r="E59" s="22"/>
      <c r="F59" s="22"/>
      <c r="G59" s="22"/>
    </row>
    <row r="60" spans="1:7" ht="15.75" x14ac:dyDescent="0.25">
      <c r="A60" s="22"/>
      <c r="B60" s="50"/>
      <c r="C60" s="22"/>
      <c r="D60" s="22"/>
      <c r="E60" s="22"/>
      <c r="F60" s="22"/>
      <c r="G60" s="22"/>
    </row>
    <row r="61" spans="1:7" ht="15.75" x14ac:dyDescent="0.25">
      <c r="A61" s="22"/>
      <c r="B61" s="50"/>
      <c r="C61" s="22"/>
      <c r="D61" s="22"/>
      <c r="E61" s="22"/>
      <c r="F61" s="22"/>
      <c r="G61" s="22"/>
    </row>
    <row r="62" spans="1:7" ht="15.75" x14ac:dyDescent="0.25">
      <c r="A62" s="22"/>
      <c r="B62" s="50"/>
      <c r="C62" s="22"/>
      <c r="D62" s="22"/>
      <c r="E62" s="22"/>
      <c r="F62" s="22"/>
      <c r="G62" s="22"/>
    </row>
    <row r="63" spans="1:7" ht="15.75" x14ac:dyDescent="0.25">
      <c r="A63" s="22"/>
      <c r="B63" s="50"/>
      <c r="C63" s="22"/>
      <c r="D63" s="22"/>
      <c r="E63" s="22"/>
      <c r="F63" s="22"/>
      <c r="G63" s="22"/>
    </row>
    <row r="64" spans="1:7" ht="15.75" x14ac:dyDescent="0.25">
      <c r="A64" s="22"/>
      <c r="B64" s="50"/>
      <c r="C64" s="22"/>
      <c r="D64" s="22"/>
      <c r="E64" s="22"/>
      <c r="F64" s="22"/>
      <c r="G64" s="22"/>
    </row>
    <row r="65" spans="1:7" ht="15.75" x14ac:dyDescent="0.25">
      <c r="A65" s="22"/>
      <c r="B65" s="50"/>
      <c r="C65" s="22"/>
      <c r="D65" s="22"/>
      <c r="E65" s="22"/>
      <c r="F65" s="22"/>
      <c r="G65" s="22"/>
    </row>
    <row r="66" spans="1:7" ht="15.75" x14ac:dyDescent="0.25">
      <c r="A66" s="22"/>
      <c r="B66" s="50"/>
      <c r="C66" s="22"/>
      <c r="D66" s="22"/>
      <c r="E66" s="22"/>
      <c r="F66" s="22"/>
      <c r="G66" s="22"/>
    </row>
    <row r="67" spans="1:7" ht="15.75" x14ac:dyDescent="0.25">
      <c r="A67" s="22"/>
      <c r="B67" s="50"/>
      <c r="C67" s="22"/>
      <c r="D67" s="22"/>
      <c r="E67" s="22"/>
      <c r="F67" s="22"/>
      <c r="G67" s="22"/>
    </row>
    <row r="68" spans="1:7" ht="15.75" x14ac:dyDescent="0.25">
      <c r="A68" s="22"/>
      <c r="B68" s="50"/>
      <c r="C68" s="22"/>
      <c r="D68" s="22"/>
      <c r="E68" s="22"/>
      <c r="F68" s="22"/>
      <c r="G68" s="22"/>
    </row>
    <row r="69" spans="1:7" ht="15.75" x14ac:dyDescent="0.25">
      <c r="A69" s="22"/>
      <c r="B69" s="50"/>
      <c r="C69" s="22"/>
      <c r="D69" s="22"/>
      <c r="E69" s="22"/>
      <c r="F69" s="22"/>
      <c r="G69" s="22"/>
    </row>
    <row r="70" spans="1:7" ht="15.75" x14ac:dyDescent="0.25">
      <c r="A70" s="22"/>
      <c r="B70" s="50"/>
      <c r="C70" s="22"/>
      <c r="D70" s="22"/>
      <c r="E70" s="22"/>
      <c r="F70" s="22"/>
      <c r="G70" s="22"/>
    </row>
    <row r="71" spans="1:7" ht="15.75" x14ac:dyDescent="0.25">
      <c r="A71" s="22"/>
      <c r="B71" s="50"/>
      <c r="C71" s="22"/>
      <c r="D71" s="22"/>
      <c r="E71" s="22"/>
      <c r="F71" s="22"/>
      <c r="G71" s="22"/>
    </row>
    <row r="72" spans="1:7" ht="15.75" x14ac:dyDescent="0.25">
      <c r="A72" s="22"/>
      <c r="B72" s="50"/>
      <c r="C72" s="22"/>
      <c r="D72" s="22"/>
      <c r="E72" s="22"/>
      <c r="F72" s="22"/>
      <c r="G72" s="22"/>
    </row>
    <row r="73" spans="1:7" ht="15.75" x14ac:dyDescent="0.25">
      <c r="A73" s="22"/>
      <c r="B73" s="50"/>
      <c r="C73" s="22"/>
      <c r="D73" s="22"/>
      <c r="E73" s="22"/>
      <c r="F73" s="22"/>
      <c r="G73" s="22"/>
    </row>
    <row r="74" spans="1:7" ht="15.75" x14ac:dyDescent="0.25">
      <c r="A74" s="22"/>
      <c r="B74" s="50"/>
      <c r="C74" s="22"/>
      <c r="D74" s="22"/>
      <c r="E74" s="22"/>
      <c r="F74" s="22"/>
      <c r="G74" s="22"/>
    </row>
    <row r="75" spans="1:7" ht="15.75" x14ac:dyDescent="0.25">
      <c r="A75" s="22"/>
      <c r="B75" s="50"/>
      <c r="C75" s="22"/>
      <c r="D75" s="22"/>
      <c r="E75" s="22"/>
      <c r="F75" s="22"/>
      <c r="G75" s="22"/>
    </row>
    <row r="76" spans="1:7" ht="15.75" x14ac:dyDescent="0.25">
      <c r="A76" s="22"/>
      <c r="B76" s="50"/>
      <c r="C76" s="22"/>
      <c r="D76" s="22"/>
      <c r="E76" s="22"/>
      <c r="F76" s="22"/>
      <c r="G76" s="22"/>
    </row>
    <row r="77" spans="1:7" ht="15.75" x14ac:dyDescent="0.25">
      <c r="A77" s="22"/>
      <c r="B77" s="50"/>
      <c r="C77" s="22"/>
      <c r="D77" s="22"/>
      <c r="E77" s="22"/>
      <c r="F77" s="22"/>
      <c r="G77" s="22"/>
    </row>
    <row r="78" spans="1:7" ht="15.75" x14ac:dyDescent="0.25">
      <c r="A78" s="22"/>
      <c r="B78" s="50"/>
      <c r="C78" s="22"/>
      <c r="D78" s="22"/>
      <c r="E78" s="22"/>
      <c r="F78" s="22"/>
      <c r="G78" s="22"/>
    </row>
    <row r="79" spans="1:7" ht="15.75" x14ac:dyDescent="0.25">
      <c r="A79" s="22"/>
      <c r="B79" s="50"/>
      <c r="C79" s="22"/>
      <c r="D79" s="22"/>
      <c r="E79" s="22"/>
      <c r="F79" s="22"/>
      <c r="G79" s="22"/>
    </row>
    <row r="80" spans="1:7" ht="15.75" x14ac:dyDescent="0.25">
      <c r="A80" s="22"/>
      <c r="B80" s="50"/>
      <c r="C80" s="22"/>
      <c r="D80" s="22"/>
      <c r="E80" s="22"/>
      <c r="F80" s="22"/>
      <c r="G80" s="22"/>
    </row>
    <row r="81" spans="1:7" ht="15.75" x14ac:dyDescent="0.25">
      <c r="A81" s="22"/>
      <c r="B81" s="50"/>
      <c r="C81" s="22"/>
      <c r="D81" s="22"/>
      <c r="E81" s="22"/>
      <c r="F81" s="22"/>
      <c r="G81" s="22"/>
    </row>
    <row r="82" spans="1:7" ht="15.75" x14ac:dyDescent="0.25">
      <c r="A82" s="22"/>
      <c r="B82" s="50"/>
      <c r="C82" s="22"/>
      <c r="D82" s="22"/>
      <c r="E82" s="22"/>
      <c r="F82" s="22"/>
      <c r="G82" s="22"/>
    </row>
    <row r="83" spans="1:7" ht="15.75" x14ac:dyDescent="0.25">
      <c r="A83" s="22"/>
      <c r="B83" s="50"/>
      <c r="C83" s="22"/>
      <c r="D83" s="22"/>
      <c r="E83" s="22"/>
      <c r="F83" s="22"/>
      <c r="G83" s="22"/>
    </row>
    <row r="84" spans="1:7" ht="15.75" x14ac:dyDescent="0.25">
      <c r="A84" s="22"/>
      <c r="B84" s="50"/>
      <c r="C84" s="22"/>
      <c r="D84" s="22"/>
      <c r="E84" s="22"/>
      <c r="F84" s="22"/>
      <c r="G84" s="22"/>
    </row>
    <row r="85" spans="1:7" ht="15.75" x14ac:dyDescent="0.25">
      <c r="A85" s="22"/>
      <c r="B85" s="50"/>
      <c r="C85" s="22"/>
      <c r="D85" s="22"/>
      <c r="E85" s="22"/>
      <c r="F85" s="22"/>
      <c r="G85" s="22"/>
    </row>
    <row r="86" spans="1:7" ht="15.75" x14ac:dyDescent="0.25">
      <c r="A86" s="22"/>
      <c r="B86" s="50"/>
      <c r="C86" s="22"/>
      <c r="D86" s="22"/>
      <c r="E86" s="22"/>
      <c r="F86" s="22"/>
      <c r="G86" s="22"/>
    </row>
    <row r="87" spans="1:7" ht="15.75" x14ac:dyDescent="0.25">
      <c r="A87" s="22"/>
      <c r="B87" s="50"/>
      <c r="C87" s="22"/>
      <c r="D87" s="22"/>
      <c r="E87" s="22"/>
      <c r="F87" s="22"/>
      <c r="G87" s="22"/>
    </row>
    <row r="88" spans="1:7" ht="15.75" x14ac:dyDescent="0.25">
      <c r="A88" s="22"/>
      <c r="B88" s="50"/>
      <c r="C88" s="22"/>
      <c r="D88" s="22"/>
      <c r="E88" s="22"/>
      <c r="F88" s="22"/>
      <c r="G88" s="22"/>
    </row>
    <row r="89" spans="1:7" ht="15.75" x14ac:dyDescent="0.25">
      <c r="A89" s="22"/>
      <c r="B89" s="50"/>
      <c r="C89" s="22"/>
      <c r="D89" s="22"/>
      <c r="E89" s="22"/>
      <c r="F89" s="22"/>
      <c r="G89" s="22"/>
    </row>
    <row r="90" spans="1:7" ht="15.75" x14ac:dyDescent="0.25">
      <c r="A90" s="22"/>
      <c r="B90" s="50"/>
      <c r="C90" s="22"/>
      <c r="D90" s="22"/>
      <c r="E90" s="22"/>
      <c r="F90" s="22"/>
      <c r="G90" s="22"/>
    </row>
  </sheetData>
  <phoneticPr fontId="0" type="noConversion"/>
  <printOptions horizontalCentered="1"/>
  <pageMargins left="0.25" right="0.25" top="0.5" bottom="0.5" header="0.25" footer="0.25"/>
  <pageSetup scale="74" orientation="landscape" r:id="rId1"/>
  <headerFooter alignWithMargins="0">
    <oddFooter>&amp;L&amp;"Times New Roman,Regular"&amp;12&amp;F&amp;C&amp;"Times New Roman,Regular"&amp;12Page 1&amp;R&amp;"Times New Roman,Regular"&amp;12&amp;A</oddFooter>
  </headerFooter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46"/>
  <sheetViews>
    <sheetView zoomScale="80" zoomScaleNormal="80" workbookViewId="0"/>
  </sheetViews>
  <sheetFormatPr defaultColWidth="8.5703125" defaultRowHeight="12.75" x14ac:dyDescent="0.2"/>
  <cols>
    <col min="1" max="1" width="5.5703125" style="1" customWidth="1"/>
    <col min="2" max="2" width="55.5703125" style="2" customWidth="1"/>
    <col min="3" max="3" width="20.5703125" style="2" customWidth="1"/>
    <col min="4" max="4" width="40.5703125" style="1" customWidth="1"/>
    <col min="5" max="5" width="5.5703125" style="1" customWidth="1"/>
    <col min="6" max="6" width="15.5703125" style="1" customWidth="1"/>
    <col min="7" max="7" width="15.5703125" style="179" customWidth="1"/>
    <col min="8" max="16384" width="8.5703125" style="1"/>
  </cols>
  <sheetData>
    <row r="2" spans="1:5" ht="15.75" x14ac:dyDescent="0.2">
      <c r="B2" s="5" t="s">
        <v>220</v>
      </c>
      <c r="C2" s="5"/>
      <c r="D2" s="6"/>
    </row>
    <row r="3" spans="1:5" ht="15.75" x14ac:dyDescent="0.2">
      <c r="B3" s="5" t="s">
        <v>1</v>
      </c>
      <c r="C3" s="5"/>
      <c r="D3" s="6"/>
    </row>
    <row r="4" spans="1:5" ht="15.75" x14ac:dyDescent="0.2">
      <c r="B4" s="5" t="str">
        <f>'Stmnt BK1 - TRBAA'!B4</f>
        <v>2025 - TRBAA Rate Filing</v>
      </c>
      <c r="C4" s="5"/>
      <c r="D4" s="6"/>
    </row>
    <row r="5" spans="1:5" ht="15.75" x14ac:dyDescent="0.2">
      <c r="B5" s="5" t="s">
        <v>221</v>
      </c>
      <c r="C5" s="5"/>
      <c r="D5" s="6"/>
    </row>
    <row r="6" spans="1:5" ht="16.5" thickBot="1" x14ac:dyDescent="0.25">
      <c r="B6" s="5"/>
      <c r="C6" s="5"/>
      <c r="D6" s="6"/>
    </row>
    <row r="7" spans="1:5" ht="15.75" x14ac:dyDescent="0.25">
      <c r="A7" s="555" t="s">
        <v>8</v>
      </c>
      <c r="B7" s="455"/>
      <c r="C7" s="590" t="s">
        <v>18</v>
      </c>
      <c r="D7" s="592"/>
      <c r="E7" s="557" t="s">
        <v>8</v>
      </c>
    </row>
    <row r="8" spans="1:5" ht="16.5" thickBot="1" x14ac:dyDescent="0.3">
      <c r="A8" s="567" t="s">
        <v>11</v>
      </c>
      <c r="B8" s="153" t="s">
        <v>173</v>
      </c>
      <c r="C8" s="581" t="s">
        <v>174</v>
      </c>
      <c r="D8" s="582" t="s">
        <v>16</v>
      </c>
      <c r="E8" s="568" t="s">
        <v>11</v>
      </c>
    </row>
    <row r="9" spans="1:5" ht="15.75" x14ac:dyDescent="0.25">
      <c r="A9" s="332"/>
      <c r="B9" s="11"/>
      <c r="C9" s="235"/>
      <c r="D9" s="91"/>
      <c r="E9" s="348"/>
    </row>
    <row r="10" spans="1:5" ht="15.75" x14ac:dyDescent="0.25">
      <c r="A10" s="262">
        <v>1</v>
      </c>
      <c r="B10" s="18" t="s">
        <v>496</v>
      </c>
      <c r="C10" s="439">
        <f>'WP 4 Monthly TRBAA '!O38</f>
        <v>-4388350.026621067</v>
      </c>
      <c r="D10" s="61" t="str">
        <f>'Stmnt BK1 - TRBAA'!D10</f>
        <v>Work paper No. 4; Page 4.4; Line 32</v>
      </c>
      <c r="E10" s="263">
        <v>1</v>
      </c>
    </row>
    <row r="11" spans="1:5" ht="15.75" x14ac:dyDescent="0.25">
      <c r="A11" s="262">
        <f>A10+1</f>
        <v>2</v>
      </c>
      <c r="B11" s="17"/>
      <c r="C11" s="91"/>
      <c r="D11" s="33"/>
      <c r="E11" s="263">
        <f>E10+1</f>
        <v>2</v>
      </c>
    </row>
    <row r="12" spans="1:5" ht="15.75" x14ac:dyDescent="0.25">
      <c r="A12" s="262">
        <f t="shared" ref="A12:A36" si="0">A11+1</f>
        <v>3</v>
      </c>
      <c r="B12" s="20" t="s">
        <v>176</v>
      </c>
      <c r="C12" s="236"/>
      <c r="D12" s="61"/>
      <c r="E12" s="263">
        <f t="shared" ref="E12:E36" si="1">E11+1</f>
        <v>3</v>
      </c>
    </row>
    <row r="13" spans="1:5" ht="15.75" x14ac:dyDescent="0.25">
      <c r="A13" s="262">
        <f t="shared" si="0"/>
        <v>4</v>
      </c>
      <c r="B13" s="17"/>
      <c r="C13" s="91"/>
      <c r="D13" s="33"/>
      <c r="E13" s="263">
        <f t="shared" si="1"/>
        <v>4</v>
      </c>
    </row>
    <row r="14" spans="1:5" ht="15.75" x14ac:dyDescent="0.25">
      <c r="A14" s="262">
        <f t="shared" si="0"/>
        <v>5</v>
      </c>
      <c r="B14" s="18" t="s">
        <v>177</v>
      </c>
      <c r="C14" s="237">
        <f>'WP 7 Wheeling Revenues'!E37</f>
        <v>-35001351.080000006</v>
      </c>
      <c r="D14" s="61" t="str">
        <f>'Stmnt BK1 - TRBAA'!D14</f>
        <v>Work paper No. 7; Page 7.1; Line 27</v>
      </c>
      <c r="E14" s="263">
        <f t="shared" si="1"/>
        <v>5</v>
      </c>
    </row>
    <row r="15" spans="1:5" ht="15.75" x14ac:dyDescent="0.25">
      <c r="A15" s="262">
        <f t="shared" si="0"/>
        <v>6</v>
      </c>
      <c r="B15" s="17"/>
      <c r="C15" s="238"/>
      <c r="D15" s="33"/>
      <c r="E15" s="263">
        <f t="shared" si="1"/>
        <v>6</v>
      </c>
    </row>
    <row r="16" spans="1:5" ht="15.75" x14ac:dyDescent="0.25">
      <c r="A16" s="262">
        <f t="shared" si="0"/>
        <v>7</v>
      </c>
      <c r="B16" s="18" t="s">
        <v>179</v>
      </c>
      <c r="C16" s="237">
        <f>'WP 8 CT4575'!C34</f>
        <v>18000</v>
      </c>
      <c r="D16" s="61" t="str">
        <f>'Stmnt BK1 - TRBAA'!D16</f>
        <v>Work paper No. 8; Page 8.1; Line 27</v>
      </c>
      <c r="E16" s="263">
        <f t="shared" si="1"/>
        <v>7</v>
      </c>
    </row>
    <row r="17" spans="1:5" ht="15.75" x14ac:dyDescent="0.25">
      <c r="A17" s="262">
        <f t="shared" si="0"/>
        <v>8</v>
      </c>
      <c r="B17" s="17"/>
      <c r="C17" s="238"/>
      <c r="D17" s="33"/>
      <c r="E17" s="263">
        <f t="shared" si="1"/>
        <v>8</v>
      </c>
    </row>
    <row r="18" spans="1:5" ht="15.75" x14ac:dyDescent="0.25">
      <c r="A18" s="262">
        <f t="shared" si="0"/>
        <v>9</v>
      </c>
      <c r="B18" s="18" t="s">
        <v>209</v>
      </c>
      <c r="C18" s="237">
        <f>'WP 9 ETC Cost Diffs'!C34</f>
        <v>-291439.30342000001</v>
      </c>
      <c r="D18" s="61" t="str">
        <f>'Stmnt BK1 - TRBAA'!D18</f>
        <v>Work paper No. 9; Page 9.1; Line 27</v>
      </c>
      <c r="E18" s="263">
        <f t="shared" si="1"/>
        <v>9</v>
      </c>
    </row>
    <row r="19" spans="1:5" ht="15.75" x14ac:dyDescent="0.25">
      <c r="A19" s="262">
        <f t="shared" si="0"/>
        <v>10</v>
      </c>
      <c r="B19" s="17"/>
      <c r="C19" s="238"/>
      <c r="D19" s="33"/>
      <c r="E19" s="263">
        <f t="shared" si="1"/>
        <v>10</v>
      </c>
    </row>
    <row r="20" spans="1:5" ht="15.75" x14ac:dyDescent="0.25">
      <c r="A20" s="262">
        <f t="shared" si="0"/>
        <v>11</v>
      </c>
      <c r="B20" s="18" t="s">
        <v>183</v>
      </c>
      <c r="C20" s="440">
        <f>'WP 11 Other PTO Forecast'!C34</f>
        <v>-673737.34658000013</v>
      </c>
      <c r="D20" s="61" t="str">
        <f>'Stmnt BK1 - TRBAA'!D20</f>
        <v>Work paper No. 11; Page 11.1; Line 27</v>
      </c>
      <c r="E20" s="263">
        <f t="shared" si="1"/>
        <v>11</v>
      </c>
    </row>
    <row r="21" spans="1:5" ht="15.75" x14ac:dyDescent="0.25">
      <c r="A21" s="262">
        <f t="shared" si="0"/>
        <v>12</v>
      </c>
      <c r="B21" s="17"/>
      <c r="C21" s="91"/>
      <c r="D21" s="33"/>
      <c r="E21" s="263">
        <f t="shared" si="1"/>
        <v>12</v>
      </c>
    </row>
    <row r="22" spans="1:5" ht="15.75" x14ac:dyDescent="0.25">
      <c r="A22" s="262">
        <f t="shared" si="0"/>
        <v>13</v>
      </c>
      <c r="B22" s="477" t="s">
        <v>185</v>
      </c>
      <c r="C22" s="252">
        <f>SUM(C14:C20)</f>
        <v>-35948527.730000004</v>
      </c>
      <c r="D22" s="61" t="s">
        <v>222</v>
      </c>
      <c r="E22" s="263">
        <f t="shared" si="1"/>
        <v>13</v>
      </c>
    </row>
    <row r="23" spans="1:5" ht="15.75" x14ac:dyDescent="0.25">
      <c r="A23" s="262">
        <f t="shared" si="0"/>
        <v>14</v>
      </c>
      <c r="B23" s="18"/>
      <c r="C23" s="239"/>
      <c r="D23" s="61"/>
      <c r="E23" s="263">
        <f t="shared" si="1"/>
        <v>14</v>
      </c>
    </row>
    <row r="24" spans="1:5" ht="15.75" x14ac:dyDescent="0.25">
      <c r="A24" s="262">
        <f t="shared" si="0"/>
        <v>15</v>
      </c>
      <c r="B24" s="11" t="s">
        <v>187</v>
      </c>
      <c r="C24" s="254">
        <f>C10+C22</f>
        <v>-40336877.75662107</v>
      </c>
      <c r="D24" s="61" t="str">
        <f>'Stmnt BK1 - TRBAA'!D24</f>
        <v>Line 1 + Line 13</v>
      </c>
      <c r="E24" s="263">
        <f t="shared" si="1"/>
        <v>15</v>
      </c>
    </row>
    <row r="25" spans="1:5" ht="15.75" x14ac:dyDescent="0.25">
      <c r="A25" s="262">
        <f t="shared" si="0"/>
        <v>16</v>
      </c>
      <c r="B25" s="11"/>
      <c r="C25" s="444"/>
      <c r="D25" s="62"/>
      <c r="E25" s="263">
        <f t="shared" si="1"/>
        <v>16</v>
      </c>
    </row>
    <row r="26" spans="1:5" ht="15.75" x14ac:dyDescent="0.25">
      <c r="A26" s="262">
        <f t="shared" si="0"/>
        <v>17</v>
      </c>
      <c r="B26" s="11" t="s">
        <v>480</v>
      </c>
      <c r="C26" s="238">
        <f>C24*0.010207</f>
        <v>-411718.51126183127</v>
      </c>
      <c r="D26" s="61" t="str">
        <f>'Stmnt BK1 - TRBAA'!D26</f>
        <v>Line 15 x 1.0207%</v>
      </c>
      <c r="E26" s="263">
        <f t="shared" si="1"/>
        <v>17</v>
      </c>
    </row>
    <row r="27" spans="1:5" ht="15.75" x14ac:dyDescent="0.25">
      <c r="A27" s="262">
        <f t="shared" si="0"/>
        <v>18</v>
      </c>
      <c r="B27" s="11"/>
      <c r="C27" s="444"/>
      <c r="D27" s="62"/>
      <c r="E27" s="263">
        <f t="shared" si="1"/>
        <v>18</v>
      </c>
    </row>
    <row r="28" spans="1:5" ht="15.75" x14ac:dyDescent="0.25">
      <c r="A28" s="262">
        <f t="shared" si="0"/>
        <v>19</v>
      </c>
      <c r="B28" s="11" t="str">
        <f>'Stmnt BK1 - TRBAA'!B28</f>
        <v xml:space="preserve">   Uncollectibles @ 0.205%</v>
      </c>
      <c r="C28" s="252">
        <f>C24*0.00205</f>
        <v>-82690.599401073196</v>
      </c>
      <c r="D28" s="61" t="str">
        <f>'Stmnt BK1 - TRBAA'!D28</f>
        <v>Line 15 x 0.205%</v>
      </c>
      <c r="E28" s="263">
        <f t="shared" si="1"/>
        <v>19</v>
      </c>
    </row>
    <row r="29" spans="1:5" ht="15.75" x14ac:dyDescent="0.25">
      <c r="A29" s="262">
        <f t="shared" si="0"/>
        <v>20</v>
      </c>
      <c r="B29" s="11"/>
      <c r="C29" s="238"/>
      <c r="D29" s="62"/>
      <c r="E29" s="263">
        <f t="shared" si="1"/>
        <v>20</v>
      </c>
    </row>
    <row r="30" spans="1:5" ht="15.75" x14ac:dyDescent="0.25">
      <c r="A30" s="187">
        <f t="shared" si="0"/>
        <v>21</v>
      </c>
      <c r="B30" s="11" t="s">
        <v>189</v>
      </c>
      <c r="C30" s="252">
        <f>SUM(C26:C28)</f>
        <v>-494409.11066290445</v>
      </c>
      <c r="D30" s="61" t="s">
        <v>190</v>
      </c>
      <c r="E30" s="263">
        <f t="shared" si="1"/>
        <v>21</v>
      </c>
    </row>
    <row r="31" spans="1:5" ht="15.75" x14ac:dyDescent="0.25">
      <c r="A31" s="262">
        <f t="shared" si="0"/>
        <v>22</v>
      </c>
      <c r="B31" s="11"/>
      <c r="C31" s="444"/>
      <c r="D31" s="62"/>
      <c r="E31" s="263">
        <f t="shared" si="1"/>
        <v>22</v>
      </c>
    </row>
    <row r="32" spans="1:5" ht="15.75" x14ac:dyDescent="0.25">
      <c r="A32" s="262">
        <f t="shared" si="0"/>
        <v>23</v>
      </c>
      <c r="B32" s="11" t="s">
        <v>191</v>
      </c>
      <c r="C32" s="239">
        <f>SUM(C24:C29)</f>
        <v>-40831286.86728397</v>
      </c>
      <c r="D32" s="61" t="s">
        <v>192</v>
      </c>
      <c r="E32" s="263">
        <f t="shared" si="1"/>
        <v>23</v>
      </c>
    </row>
    <row r="33" spans="1:5" ht="15.75" x14ac:dyDescent="0.25">
      <c r="A33" s="262">
        <f t="shared" si="0"/>
        <v>24</v>
      </c>
      <c r="B33" s="11"/>
      <c r="C33" s="444"/>
      <c r="D33" s="62"/>
      <c r="E33" s="263">
        <f t="shared" si="1"/>
        <v>24</v>
      </c>
    </row>
    <row r="34" spans="1:5" ht="15.75" x14ac:dyDescent="0.25">
      <c r="A34" s="262">
        <f t="shared" si="0"/>
        <v>25</v>
      </c>
      <c r="B34" s="11" t="s">
        <v>497</v>
      </c>
      <c r="C34" s="445">
        <f>'Stmnt BD - Recorded KWH'!$E26</f>
        <v>16675470467</v>
      </c>
      <c r="D34" s="61" t="s">
        <v>223</v>
      </c>
      <c r="E34" s="263">
        <f t="shared" si="1"/>
        <v>25</v>
      </c>
    </row>
    <row r="35" spans="1:5" ht="15.75" x14ac:dyDescent="0.25">
      <c r="A35" s="262">
        <f t="shared" si="0"/>
        <v>26</v>
      </c>
      <c r="B35" s="17"/>
      <c r="C35" s="443"/>
      <c r="D35" s="63"/>
      <c r="E35" s="263">
        <f t="shared" si="1"/>
        <v>26</v>
      </c>
    </row>
    <row r="36" spans="1:5" ht="16.5" thickBot="1" x14ac:dyDescent="0.3">
      <c r="A36" s="262">
        <f t="shared" si="0"/>
        <v>27</v>
      </c>
      <c r="B36" s="11" t="s">
        <v>224</v>
      </c>
      <c r="C36" s="479">
        <f>ROUND(C32/C34,5)</f>
        <v>-2.4499999999999999E-3</v>
      </c>
      <c r="D36" s="61" t="s">
        <v>225</v>
      </c>
      <c r="E36" s="263">
        <f t="shared" si="1"/>
        <v>27</v>
      </c>
    </row>
    <row r="37" spans="1:5" ht="17.25" thickTop="1" thickBot="1" x14ac:dyDescent="0.3">
      <c r="A37" s="574"/>
      <c r="B37" s="81"/>
      <c r="C37" s="581"/>
      <c r="D37" s="575"/>
      <c r="E37" s="406"/>
    </row>
    <row r="38" spans="1:5" ht="15.75" x14ac:dyDescent="0.25">
      <c r="A38" s="22"/>
      <c r="B38" s="22"/>
      <c r="C38" s="22"/>
      <c r="D38" s="37"/>
      <c r="E38" s="22"/>
    </row>
    <row r="39" spans="1:5" ht="15.75" x14ac:dyDescent="0.25">
      <c r="A39" s="22"/>
      <c r="B39" s="68"/>
    </row>
    <row r="40" spans="1:5" ht="18.75" x14ac:dyDescent="0.25">
      <c r="A40" s="69"/>
      <c r="B40" s="50"/>
    </row>
    <row r="41" spans="1:5" ht="18.75" x14ac:dyDescent="0.25">
      <c r="A41" s="69"/>
      <c r="B41" s="50"/>
    </row>
    <row r="42" spans="1:5" ht="18.75" x14ac:dyDescent="0.25">
      <c r="A42" s="69"/>
      <c r="B42" s="50"/>
    </row>
    <row r="43" spans="1:5" ht="18.75" x14ac:dyDescent="0.25">
      <c r="A43" s="69"/>
      <c r="B43" s="50"/>
    </row>
    <row r="44" spans="1:5" ht="15.75" x14ac:dyDescent="0.25">
      <c r="A44" s="36"/>
      <c r="B44" s="50"/>
    </row>
    <row r="45" spans="1:5" ht="15.75" x14ac:dyDescent="0.25">
      <c r="B45" s="50"/>
    </row>
    <row r="46" spans="1:5" ht="18.75" x14ac:dyDescent="0.25">
      <c r="A46" s="69"/>
    </row>
  </sheetData>
  <phoneticPr fontId="15" type="noConversion"/>
  <printOptions horizontalCentered="1"/>
  <pageMargins left="0.25" right="0.25" top="0.5" bottom="0.75" header="0.25" footer="0.25"/>
  <pageSetup scale="93" orientation="landscape" r:id="rId1"/>
  <headerFooter alignWithMargins="0">
    <oddFooter>&amp;L&amp;"Times New Roman,Regular"&amp;F&amp;C&amp;"Times New Roman,Regular"Page 1&amp;R&amp;"Times New Roman,Regular"&amp;A</oddFooter>
  </headerFooter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I32"/>
  <sheetViews>
    <sheetView zoomScale="80" zoomScaleNormal="80" workbookViewId="0"/>
  </sheetViews>
  <sheetFormatPr defaultColWidth="8.5703125" defaultRowHeight="12.75" x14ac:dyDescent="0.2"/>
  <cols>
    <col min="1" max="1" width="5.5703125" style="1" customWidth="1"/>
    <col min="2" max="2" width="55.5703125" style="2" customWidth="1"/>
    <col min="3" max="5" width="20.5703125" style="1" customWidth="1"/>
    <col min="6" max="6" width="50.5703125" style="1" customWidth="1"/>
    <col min="7" max="7" width="5.5703125" style="1" customWidth="1"/>
    <col min="8" max="8" width="15.5703125" style="1" customWidth="1"/>
    <col min="9" max="9" width="15.5703125" style="179" customWidth="1"/>
    <col min="10" max="16384" width="8.5703125" style="1"/>
  </cols>
  <sheetData>
    <row r="2" spans="1:9" ht="15.75" x14ac:dyDescent="0.2">
      <c r="B2" s="5" t="s">
        <v>220</v>
      </c>
      <c r="C2" s="6"/>
      <c r="D2" s="6"/>
      <c r="E2" s="6"/>
      <c r="F2" s="6"/>
    </row>
    <row r="3" spans="1:9" ht="15.75" x14ac:dyDescent="0.2">
      <c r="B3" s="5" t="s">
        <v>1</v>
      </c>
      <c r="C3" s="6"/>
      <c r="D3" s="6"/>
      <c r="E3" s="6"/>
      <c r="F3" s="6"/>
    </row>
    <row r="4" spans="1:9" ht="15.75" x14ac:dyDescent="0.2">
      <c r="B4" s="5" t="str">
        <f>'Stmnt BK1 - TRBAA'!B4</f>
        <v>2025 - TRBAA Rate Filing</v>
      </c>
      <c r="C4" s="6"/>
      <c r="D4" s="6"/>
      <c r="E4" s="6"/>
      <c r="F4" s="6"/>
    </row>
    <row r="5" spans="1:9" ht="15.75" x14ac:dyDescent="0.2">
      <c r="B5" s="5" t="s">
        <v>498</v>
      </c>
      <c r="C5" s="6"/>
      <c r="D5" s="6"/>
      <c r="E5" s="6"/>
      <c r="F5" s="6"/>
    </row>
    <row r="6" spans="1:9" ht="15.75" x14ac:dyDescent="0.2">
      <c r="B6" s="5" t="s">
        <v>226</v>
      </c>
      <c r="C6" s="6"/>
      <c r="D6" s="6"/>
      <c r="E6" s="6"/>
      <c r="F6" s="6"/>
    </row>
    <row r="7" spans="1:9" ht="16.5" thickBot="1" x14ac:dyDescent="0.25">
      <c r="B7" s="5"/>
      <c r="C7" s="6"/>
      <c r="D7" s="6"/>
      <c r="E7" s="6"/>
      <c r="F7" s="6"/>
    </row>
    <row r="8" spans="1:9" ht="15.75" x14ac:dyDescent="0.25">
      <c r="A8" s="286"/>
      <c r="B8" s="587"/>
      <c r="C8" s="588" t="s">
        <v>3</v>
      </c>
      <c r="D8" s="589" t="s">
        <v>4</v>
      </c>
      <c r="E8" s="589" t="s">
        <v>195</v>
      </c>
      <c r="F8" s="590"/>
      <c r="G8" s="546"/>
    </row>
    <row r="9" spans="1:9" ht="15.75" x14ac:dyDescent="0.25">
      <c r="A9" s="549" t="s">
        <v>8</v>
      </c>
      <c r="B9" s="74"/>
      <c r="C9" s="583" t="s">
        <v>18</v>
      </c>
      <c r="D9" s="584" t="s">
        <v>18</v>
      </c>
      <c r="E9" s="584" t="s">
        <v>227</v>
      </c>
      <c r="F9" s="577"/>
      <c r="G9" s="550" t="s">
        <v>8</v>
      </c>
    </row>
    <row r="10" spans="1:9" ht="15.75" x14ac:dyDescent="0.25">
      <c r="A10" s="549" t="s">
        <v>11</v>
      </c>
      <c r="B10" s="75"/>
      <c r="C10" s="577" t="s">
        <v>228</v>
      </c>
      <c r="D10" s="585" t="s">
        <v>229</v>
      </c>
      <c r="E10" s="585" t="s">
        <v>230</v>
      </c>
      <c r="F10" s="577"/>
      <c r="G10" s="550" t="s">
        <v>11</v>
      </c>
    </row>
    <row r="11" spans="1:9" ht="15.75" x14ac:dyDescent="0.25">
      <c r="A11" s="593"/>
      <c r="B11" s="543" t="s">
        <v>173</v>
      </c>
      <c r="C11" s="578" t="s">
        <v>230</v>
      </c>
      <c r="D11" s="586" t="s">
        <v>230</v>
      </c>
      <c r="E11" s="586"/>
      <c r="F11" s="578" t="s">
        <v>231</v>
      </c>
      <c r="G11" s="594"/>
    </row>
    <row r="12" spans="1:9" ht="15.75" x14ac:dyDescent="0.25">
      <c r="A12" s="351"/>
      <c r="B12" s="8"/>
      <c r="C12" s="91"/>
      <c r="D12" s="17"/>
      <c r="E12" s="17"/>
      <c r="F12" s="60"/>
      <c r="G12" s="352"/>
    </row>
    <row r="13" spans="1:9" s="360" customFormat="1" ht="18.75" x14ac:dyDescent="0.2">
      <c r="A13" s="355">
        <v>1</v>
      </c>
      <c r="B13" s="480" t="s">
        <v>202</v>
      </c>
      <c r="C13" s="446">
        <f>'Stmnt BK2 - TRBAA'!C13</f>
        <v>493162962.94898325</v>
      </c>
      <c r="D13" s="377">
        <f>'Stmnt BK2 - TRBAA'!D13</f>
        <v>519265174.11431122</v>
      </c>
      <c r="E13" s="377">
        <f>C13+D13</f>
        <v>1012428137.0632944</v>
      </c>
      <c r="F13" s="378" t="s">
        <v>203</v>
      </c>
      <c r="G13" s="359">
        <v>1</v>
      </c>
      <c r="I13" s="957"/>
    </row>
    <row r="14" spans="1:9" ht="15.75" x14ac:dyDescent="0.25">
      <c r="A14" s="262">
        <f>A13+1</f>
        <v>2</v>
      </c>
      <c r="B14" s="11"/>
      <c r="C14" s="442"/>
      <c r="D14" s="16"/>
      <c r="E14" s="16"/>
      <c r="F14" s="71"/>
      <c r="G14" s="263">
        <f>G13+1</f>
        <v>2</v>
      </c>
    </row>
    <row r="15" spans="1:9" ht="18.75" x14ac:dyDescent="0.25">
      <c r="A15" s="262">
        <f t="shared" ref="A15:A23" si="0">A14+1</f>
        <v>3</v>
      </c>
      <c r="B15" s="11" t="s">
        <v>232</v>
      </c>
      <c r="C15" s="238">
        <f>'Stmnt BK2 - TRBAA'!C33</f>
        <v>-39987951.142981105</v>
      </c>
      <c r="D15" s="31">
        <f>'Stmnt BK2 - TRBAA'!D33</f>
        <v>-760645.09800900775</v>
      </c>
      <c r="E15" s="31">
        <f>C15+D15</f>
        <v>-40748596.24099011</v>
      </c>
      <c r="F15" s="194" t="s">
        <v>233</v>
      </c>
      <c r="G15" s="263">
        <f t="shared" ref="G15:G23" si="1">G14+1</f>
        <v>3</v>
      </c>
    </row>
    <row r="16" spans="1:9" ht="15.75" x14ac:dyDescent="0.25">
      <c r="A16" s="262">
        <f t="shared" si="0"/>
        <v>4</v>
      </c>
      <c r="B16" s="11"/>
      <c r="C16" s="238"/>
      <c r="D16" s="31"/>
      <c r="E16" s="31"/>
      <c r="F16" s="71"/>
      <c r="G16" s="263">
        <f t="shared" si="1"/>
        <v>4</v>
      </c>
    </row>
    <row r="17" spans="1:7" ht="18.75" x14ac:dyDescent="0.25">
      <c r="A17" s="262">
        <f t="shared" si="0"/>
        <v>5</v>
      </c>
      <c r="B17" s="11" t="s">
        <v>234</v>
      </c>
      <c r="C17" s="445">
        <f>'Stmnt BK2 - TRBAA'!C35</f>
        <v>-7768656</v>
      </c>
      <c r="D17" s="51">
        <f>'Stmnt BK2 - TRBAA'!D35</f>
        <v>-8179836</v>
      </c>
      <c r="E17" s="51">
        <f>C17+D17</f>
        <v>-15948492</v>
      </c>
      <c r="F17" s="194" t="s">
        <v>235</v>
      </c>
      <c r="G17" s="263">
        <f t="shared" si="1"/>
        <v>5</v>
      </c>
    </row>
    <row r="18" spans="1:7" ht="15.75" x14ac:dyDescent="0.25">
      <c r="A18" s="262">
        <f t="shared" si="0"/>
        <v>6</v>
      </c>
      <c r="B18" s="17"/>
      <c r="C18" s="442"/>
      <c r="D18" s="16"/>
      <c r="E18" s="16"/>
      <c r="F18" s="86"/>
      <c r="G18" s="263">
        <f t="shared" si="1"/>
        <v>6</v>
      </c>
    </row>
    <row r="19" spans="1:7" ht="15.75" x14ac:dyDescent="0.25">
      <c r="A19" s="262">
        <f t="shared" si="0"/>
        <v>7</v>
      </c>
      <c r="B19" s="11" t="s">
        <v>236</v>
      </c>
      <c r="C19" s="239">
        <f>C13+C15+C17</f>
        <v>445406355.80600214</v>
      </c>
      <c r="D19" s="19">
        <f>D13+D15+D17</f>
        <v>510324693.01630223</v>
      </c>
      <c r="E19" s="19">
        <f>E13+E15+E17</f>
        <v>955731048.82230425</v>
      </c>
      <c r="F19" s="70" t="s">
        <v>237</v>
      </c>
      <c r="G19" s="263">
        <f t="shared" si="1"/>
        <v>7</v>
      </c>
    </row>
    <row r="20" spans="1:7" ht="15.75" x14ac:dyDescent="0.25">
      <c r="A20" s="262">
        <f t="shared" si="0"/>
        <v>8</v>
      </c>
      <c r="B20" s="11"/>
      <c r="C20" s="239"/>
      <c r="D20" s="19"/>
      <c r="E20" s="19"/>
      <c r="F20" s="195"/>
      <c r="G20" s="263">
        <f t="shared" si="1"/>
        <v>8</v>
      </c>
    </row>
    <row r="21" spans="1:7" ht="15.75" x14ac:dyDescent="0.25">
      <c r="A21" s="262">
        <f t="shared" si="0"/>
        <v>9</v>
      </c>
      <c r="B21" s="11" t="s">
        <v>238</v>
      </c>
      <c r="C21" s="252">
        <f>'Stmnt BD-Forecast MWH@Transm.'!$F40</f>
        <v>18949765.972919121</v>
      </c>
      <c r="D21" s="38">
        <f>'Stmnt BD-Forecast MWH@Transm.'!$F40</f>
        <v>18949765.972919121</v>
      </c>
      <c r="E21" s="38">
        <f>'Stmnt BD-Forecast MWH@Transm.'!$F40</f>
        <v>18949765.972919121</v>
      </c>
      <c r="F21" s="157" t="s">
        <v>477</v>
      </c>
      <c r="G21" s="263">
        <f t="shared" si="1"/>
        <v>9</v>
      </c>
    </row>
    <row r="22" spans="1:7" ht="15.75" x14ac:dyDescent="0.25">
      <c r="A22" s="262">
        <f t="shared" si="0"/>
        <v>10</v>
      </c>
      <c r="B22" s="11"/>
      <c r="C22" s="444"/>
      <c r="D22" s="15"/>
      <c r="E22" s="15"/>
      <c r="F22" s="196"/>
      <c r="G22" s="263">
        <f t="shared" si="1"/>
        <v>10</v>
      </c>
    </row>
    <row r="23" spans="1:7" ht="16.5" thickBot="1" x14ac:dyDescent="0.3">
      <c r="A23" s="262">
        <f t="shared" si="0"/>
        <v>11</v>
      </c>
      <c r="B23" s="11" t="s">
        <v>239</v>
      </c>
      <c r="C23" s="447">
        <f>C19/C21</f>
        <v>23.504583457258889</v>
      </c>
      <c r="D23" s="35">
        <f>D19/D21</f>
        <v>26.930395538689027</v>
      </c>
      <c r="E23" s="35">
        <f>E19/E21</f>
        <v>50.434978995947908</v>
      </c>
      <c r="F23" s="70" t="s">
        <v>240</v>
      </c>
      <c r="G23" s="263">
        <f t="shared" si="1"/>
        <v>11</v>
      </c>
    </row>
    <row r="24" spans="1:7" ht="17.25" thickTop="1" thickBot="1" x14ac:dyDescent="0.3">
      <c r="A24" s="574"/>
      <c r="B24" s="81"/>
      <c r="C24" s="554"/>
      <c r="D24" s="81"/>
      <c r="E24" s="81"/>
      <c r="F24" s="554"/>
      <c r="G24" s="406"/>
    </row>
    <row r="25" spans="1:7" x14ac:dyDescent="0.2">
      <c r="B25" s="1"/>
    </row>
    <row r="26" spans="1:7" ht="15.75" x14ac:dyDescent="0.25">
      <c r="A26" s="22"/>
      <c r="B26" s="156" t="s">
        <v>241</v>
      </c>
      <c r="C26" s="22"/>
      <c r="D26" s="22"/>
      <c r="E26" s="22"/>
      <c r="F26" s="22"/>
      <c r="G26" s="22"/>
    </row>
    <row r="27" spans="1:7" ht="18.75" x14ac:dyDescent="0.25">
      <c r="A27" s="83" t="s">
        <v>125</v>
      </c>
      <c r="B27" s="50" t="s">
        <v>519</v>
      </c>
      <c r="C27" s="22"/>
      <c r="D27" s="22"/>
      <c r="E27" s="22"/>
      <c r="F27" s="22"/>
      <c r="G27" s="22"/>
    </row>
    <row r="28" spans="1:7" ht="18.75" x14ac:dyDescent="0.25">
      <c r="A28" s="83">
        <v>2</v>
      </c>
      <c r="B28" s="50" t="s">
        <v>242</v>
      </c>
    </row>
    <row r="29" spans="1:7" ht="18.75" x14ac:dyDescent="0.25">
      <c r="A29" s="83">
        <v>3</v>
      </c>
      <c r="B29" s="50" t="s">
        <v>520</v>
      </c>
      <c r="C29" s="22"/>
      <c r="D29" s="22"/>
      <c r="E29" s="22"/>
      <c r="F29" s="22"/>
      <c r="G29" s="22"/>
    </row>
    <row r="30" spans="1:7" ht="15.75" x14ac:dyDescent="0.25">
      <c r="B30" s="50"/>
      <c r="C30" s="22"/>
      <c r="D30" s="22"/>
      <c r="E30" s="22"/>
      <c r="F30" s="22"/>
      <c r="G30" s="22"/>
    </row>
    <row r="31" spans="1:7" ht="15.75" x14ac:dyDescent="0.25">
      <c r="B31" s="50"/>
    </row>
    <row r="32" spans="1:7" ht="15.75" x14ac:dyDescent="0.25">
      <c r="B32" s="50"/>
    </row>
  </sheetData>
  <phoneticPr fontId="0" type="noConversion"/>
  <printOptions horizontalCentered="1"/>
  <pageMargins left="0.25" right="0.25" top="0.5" bottom="0.5" header="0.25" footer="0.25"/>
  <pageSetup scale="76" orientation="landscape" r:id="rId1"/>
  <headerFooter scaleWithDoc="0" alignWithMargins="0">
    <oddFooter>&amp;L&amp;"Times New Roman,Regular"&amp;11&amp;F&amp;C&amp;"Times New Roman,Regular"&amp;11Page 1&amp;R&amp;"Times New Roman,Regular"&amp;11&amp;A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9"/>
  <sheetViews>
    <sheetView zoomScale="80" zoomScaleNormal="80" workbookViewId="0"/>
  </sheetViews>
  <sheetFormatPr defaultColWidth="9.42578125" defaultRowHeight="18" x14ac:dyDescent="0.25"/>
  <cols>
    <col min="1" max="1" width="5.5703125" style="180" customWidth="1"/>
    <col min="2" max="2" width="53.5703125" style="180" bestFit="1" customWidth="1"/>
    <col min="3" max="14" width="15.5703125" style="180" customWidth="1"/>
    <col min="15" max="15" width="18.42578125" style="180" bestFit="1" customWidth="1"/>
    <col min="16" max="16" width="5.5703125" style="180" customWidth="1"/>
    <col min="17" max="17" width="3.7109375" style="180" bestFit="1" customWidth="1"/>
    <col min="18" max="18" width="5.5703125" style="180" bestFit="1" customWidth="1"/>
    <col min="19" max="16384" width="9.42578125" style="180"/>
  </cols>
  <sheetData>
    <row r="1" spans="1:17" ht="18.75" thickBot="1" x14ac:dyDescent="0.3"/>
    <row r="2" spans="1:17" ht="25.5" x14ac:dyDescent="0.35">
      <c r="A2" s="595" t="s">
        <v>8</v>
      </c>
      <c r="B2" s="979" t="s">
        <v>243</v>
      </c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1"/>
      <c r="P2" s="595" t="s">
        <v>8</v>
      </c>
    </row>
    <row r="3" spans="1:17" ht="26.25" thickBot="1" x14ac:dyDescent="0.4">
      <c r="A3" s="181" t="s">
        <v>11</v>
      </c>
      <c r="B3" s="982" t="s">
        <v>487</v>
      </c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4"/>
      <c r="P3" s="181" t="s">
        <v>11</v>
      </c>
    </row>
    <row r="4" spans="1:17" x14ac:dyDescent="0.25">
      <c r="A4" s="120">
        <v>1</v>
      </c>
      <c r="B4" s="182" t="s">
        <v>244</v>
      </c>
      <c r="C4" s="818"/>
      <c r="D4" s="183"/>
      <c r="E4" s="183"/>
      <c r="F4" s="600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7" x14ac:dyDescent="0.25">
      <c r="A5" s="120">
        <f>A4+1</f>
        <v>2</v>
      </c>
      <c r="B5" s="184" t="s">
        <v>245</v>
      </c>
      <c r="C5" s="216">
        <v>45200</v>
      </c>
      <c r="D5" s="217">
        <v>45231</v>
      </c>
      <c r="E5" s="217">
        <v>45261</v>
      </c>
      <c r="F5" s="217">
        <v>45292</v>
      </c>
      <c r="G5" s="217">
        <v>45323</v>
      </c>
      <c r="H5" s="217">
        <v>45352</v>
      </c>
      <c r="I5" s="217">
        <v>45383</v>
      </c>
      <c r="J5" s="217">
        <v>45413</v>
      </c>
      <c r="K5" s="217">
        <v>45444</v>
      </c>
      <c r="L5" s="217">
        <v>45474</v>
      </c>
      <c r="M5" s="217">
        <v>45505</v>
      </c>
      <c r="N5" s="217">
        <v>45536</v>
      </c>
      <c r="O5" s="185" t="s">
        <v>18</v>
      </c>
      <c r="P5" s="120">
        <f>P4+1</f>
        <v>2</v>
      </c>
    </row>
    <row r="6" spans="1:17" x14ac:dyDescent="0.25">
      <c r="A6" s="120">
        <f>A5+1</f>
        <v>3</v>
      </c>
      <c r="B6" s="149" t="s">
        <v>246</v>
      </c>
      <c r="C6" s="117">
        <v>462035.24699999997</v>
      </c>
      <c r="D6" s="93">
        <v>393042.76400000002</v>
      </c>
      <c r="E6" s="93">
        <v>417745.39199999999</v>
      </c>
      <c r="F6" s="197">
        <v>558383.06900000002</v>
      </c>
      <c r="G6" s="197">
        <v>455198.06699999998</v>
      </c>
      <c r="H6" s="197">
        <v>397035.06699999998</v>
      </c>
      <c r="I6" s="197">
        <v>333337.22200000001</v>
      </c>
      <c r="J6" s="197">
        <v>293484.663</v>
      </c>
      <c r="K6" s="197">
        <v>293978.962</v>
      </c>
      <c r="L6" s="197">
        <v>455915.09399999998</v>
      </c>
      <c r="M6" s="197">
        <v>576528.125</v>
      </c>
      <c r="N6" s="197">
        <v>598097.01199999999</v>
      </c>
      <c r="O6" s="199">
        <f>SUM(C6:N6)</f>
        <v>5234780.6840000004</v>
      </c>
      <c r="P6" s="120">
        <f>P5+1</f>
        <v>3</v>
      </c>
    </row>
    <row r="7" spans="1:17" x14ac:dyDescent="0.25">
      <c r="A7" s="120">
        <f t="shared" ref="A7:A23" si="0">A6+1</f>
        <v>4</v>
      </c>
      <c r="B7" s="149" t="s">
        <v>247</v>
      </c>
      <c r="C7" s="117">
        <v>222092.09599999999</v>
      </c>
      <c r="D7" s="93">
        <v>198189.394</v>
      </c>
      <c r="E7" s="93">
        <v>187082.299</v>
      </c>
      <c r="F7" s="197">
        <v>220006.095</v>
      </c>
      <c r="G7" s="197">
        <v>187400.361</v>
      </c>
      <c r="H7" s="197">
        <v>185803.66500000001</v>
      </c>
      <c r="I7" s="197">
        <v>188773.95699999999</v>
      </c>
      <c r="J7" s="197">
        <v>187310.38399999999</v>
      </c>
      <c r="K7" s="197">
        <v>179545.93799999999</v>
      </c>
      <c r="L7" s="197">
        <v>208835.117</v>
      </c>
      <c r="M7" s="197">
        <v>212064.2</v>
      </c>
      <c r="N7" s="197">
        <v>214705.37899999999</v>
      </c>
      <c r="O7" s="199">
        <f>SUM(C7:N7)</f>
        <v>2391808.8850000002</v>
      </c>
      <c r="P7" s="120">
        <f t="shared" ref="P7:P23" si="1">P6+1</f>
        <v>4</v>
      </c>
    </row>
    <row r="8" spans="1:17" x14ac:dyDescent="0.25">
      <c r="A8" s="120">
        <f t="shared" si="0"/>
        <v>5</v>
      </c>
      <c r="B8" s="149" t="s">
        <v>248</v>
      </c>
      <c r="C8" s="903">
        <v>819745.20299999998</v>
      </c>
      <c r="D8" s="904">
        <v>701179.87800000003</v>
      </c>
      <c r="E8" s="904">
        <v>659343.85699999996</v>
      </c>
      <c r="F8" s="904">
        <v>721136.97499999998</v>
      </c>
      <c r="G8" s="904">
        <v>633061.46699999995</v>
      </c>
      <c r="H8" s="904">
        <v>641098.80300000007</v>
      </c>
      <c r="I8" s="904">
        <v>659661.30599999998</v>
      </c>
      <c r="J8" s="904">
        <v>669131.64500000002</v>
      </c>
      <c r="K8" s="904">
        <v>644718.30900000001</v>
      </c>
      <c r="L8" s="904">
        <v>825954.35499999986</v>
      </c>
      <c r="M8" s="904">
        <v>798081.24</v>
      </c>
      <c r="N8" s="904">
        <v>790972.14500000002</v>
      </c>
      <c r="O8" s="199">
        <f>SUM(C8:N8)</f>
        <v>8564085.1830000002</v>
      </c>
      <c r="P8" s="120">
        <f t="shared" si="1"/>
        <v>5</v>
      </c>
    </row>
    <row r="9" spans="1:17" x14ac:dyDescent="0.25">
      <c r="A9" s="120">
        <f t="shared" si="0"/>
        <v>6</v>
      </c>
      <c r="B9" s="202" t="s">
        <v>474</v>
      </c>
      <c r="C9" s="903">
        <v>1332.72</v>
      </c>
      <c r="D9" s="904">
        <v>1353.384</v>
      </c>
      <c r="E9" s="904">
        <v>517.86</v>
      </c>
      <c r="F9" s="904">
        <v>216.72</v>
      </c>
      <c r="G9" s="904">
        <v>453.58800000000002</v>
      </c>
      <c r="H9" s="904">
        <v>352.38</v>
      </c>
      <c r="I9" s="904">
        <v>1098.0119999999999</v>
      </c>
      <c r="J9" s="904">
        <v>195.55199999999999</v>
      </c>
      <c r="K9" s="904">
        <v>0</v>
      </c>
      <c r="L9" s="904">
        <v>0.06</v>
      </c>
      <c r="M9" s="904">
        <v>0</v>
      </c>
      <c r="N9" s="904">
        <v>102.324</v>
      </c>
      <c r="O9" s="199">
        <f t="shared" ref="O9:O10" si="2">SUM(C9:N9)</f>
        <v>5622.5999999999995</v>
      </c>
      <c r="P9" s="120">
        <f t="shared" si="1"/>
        <v>6</v>
      </c>
    </row>
    <row r="10" spans="1:17" x14ac:dyDescent="0.25">
      <c r="A10" s="120">
        <f t="shared" si="0"/>
        <v>7</v>
      </c>
      <c r="B10" s="202" t="s">
        <v>249</v>
      </c>
      <c r="C10" s="903">
        <v>13893.070999999996</v>
      </c>
      <c r="D10" s="904">
        <v>11602.440999999999</v>
      </c>
      <c r="E10" s="904">
        <v>4686.020999999997</v>
      </c>
      <c r="F10" s="904">
        <v>8988.3990000000013</v>
      </c>
      <c r="G10" s="904">
        <v>10185.810000000001</v>
      </c>
      <c r="H10" s="904">
        <v>6345.8629999999994</v>
      </c>
      <c r="I10" s="904">
        <v>6776.4209999999985</v>
      </c>
      <c r="J10" s="904">
        <v>10305.223000000002</v>
      </c>
      <c r="K10" s="904">
        <v>13116.554</v>
      </c>
      <c r="L10" s="904">
        <v>17738.239999999998</v>
      </c>
      <c r="M10" s="904">
        <v>19593.181999999997</v>
      </c>
      <c r="N10" s="904">
        <v>19859.383000000002</v>
      </c>
      <c r="O10" s="199">
        <f t="shared" si="2"/>
        <v>143090.60800000001</v>
      </c>
      <c r="P10" s="120">
        <f t="shared" si="1"/>
        <v>7</v>
      </c>
    </row>
    <row r="11" spans="1:17" x14ac:dyDescent="0.25">
      <c r="A11" s="120">
        <f t="shared" si="0"/>
        <v>8</v>
      </c>
      <c r="B11" s="202" t="s">
        <v>105</v>
      </c>
      <c r="C11" s="903">
        <v>23335.305</v>
      </c>
      <c r="D11" s="904">
        <v>46863.775000000001</v>
      </c>
      <c r="E11" s="904">
        <v>16905.935000000001</v>
      </c>
      <c r="F11" s="904">
        <v>25528.903999999999</v>
      </c>
      <c r="G11" s="904">
        <v>18532.285</v>
      </c>
      <c r="H11" s="904">
        <v>15194.959000000001</v>
      </c>
      <c r="I11" s="904">
        <v>16249.933000000001</v>
      </c>
      <c r="J11" s="904">
        <v>17442.16</v>
      </c>
      <c r="K11" s="904">
        <v>17745.855</v>
      </c>
      <c r="L11" s="904">
        <v>24166.722000000002</v>
      </c>
      <c r="M11" s="904">
        <v>21802.27</v>
      </c>
      <c r="N11" s="904">
        <v>20116.169000000002</v>
      </c>
      <c r="O11" s="955">
        <f t="shared" ref="O11:O13" si="3">SUM(C11:N11)</f>
        <v>263884.272</v>
      </c>
      <c r="P11" s="120">
        <f t="shared" si="1"/>
        <v>8</v>
      </c>
    </row>
    <row r="12" spans="1:17" x14ac:dyDescent="0.25">
      <c r="A12" s="120">
        <f t="shared" si="0"/>
        <v>9</v>
      </c>
      <c r="B12" s="149" t="s">
        <v>250</v>
      </c>
      <c r="C12" s="903">
        <v>6388.83</v>
      </c>
      <c r="D12" s="904">
        <v>6387.5320000000002</v>
      </c>
      <c r="E12" s="904">
        <v>6574.192</v>
      </c>
      <c r="F12" s="904">
        <v>6595.5</v>
      </c>
      <c r="G12" s="904">
        <v>4828.549</v>
      </c>
      <c r="H12" s="904">
        <v>7775.4459999999999</v>
      </c>
      <c r="I12" s="904">
        <v>6040.9059999999999</v>
      </c>
      <c r="J12" s="904">
        <v>6290.9080000000004</v>
      </c>
      <c r="K12" s="904">
        <v>6417.2290000000003</v>
      </c>
      <c r="L12" s="904">
        <v>6439.9520000000002</v>
      </c>
      <c r="M12" s="904">
        <v>7174.6750000000002</v>
      </c>
      <c r="N12" s="904">
        <v>1284.5160000000001</v>
      </c>
      <c r="O12" s="199">
        <f t="shared" si="3"/>
        <v>72198.235000000001</v>
      </c>
      <c r="P12" s="120">
        <f t="shared" si="1"/>
        <v>9</v>
      </c>
    </row>
    <row r="13" spans="1:17" x14ac:dyDescent="0.25">
      <c r="A13" s="120">
        <f t="shared" si="0"/>
        <v>10</v>
      </c>
      <c r="B13" s="203" t="s">
        <v>7</v>
      </c>
      <c r="C13" s="952">
        <v>9.4390000000000001</v>
      </c>
      <c r="D13" s="953">
        <v>9.0609999999999999</v>
      </c>
      <c r="E13" s="954">
        <v>6.3140000000000001</v>
      </c>
      <c r="F13" s="954">
        <v>6.5279999999999996</v>
      </c>
      <c r="G13" s="954">
        <v>5.3710000000000004</v>
      </c>
      <c r="H13" s="954">
        <v>5.3079999999999998</v>
      </c>
      <c r="I13" s="954">
        <v>5.8220000000000001</v>
      </c>
      <c r="J13" s="954">
        <v>5.3529999999999998</v>
      </c>
      <c r="K13" s="954">
        <v>7.0579999999999998</v>
      </c>
      <c r="L13" s="954">
        <v>10.032999999999999</v>
      </c>
      <c r="M13" s="954">
        <v>10.182</v>
      </c>
      <c r="N13" s="954">
        <v>9.8989999999999991</v>
      </c>
      <c r="O13" s="958">
        <f t="shared" si="3"/>
        <v>90.368000000000009</v>
      </c>
      <c r="P13" s="120">
        <f t="shared" si="1"/>
        <v>10</v>
      </c>
      <c r="Q13" s="764"/>
    </row>
    <row r="14" spans="1:17" ht="18.75" thickBot="1" x14ac:dyDescent="0.3">
      <c r="A14" s="120">
        <f t="shared" si="0"/>
        <v>11</v>
      </c>
      <c r="B14" s="204" t="s">
        <v>251</v>
      </c>
      <c r="C14" s="205">
        <f>SUM(C6:C13)</f>
        <v>1548831.9110000001</v>
      </c>
      <c r="D14" s="210">
        <f t="shared" ref="D14:N14" si="4">SUM(D6:D13)</f>
        <v>1358628.2290000001</v>
      </c>
      <c r="E14" s="206">
        <f t="shared" si="4"/>
        <v>1292861.8700000001</v>
      </c>
      <c r="F14" s="206">
        <f t="shared" si="4"/>
        <v>1540862.19</v>
      </c>
      <c r="G14" s="206">
        <f t="shared" si="4"/>
        <v>1309665.4980000001</v>
      </c>
      <c r="H14" s="206">
        <f t="shared" si="4"/>
        <v>1253611.4909999999</v>
      </c>
      <c r="I14" s="206">
        <f t="shared" si="4"/>
        <v>1211943.5789999999</v>
      </c>
      <c r="J14" s="206">
        <f t="shared" si="4"/>
        <v>1184165.8879999998</v>
      </c>
      <c r="K14" s="206">
        <f t="shared" si="4"/>
        <v>1155529.905</v>
      </c>
      <c r="L14" s="206">
        <f t="shared" si="4"/>
        <v>1539059.5730000001</v>
      </c>
      <c r="M14" s="924">
        <f t="shared" si="4"/>
        <v>1635253.8740000001</v>
      </c>
      <c r="N14" s="924">
        <f t="shared" si="4"/>
        <v>1645146.8269999998</v>
      </c>
      <c r="O14" s="207">
        <f>SUM(O6:O13)</f>
        <v>16675560.835000001</v>
      </c>
      <c r="P14" s="120">
        <f t="shared" si="1"/>
        <v>11</v>
      </c>
      <c r="Q14" s="764"/>
    </row>
    <row r="15" spans="1:17" ht="18.75" thickTop="1" x14ac:dyDescent="0.25">
      <c r="A15" s="120">
        <f t="shared" si="0"/>
        <v>12</v>
      </c>
      <c r="B15" s="208"/>
      <c r="C15" s="819"/>
      <c r="D15" s="201"/>
      <c r="E15" s="201"/>
      <c r="F15" s="201"/>
      <c r="G15" s="201"/>
      <c r="H15" s="201"/>
      <c r="I15" s="201"/>
      <c r="J15" s="201"/>
      <c r="K15" s="201"/>
      <c r="L15" s="201"/>
      <c r="M15" s="923"/>
      <c r="N15" s="923"/>
      <c r="O15" s="199"/>
      <c r="P15" s="120">
        <f t="shared" si="1"/>
        <v>12</v>
      </c>
    </row>
    <row r="16" spans="1:17" ht="18.75" thickBot="1" x14ac:dyDescent="0.3">
      <c r="A16" s="120">
        <f t="shared" si="0"/>
        <v>13</v>
      </c>
      <c r="B16" s="204" t="s">
        <v>252</v>
      </c>
      <c r="C16" s="209">
        <f>SUM(C6:C12)</f>
        <v>1548822.4720000001</v>
      </c>
      <c r="D16" s="210">
        <f>SUM(D6:D12)</f>
        <v>1358619.1680000001</v>
      </c>
      <c r="E16" s="210">
        <f t="shared" ref="E16:O16" si="5">SUM(E6:E12)</f>
        <v>1292855.5560000001</v>
      </c>
      <c r="F16" s="210">
        <f t="shared" si="5"/>
        <v>1540855.662</v>
      </c>
      <c r="G16" s="210">
        <f t="shared" si="5"/>
        <v>1309660.1270000001</v>
      </c>
      <c r="H16" s="210">
        <f t="shared" si="5"/>
        <v>1253606.183</v>
      </c>
      <c r="I16" s="210">
        <f t="shared" si="5"/>
        <v>1211937.757</v>
      </c>
      <c r="J16" s="210">
        <f t="shared" si="5"/>
        <v>1184160.5349999999</v>
      </c>
      <c r="K16" s="210">
        <f t="shared" si="5"/>
        <v>1155522.8470000001</v>
      </c>
      <c r="L16" s="210">
        <f t="shared" si="5"/>
        <v>1539049.54</v>
      </c>
      <c r="M16" s="925">
        <f t="shared" si="5"/>
        <v>1635243.692</v>
      </c>
      <c r="N16" s="925">
        <f t="shared" si="5"/>
        <v>1645136.9279999998</v>
      </c>
      <c r="O16" s="211">
        <f t="shared" si="5"/>
        <v>16675470.467</v>
      </c>
      <c r="P16" s="120">
        <f t="shared" si="1"/>
        <v>13</v>
      </c>
      <c r="Q16" s="764"/>
    </row>
    <row r="17" spans="1:16" ht="19.5" thickTop="1" thickBot="1" x14ac:dyDescent="0.3">
      <c r="A17" s="120">
        <f t="shared" si="0"/>
        <v>14</v>
      </c>
      <c r="B17" s="212"/>
      <c r="C17" s="82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3"/>
      <c r="O17" s="214"/>
      <c r="P17" s="120">
        <f t="shared" si="1"/>
        <v>14</v>
      </c>
    </row>
    <row r="18" spans="1:16" x14ac:dyDescent="0.25">
      <c r="A18" s="120">
        <f t="shared" si="0"/>
        <v>15</v>
      </c>
      <c r="B18" s="215" t="s">
        <v>253</v>
      </c>
      <c r="C18" s="216">
        <f>C5</f>
        <v>45200</v>
      </c>
      <c r="D18" s="217">
        <f t="shared" ref="D18:O18" si="6">D5</f>
        <v>45231</v>
      </c>
      <c r="E18" s="217">
        <f t="shared" si="6"/>
        <v>45261</v>
      </c>
      <c r="F18" s="217">
        <f t="shared" si="6"/>
        <v>45292</v>
      </c>
      <c r="G18" s="217">
        <f t="shared" si="6"/>
        <v>45323</v>
      </c>
      <c r="H18" s="217">
        <f t="shared" si="6"/>
        <v>45352</v>
      </c>
      <c r="I18" s="217">
        <f t="shared" si="6"/>
        <v>45383</v>
      </c>
      <c r="J18" s="217">
        <f t="shared" si="6"/>
        <v>45413</v>
      </c>
      <c r="K18" s="217">
        <f t="shared" si="6"/>
        <v>45444</v>
      </c>
      <c r="L18" s="217">
        <f t="shared" si="6"/>
        <v>45474</v>
      </c>
      <c r="M18" s="217">
        <f t="shared" si="6"/>
        <v>45505</v>
      </c>
      <c r="N18" s="217">
        <f t="shared" si="6"/>
        <v>45536</v>
      </c>
      <c r="O18" s="185" t="str">
        <f t="shared" si="6"/>
        <v>Total</v>
      </c>
      <c r="P18" s="120">
        <f t="shared" si="1"/>
        <v>15</v>
      </c>
    </row>
    <row r="19" spans="1:16" x14ac:dyDescent="0.25">
      <c r="A19" s="120">
        <f t="shared" si="0"/>
        <v>16</v>
      </c>
      <c r="B19" s="218" t="s">
        <v>254</v>
      </c>
      <c r="C19" s="2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23"/>
      <c r="P19" s="120">
        <f t="shared" si="1"/>
        <v>16</v>
      </c>
    </row>
    <row r="20" spans="1:16" x14ac:dyDescent="0.25">
      <c r="A20" s="120">
        <f t="shared" si="0"/>
        <v>17</v>
      </c>
      <c r="B20" s="125" t="s">
        <v>255</v>
      </c>
      <c r="C20" s="117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852">
        <f>SUM(C20:N20)</f>
        <v>0</v>
      </c>
      <c r="P20" s="120">
        <f t="shared" si="1"/>
        <v>17</v>
      </c>
    </row>
    <row r="21" spans="1:16" x14ac:dyDescent="0.25">
      <c r="A21" s="120">
        <f t="shared" si="0"/>
        <v>18</v>
      </c>
      <c r="B21" s="125" t="s">
        <v>256</v>
      </c>
      <c r="C21" s="117">
        <f>C8</f>
        <v>819745.20299999998</v>
      </c>
      <c r="D21" s="93">
        <f t="shared" ref="D21:N21" si="7">D8</f>
        <v>701179.87800000003</v>
      </c>
      <c r="E21" s="93">
        <f t="shared" si="7"/>
        <v>659343.85699999996</v>
      </c>
      <c r="F21" s="93">
        <f t="shared" si="7"/>
        <v>721136.97499999998</v>
      </c>
      <c r="G21" s="93">
        <f t="shared" si="7"/>
        <v>633061.46699999995</v>
      </c>
      <c r="H21" s="93">
        <f t="shared" si="7"/>
        <v>641098.80300000007</v>
      </c>
      <c r="I21" s="93">
        <f t="shared" si="7"/>
        <v>659661.30599999998</v>
      </c>
      <c r="J21" s="93">
        <f t="shared" si="7"/>
        <v>669131.64500000002</v>
      </c>
      <c r="K21" s="93">
        <f t="shared" si="7"/>
        <v>644718.30900000001</v>
      </c>
      <c r="L21" s="93">
        <f t="shared" si="7"/>
        <v>825954.35499999986</v>
      </c>
      <c r="M21" s="93">
        <f t="shared" si="7"/>
        <v>798081.24</v>
      </c>
      <c r="N21" s="93">
        <f t="shared" si="7"/>
        <v>790972.14500000002</v>
      </c>
      <c r="O21" s="199">
        <f>SUM(C21:N21)</f>
        <v>8564085.1830000002</v>
      </c>
      <c r="P21" s="120">
        <f t="shared" si="1"/>
        <v>18</v>
      </c>
    </row>
    <row r="22" spans="1:16" x14ac:dyDescent="0.25">
      <c r="A22" s="120">
        <f t="shared" si="0"/>
        <v>19</v>
      </c>
      <c r="B22" s="125" t="s">
        <v>257</v>
      </c>
      <c r="C22" s="117">
        <v>0</v>
      </c>
      <c r="D22" s="481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19">
        <f>SUM(C22:N22)</f>
        <v>0</v>
      </c>
      <c r="P22" s="120">
        <f t="shared" si="1"/>
        <v>19</v>
      </c>
    </row>
    <row r="23" spans="1:16" ht="18.75" thickBot="1" x14ac:dyDescent="0.3">
      <c r="A23" s="120">
        <f t="shared" si="0"/>
        <v>20</v>
      </c>
      <c r="B23" s="120" t="s">
        <v>18</v>
      </c>
      <c r="C23" s="221">
        <f>SUM(C20:C22)</f>
        <v>819745.20299999998</v>
      </c>
      <c r="D23" s="438">
        <f t="shared" ref="D23:O23" si="8">SUM(D20:D22)</f>
        <v>701179.87800000003</v>
      </c>
      <c r="E23" s="222">
        <f t="shared" si="8"/>
        <v>659343.85699999996</v>
      </c>
      <c r="F23" s="222">
        <f t="shared" si="8"/>
        <v>721136.97499999998</v>
      </c>
      <c r="G23" s="222">
        <f t="shared" si="8"/>
        <v>633061.46699999995</v>
      </c>
      <c r="H23" s="222">
        <f t="shared" si="8"/>
        <v>641098.80300000007</v>
      </c>
      <c r="I23" s="222">
        <f t="shared" si="8"/>
        <v>659661.30599999998</v>
      </c>
      <c r="J23" s="222">
        <f t="shared" si="8"/>
        <v>669131.64500000002</v>
      </c>
      <c r="K23" s="222">
        <f t="shared" si="8"/>
        <v>644718.30900000001</v>
      </c>
      <c r="L23" s="222">
        <f t="shared" si="8"/>
        <v>825954.35499999986</v>
      </c>
      <c r="M23" s="926">
        <f t="shared" si="8"/>
        <v>798081.24</v>
      </c>
      <c r="N23" s="926">
        <f t="shared" si="8"/>
        <v>790972.14500000002</v>
      </c>
      <c r="O23" s="223">
        <f t="shared" si="8"/>
        <v>8564085.1830000002</v>
      </c>
      <c r="P23" s="120">
        <f t="shared" si="1"/>
        <v>20</v>
      </c>
    </row>
    <row r="24" spans="1:16" ht="19.5" thickTop="1" thickBot="1" x14ac:dyDescent="0.3">
      <c r="A24" s="121">
        <f>A23+1</f>
        <v>21</v>
      </c>
      <c r="B24" s="126"/>
      <c r="C24" s="212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24"/>
      <c r="P24" s="121">
        <f>P23+1</f>
        <v>21</v>
      </c>
    </row>
    <row r="26" spans="1:16" ht="18.75" thickBot="1" x14ac:dyDescent="0.3"/>
    <row r="27" spans="1:16" x14ac:dyDescent="0.25">
      <c r="A27" s="150" t="s">
        <v>8</v>
      </c>
      <c r="B27" s="985" t="s">
        <v>258</v>
      </c>
      <c r="C27" s="986"/>
      <c r="D27" s="986"/>
      <c r="E27" s="986"/>
      <c r="F27" s="986"/>
      <c r="G27" s="986"/>
      <c r="H27" s="986"/>
      <c r="I27" s="986"/>
      <c r="J27" s="986"/>
      <c r="K27" s="986"/>
      <c r="L27" s="986"/>
      <c r="M27" s="986"/>
      <c r="N27" s="986"/>
      <c r="O27" s="987"/>
      <c r="P27" s="150" t="s">
        <v>8</v>
      </c>
    </row>
    <row r="28" spans="1:16" ht="18.75" thickBot="1" x14ac:dyDescent="0.3">
      <c r="A28" s="121" t="s">
        <v>11</v>
      </c>
      <c r="B28" s="988" t="str">
        <f>B3</f>
        <v>Recorded Billing Determinants for the 12-Month Period: October 2023 - September 2024</v>
      </c>
      <c r="C28" s="989"/>
      <c r="D28" s="989"/>
      <c r="E28" s="989"/>
      <c r="F28" s="989"/>
      <c r="G28" s="989"/>
      <c r="H28" s="989"/>
      <c r="I28" s="989"/>
      <c r="J28" s="989"/>
      <c r="K28" s="989"/>
      <c r="L28" s="989"/>
      <c r="M28" s="989"/>
      <c r="N28" s="989"/>
      <c r="O28" s="990"/>
      <c r="P28" s="121" t="s">
        <v>11</v>
      </c>
    </row>
    <row r="29" spans="1:16" x14ac:dyDescent="0.25">
      <c r="A29" s="120">
        <f>A24+1</f>
        <v>22</v>
      </c>
      <c r="B29" s="182" t="s">
        <v>244</v>
      </c>
      <c r="C29" s="22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22"/>
      <c r="P29" s="120">
        <f>P24+1</f>
        <v>22</v>
      </c>
    </row>
    <row r="30" spans="1:16" x14ac:dyDescent="0.25">
      <c r="A30" s="120">
        <f>A29+1</f>
        <v>23</v>
      </c>
      <c r="B30" s="184" t="s">
        <v>259</v>
      </c>
      <c r="C30" s="216">
        <f t="shared" ref="C30:N30" si="9">C5</f>
        <v>45200</v>
      </c>
      <c r="D30" s="217">
        <f t="shared" si="9"/>
        <v>45231</v>
      </c>
      <c r="E30" s="217">
        <f t="shared" si="9"/>
        <v>45261</v>
      </c>
      <c r="F30" s="217">
        <f t="shared" si="9"/>
        <v>45292</v>
      </c>
      <c r="G30" s="217">
        <f t="shared" si="9"/>
        <v>45323</v>
      </c>
      <c r="H30" s="217">
        <f t="shared" si="9"/>
        <v>45352</v>
      </c>
      <c r="I30" s="217">
        <f t="shared" si="9"/>
        <v>45383</v>
      </c>
      <c r="J30" s="217">
        <f t="shared" si="9"/>
        <v>45413</v>
      </c>
      <c r="K30" s="217">
        <f t="shared" si="9"/>
        <v>45444</v>
      </c>
      <c r="L30" s="217">
        <f t="shared" si="9"/>
        <v>45474</v>
      </c>
      <c r="M30" s="217">
        <f t="shared" si="9"/>
        <v>45505</v>
      </c>
      <c r="N30" s="217">
        <f t="shared" si="9"/>
        <v>45536</v>
      </c>
      <c r="O30" s="185" t="s">
        <v>18</v>
      </c>
      <c r="P30" s="120">
        <f>P29+1</f>
        <v>23</v>
      </c>
    </row>
    <row r="31" spans="1:16" x14ac:dyDescent="0.25">
      <c r="A31" s="120">
        <f>A30+1</f>
        <v>24</v>
      </c>
      <c r="B31" s="149" t="s">
        <v>246</v>
      </c>
      <c r="C31" s="117">
        <f t="shared" ref="C31:N31" si="10">C6*1000</f>
        <v>462035247</v>
      </c>
      <c r="D31" s="197">
        <f t="shared" si="10"/>
        <v>393042764</v>
      </c>
      <c r="E31" s="197">
        <f t="shared" si="10"/>
        <v>417745392</v>
      </c>
      <c r="F31" s="197">
        <f t="shared" si="10"/>
        <v>558383069</v>
      </c>
      <c r="G31" s="197">
        <f t="shared" si="10"/>
        <v>455198067</v>
      </c>
      <c r="H31" s="197">
        <f t="shared" si="10"/>
        <v>397035067</v>
      </c>
      <c r="I31" s="197">
        <f t="shared" si="10"/>
        <v>333337222</v>
      </c>
      <c r="J31" s="197">
        <f t="shared" si="10"/>
        <v>293484663</v>
      </c>
      <c r="K31" s="197">
        <f t="shared" si="10"/>
        <v>293978962</v>
      </c>
      <c r="L31" s="197">
        <f t="shared" si="10"/>
        <v>455915094</v>
      </c>
      <c r="M31" s="197">
        <f t="shared" si="10"/>
        <v>576528125</v>
      </c>
      <c r="N31" s="197">
        <f t="shared" si="10"/>
        <v>598097012</v>
      </c>
      <c r="O31" s="852">
        <f>SUM(C31:N31)</f>
        <v>5234780684</v>
      </c>
      <c r="P31" s="120">
        <f>P30+1</f>
        <v>24</v>
      </c>
    </row>
    <row r="32" spans="1:16" x14ac:dyDescent="0.25">
      <c r="A32" s="120">
        <f t="shared" ref="A32:A48" si="11">A31+1</f>
        <v>25</v>
      </c>
      <c r="B32" s="149" t="s">
        <v>247</v>
      </c>
      <c r="C32" s="117">
        <f t="shared" ref="C32:N32" si="12">C7*1000</f>
        <v>222092096</v>
      </c>
      <c r="D32" s="197">
        <f t="shared" si="12"/>
        <v>198189394</v>
      </c>
      <c r="E32" s="197">
        <f t="shared" si="12"/>
        <v>187082299</v>
      </c>
      <c r="F32" s="197">
        <f t="shared" si="12"/>
        <v>220006095</v>
      </c>
      <c r="G32" s="197">
        <f t="shared" si="12"/>
        <v>187400361</v>
      </c>
      <c r="H32" s="197">
        <f t="shared" si="12"/>
        <v>185803665</v>
      </c>
      <c r="I32" s="197">
        <f t="shared" si="12"/>
        <v>188773957</v>
      </c>
      <c r="J32" s="197">
        <f t="shared" si="12"/>
        <v>187310384</v>
      </c>
      <c r="K32" s="197">
        <f t="shared" si="12"/>
        <v>179545938</v>
      </c>
      <c r="L32" s="197">
        <f t="shared" si="12"/>
        <v>208835117</v>
      </c>
      <c r="M32" s="197">
        <f t="shared" si="12"/>
        <v>212064200</v>
      </c>
      <c r="N32" s="197">
        <f t="shared" si="12"/>
        <v>214705379</v>
      </c>
      <c r="O32" s="852">
        <f>SUM(C32:N32)</f>
        <v>2391808885</v>
      </c>
      <c r="P32" s="120">
        <f t="shared" ref="P32:P48" si="13">P31+1</f>
        <v>25</v>
      </c>
    </row>
    <row r="33" spans="1:18" x14ac:dyDescent="0.25">
      <c r="A33" s="120">
        <f t="shared" si="11"/>
        <v>26</v>
      </c>
      <c r="B33" s="149" t="s">
        <v>248</v>
      </c>
      <c r="C33" s="903">
        <f>C48</f>
        <v>819745203</v>
      </c>
      <c r="D33" s="904">
        <f>D48</f>
        <v>701179878</v>
      </c>
      <c r="E33" s="904">
        <f t="shared" ref="E33:N33" si="14">E48</f>
        <v>659343857</v>
      </c>
      <c r="F33" s="904">
        <f t="shared" si="14"/>
        <v>721136975</v>
      </c>
      <c r="G33" s="904">
        <f t="shared" si="14"/>
        <v>633061467</v>
      </c>
      <c r="H33" s="904">
        <f t="shared" si="14"/>
        <v>641098803.00000012</v>
      </c>
      <c r="I33" s="904">
        <f t="shared" si="14"/>
        <v>659661306</v>
      </c>
      <c r="J33" s="904">
        <f t="shared" si="14"/>
        <v>669131645</v>
      </c>
      <c r="K33" s="904">
        <f t="shared" si="14"/>
        <v>644718309</v>
      </c>
      <c r="L33" s="904">
        <f t="shared" si="14"/>
        <v>825954354.99999988</v>
      </c>
      <c r="M33" s="904">
        <f t="shared" si="14"/>
        <v>798081240</v>
      </c>
      <c r="N33" s="904">
        <f t="shared" si="14"/>
        <v>790972145</v>
      </c>
      <c r="O33" s="852">
        <f>SUM(C33:N33)</f>
        <v>8564085183</v>
      </c>
      <c r="P33" s="120">
        <f t="shared" si="13"/>
        <v>26</v>
      </c>
    </row>
    <row r="34" spans="1:18" x14ac:dyDescent="0.25">
      <c r="A34" s="120">
        <f t="shared" si="11"/>
        <v>27</v>
      </c>
      <c r="B34" s="202" t="s">
        <v>474</v>
      </c>
      <c r="C34" s="903">
        <f>C9*1000</f>
        <v>1332720</v>
      </c>
      <c r="D34" s="904">
        <f t="shared" ref="D34:N34" si="15">D9*1000</f>
        <v>1353384</v>
      </c>
      <c r="E34" s="904">
        <f t="shared" si="15"/>
        <v>517860</v>
      </c>
      <c r="F34" s="904">
        <f t="shared" si="15"/>
        <v>216720</v>
      </c>
      <c r="G34" s="904">
        <f t="shared" si="15"/>
        <v>453588</v>
      </c>
      <c r="H34" s="904">
        <f t="shared" si="15"/>
        <v>352380</v>
      </c>
      <c r="I34" s="904">
        <f t="shared" si="15"/>
        <v>1098012</v>
      </c>
      <c r="J34" s="904">
        <f t="shared" si="15"/>
        <v>195552</v>
      </c>
      <c r="K34" s="904">
        <f t="shared" si="15"/>
        <v>0</v>
      </c>
      <c r="L34" s="904">
        <f t="shared" si="15"/>
        <v>60</v>
      </c>
      <c r="M34" s="904">
        <f t="shared" si="15"/>
        <v>0</v>
      </c>
      <c r="N34" s="904">
        <f t="shared" si="15"/>
        <v>102324</v>
      </c>
      <c r="O34" s="852">
        <f t="shared" ref="O34:O35" si="16">SUM(C34:N34)</f>
        <v>5622600</v>
      </c>
      <c r="P34" s="120">
        <f t="shared" si="13"/>
        <v>27</v>
      </c>
    </row>
    <row r="35" spans="1:18" x14ac:dyDescent="0.25">
      <c r="A35" s="120">
        <f t="shared" si="11"/>
        <v>28</v>
      </c>
      <c r="B35" s="202" t="s">
        <v>249</v>
      </c>
      <c r="C35" s="117">
        <f t="shared" ref="C35:N35" si="17">C10*1000</f>
        <v>13893070.999999996</v>
      </c>
      <c r="D35" s="197">
        <f t="shared" si="17"/>
        <v>11602440.999999998</v>
      </c>
      <c r="E35" s="197">
        <f t="shared" si="17"/>
        <v>4686020.9999999972</v>
      </c>
      <c r="F35" s="197">
        <f t="shared" si="17"/>
        <v>8988399.0000000019</v>
      </c>
      <c r="G35" s="197">
        <f t="shared" si="17"/>
        <v>10185810.000000002</v>
      </c>
      <c r="H35" s="197">
        <f t="shared" si="17"/>
        <v>6345862.9999999991</v>
      </c>
      <c r="I35" s="197">
        <f t="shared" si="17"/>
        <v>6776420.9999999981</v>
      </c>
      <c r="J35" s="197">
        <f t="shared" si="17"/>
        <v>10305223.000000002</v>
      </c>
      <c r="K35" s="197">
        <f t="shared" si="17"/>
        <v>13116554</v>
      </c>
      <c r="L35" s="197">
        <f t="shared" si="17"/>
        <v>17738239.999999996</v>
      </c>
      <c r="M35" s="197">
        <f t="shared" si="17"/>
        <v>19593181.999999996</v>
      </c>
      <c r="N35" s="197">
        <f t="shared" si="17"/>
        <v>19859383</v>
      </c>
      <c r="O35" s="852">
        <f t="shared" si="16"/>
        <v>143090608</v>
      </c>
      <c r="P35" s="120">
        <f t="shared" si="13"/>
        <v>28</v>
      </c>
    </row>
    <row r="36" spans="1:18" x14ac:dyDescent="0.25">
      <c r="A36" s="120">
        <f t="shared" si="11"/>
        <v>29</v>
      </c>
      <c r="B36" s="202" t="s">
        <v>105</v>
      </c>
      <c r="C36" s="117">
        <f t="shared" ref="C36:N36" si="18">C11*1000</f>
        <v>23335305</v>
      </c>
      <c r="D36" s="197">
        <f t="shared" si="18"/>
        <v>46863775</v>
      </c>
      <c r="E36" s="197">
        <f t="shared" si="18"/>
        <v>16905935</v>
      </c>
      <c r="F36" s="197">
        <f t="shared" si="18"/>
        <v>25528904</v>
      </c>
      <c r="G36" s="197">
        <f t="shared" si="18"/>
        <v>18532285</v>
      </c>
      <c r="H36" s="197">
        <f t="shared" si="18"/>
        <v>15194959</v>
      </c>
      <c r="I36" s="197">
        <f t="shared" si="18"/>
        <v>16249933</v>
      </c>
      <c r="J36" s="197">
        <f t="shared" si="18"/>
        <v>17442160</v>
      </c>
      <c r="K36" s="197">
        <f t="shared" si="18"/>
        <v>17745855</v>
      </c>
      <c r="L36" s="197">
        <f t="shared" si="18"/>
        <v>24166722</v>
      </c>
      <c r="M36" s="197">
        <f t="shared" si="18"/>
        <v>21802270</v>
      </c>
      <c r="N36" s="197">
        <f t="shared" si="18"/>
        <v>20116169</v>
      </c>
      <c r="O36" s="852">
        <f t="shared" ref="O36" si="19">SUM(C36:N36)</f>
        <v>263884272</v>
      </c>
      <c r="P36" s="120">
        <f t="shared" si="13"/>
        <v>29</v>
      </c>
    </row>
    <row r="37" spans="1:18" x14ac:dyDescent="0.25">
      <c r="A37" s="120">
        <f t="shared" si="11"/>
        <v>30</v>
      </c>
      <c r="B37" s="149" t="s">
        <v>250</v>
      </c>
      <c r="C37" s="117">
        <f t="shared" ref="C37:N37" si="20">C12*1000</f>
        <v>6388830</v>
      </c>
      <c r="D37" s="197">
        <f t="shared" si="20"/>
        <v>6387532</v>
      </c>
      <c r="E37" s="197">
        <f t="shared" si="20"/>
        <v>6574192</v>
      </c>
      <c r="F37" s="197">
        <f t="shared" si="20"/>
        <v>6595500</v>
      </c>
      <c r="G37" s="197">
        <f t="shared" si="20"/>
        <v>4828549</v>
      </c>
      <c r="H37" s="197">
        <f t="shared" si="20"/>
        <v>7775446</v>
      </c>
      <c r="I37" s="197">
        <f t="shared" si="20"/>
        <v>6040906</v>
      </c>
      <c r="J37" s="197">
        <f t="shared" si="20"/>
        <v>6290908</v>
      </c>
      <c r="K37" s="197">
        <f t="shared" si="20"/>
        <v>6417229</v>
      </c>
      <c r="L37" s="197">
        <f t="shared" si="20"/>
        <v>6439952</v>
      </c>
      <c r="M37" s="197">
        <f t="shared" si="20"/>
        <v>7174675</v>
      </c>
      <c r="N37" s="197">
        <f t="shared" si="20"/>
        <v>1284516</v>
      </c>
      <c r="O37" s="852">
        <f>SUM(C37:N37)</f>
        <v>72198235</v>
      </c>
      <c r="P37" s="120">
        <f t="shared" si="13"/>
        <v>30</v>
      </c>
    </row>
    <row r="38" spans="1:18" x14ac:dyDescent="0.25">
      <c r="A38" s="120">
        <f t="shared" si="11"/>
        <v>31</v>
      </c>
      <c r="B38" s="203" t="s">
        <v>7</v>
      </c>
      <c r="C38" s="117">
        <f t="shared" ref="C38:N38" si="21">C13*1000</f>
        <v>9439</v>
      </c>
      <c r="D38" s="197">
        <f t="shared" si="21"/>
        <v>9061</v>
      </c>
      <c r="E38" s="197">
        <f t="shared" si="21"/>
        <v>6314</v>
      </c>
      <c r="F38" s="197">
        <f t="shared" si="21"/>
        <v>6528</v>
      </c>
      <c r="G38" s="197">
        <f t="shared" si="21"/>
        <v>5371</v>
      </c>
      <c r="H38" s="197">
        <f t="shared" si="21"/>
        <v>5308</v>
      </c>
      <c r="I38" s="197">
        <f t="shared" si="21"/>
        <v>5822</v>
      </c>
      <c r="J38" s="197">
        <f t="shared" si="21"/>
        <v>5353</v>
      </c>
      <c r="K38" s="197">
        <f t="shared" si="21"/>
        <v>7058</v>
      </c>
      <c r="L38" s="197">
        <f t="shared" si="21"/>
        <v>10033</v>
      </c>
      <c r="M38" s="197">
        <f t="shared" si="21"/>
        <v>10182</v>
      </c>
      <c r="N38" s="197">
        <f t="shared" si="21"/>
        <v>9899</v>
      </c>
      <c r="O38" s="852">
        <f>SUM(C38:N38)</f>
        <v>90368</v>
      </c>
      <c r="P38" s="120">
        <f t="shared" si="13"/>
        <v>31</v>
      </c>
      <c r="Q38" s="764"/>
    </row>
    <row r="39" spans="1:18" ht="18.75" thickBot="1" x14ac:dyDescent="0.3">
      <c r="A39" s="120">
        <f t="shared" si="11"/>
        <v>32</v>
      </c>
      <c r="B39" s="204" t="s">
        <v>251</v>
      </c>
      <c r="C39" s="205">
        <f>SUM(C31:C38)</f>
        <v>1548831911</v>
      </c>
      <c r="D39" s="206">
        <f t="shared" ref="D39:N39" si="22">SUM(D31:D38)</f>
        <v>1358628229</v>
      </c>
      <c r="E39" s="206">
        <f t="shared" si="22"/>
        <v>1292861870</v>
      </c>
      <c r="F39" s="206">
        <f t="shared" si="22"/>
        <v>1540862190</v>
      </c>
      <c r="G39" s="206">
        <f t="shared" si="22"/>
        <v>1309665498</v>
      </c>
      <c r="H39" s="206">
        <f t="shared" si="22"/>
        <v>1253611491</v>
      </c>
      <c r="I39" s="206">
        <f t="shared" si="22"/>
        <v>1211943579</v>
      </c>
      <c r="J39" s="206">
        <f t="shared" si="22"/>
        <v>1184165888</v>
      </c>
      <c r="K39" s="206">
        <f t="shared" si="22"/>
        <v>1155529905</v>
      </c>
      <c r="L39" s="206">
        <f t="shared" si="22"/>
        <v>1539059573</v>
      </c>
      <c r="M39" s="924">
        <f t="shared" si="22"/>
        <v>1635253874</v>
      </c>
      <c r="N39" s="924">
        <f t="shared" si="22"/>
        <v>1645146827</v>
      </c>
      <c r="O39" s="207">
        <f>SUM(O31:O38)</f>
        <v>16675560835</v>
      </c>
      <c r="P39" s="120">
        <f t="shared" si="13"/>
        <v>32</v>
      </c>
      <c r="Q39" s="764"/>
    </row>
    <row r="40" spans="1:18" ht="18.75" thickTop="1" x14ac:dyDescent="0.25">
      <c r="A40" s="120">
        <f t="shared" si="11"/>
        <v>33</v>
      </c>
      <c r="B40" s="208"/>
      <c r="C40" s="819"/>
      <c r="D40" s="201"/>
      <c r="E40" s="201"/>
      <c r="F40" s="201"/>
      <c r="G40" s="201"/>
      <c r="H40" s="201"/>
      <c r="I40" s="201"/>
      <c r="J40" s="201"/>
      <c r="K40" s="201"/>
      <c r="L40" s="201"/>
      <c r="M40" s="923"/>
      <c r="N40" s="927"/>
      <c r="O40" s="199"/>
      <c r="P40" s="120">
        <f t="shared" si="13"/>
        <v>33</v>
      </c>
    </row>
    <row r="41" spans="1:18" ht="18.75" thickBot="1" x14ac:dyDescent="0.3">
      <c r="A41" s="120">
        <f t="shared" si="11"/>
        <v>34</v>
      </c>
      <c r="B41" s="204" t="s">
        <v>252</v>
      </c>
      <c r="C41" s="209">
        <f>SUM(C31:C37)</f>
        <v>1548822472</v>
      </c>
      <c r="D41" s="210">
        <f>SUM(D31:D37)</f>
        <v>1358619168</v>
      </c>
      <c r="E41" s="210">
        <f t="shared" ref="E41:O41" si="23">SUM(E31:E37)</f>
        <v>1292855556</v>
      </c>
      <c r="F41" s="210">
        <f t="shared" si="23"/>
        <v>1540855662</v>
      </c>
      <c r="G41" s="210">
        <f t="shared" si="23"/>
        <v>1309660127</v>
      </c>
      <c r="H41" s="210">
        <f t="shared" si="23"/>
        <v>1253606183</v>
      </c>
      <c r="I41" s="210">
        <f t="shared" si="23"/>
        <v>1211937757</v>
      </c>
      <c r="J41" s="210">
        <f t="shared" si="23"/>
        <v>1184160535</v>
      </c>
      <c r="K41" s="210">
        <f t="shared" si="23"/>
        <v>1155522847</v>
      </c>
      <c r="L41" s="210">
        <f t="shared" si="23"/>
        <v>1539049540</v>
      </c>
      <c r="M41" s="925">
        <f t="shared" si="23"/>
        <v>1635243692</v>
      </c>
      <c r="N41" s="925">
        <f t="shared" si="23"/>
        <v>1645136928</v>
      </c>
      <c r="O41" s="211">
        <f t="shared" si="23"/>
        <v>16675470467</v>
      </c>
      <c r="P41" s="120">
        <f t="shared" si="13"/>
        <v>34</v>
      </c>
      <c r="Q41" s="764"/>
    </row>
    <row r="42" spans="1:18" ht="19.5" thickTop="1" thickBot="1" x14ac:dyDescent="0.3">
      <c r="A42" s="120">
        <f t="shared" si="11"/>
        <v>35</v>
      </c>
      <c r="B42" s="212"/>
      <c r="C42" s="212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213"/>
      <c r="O42" s="361"/>
      <c r="P42" s="120">
        <f t="shared" si="13"/>
        <v>35</v>
      </c>
      <c r="Q42" s="242"/>
      <c r="R42" s="884">
        <f>O41-'Stmnt BD - Recorded KWH'!E26</f>
        <v>0</v>
      </c>
    </row>
    <row r="43" spans="1:18" x14ac:dyDescent="0.25">
      <c r="A43" s="120">
        <f t="shared" si="11"/>
        <v>36</v>
      </c>
      <c r="B43" s="215" t="str">
        <f>B18</f>
        <v>INPUT FROM RECORDED SALES FILE:</v>
      </c>
      <c r="C43" s="216">
        <f>C30</f>
        <v>45200</v>
      </c>
      <c r="D43" s="217">
        <f t="shared" ref="D43:O43" si="24">D30</f>
        <v>45231</v>
      </c>
      <c r="E43" s="217">
        <f t="shared" si="24"/>
        <v>45261</v>
      </c>
      <c r="F43" s="217">
        <f t="shared" si="24"/>
        <v>45292</v>
      </c>
      <c r="G43" s="217">
        <f t="shared" si="24"/>
        <v>45323</v>
      </c>
      <c r="H43" s="217">
        <f t="shared" si="24"/>
        <v>45352</v>
      </c>
      <c r="I43" s="217">
        <f t="shared" si="24"/>
        <v>45383</v>
      </c>
      <c r="J43" s="217">
        <f t="shared" si="24"/>
        <v>45413</v>
      </c>
      <c r="K43" s="217">
        <f t="shared" si="24"/>
        <v>45444</v>
      </c>
      <c r="L43" s="217">
        <f t="shared" si="24"/>
        <v>45474</v>
      </c>
      <c r="M43" s="217">
        <f t="shared" si="24"/>
        <v>45505</v>
      </c>
      <c r="N43" s="217">
        <f t="shared" si="24"/>
        <v>45536</v>
      </c>
      <c r="O43" s="185" t="str">
        <f t="shared" si="24"/>
        <v>Total</v>
      </c>
      <c r="P43" s="120">
        <f t="shared" si="13"/>
        <v>36</v>
      </c>
    </row>
    <row r="44" spans="1:18" x14ac:dyDescent="0.25">
      <c r="A44" s="120">
        <f t="shared" si="11"/>
        <v>37</v>
      </c>
      <c r="B44" s="218" t="s">
        <v>260</v>
      </c>
      <c r="C44" s="21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23"/>
      <c r="P44" s="120">
        <f t="shared" si="13"/>
        <v>37</v>
      </c>
    </row>
    <row r="45" spans="1:18" x14ac:dyDescent="0.25">
      <c r="A45" s="120">
        <f t="shared" si="11"/>
        <v>38</v>
      </c>
      <c r="B45" s="125" t="s">
        <v>255</v>
      </c>
      <c r="C45" s="117">
        <f t="shared" ref="C45:N45" si="25">C20*1000</f>
        <v>0</v>
      </c>
      <c r="D45" s="197">
        <f t="shared" si="25"/>
        <v>0</v>
      </c>
      <c r="E45" s="197">
        <f t="shared" si="25"/>
        <v>0</v>
      </c>
      <c r="F45" s="197">
        <f t="shared" si="25"/>
        <v>0</v>
      </c>
      <c r="G45" s="197">
        <f t="shared" si="25"/>
        <v>0</v>
      </c>
      <c r="H45" s="197">
        <f t="shared" si="25"/>
        <v>0</v>
      </c>
      <c r="I45" s="197">
        <f t="shared" si="25"/>
        <v>0</v>
      </c>
      <c r="J45" s="197">
        <f t="shared" si="25"/>
        <v>0</v>
      </c>
      <c r="K45" s="197">
        <f t="shared" si="25"/>
        <v>0</v>
      </c>
      <c r="L45" s="197">
        <f t="shared" si="25"/>
        <v>0</v>
      </c>
      <c r="M45" s="197">
        <f t="shared" si="25"/>
        <v>0</v>
      </c>
      <c r="N45" s="197">
        <f t="shared" si="25"/>
        <v>0</v>
      </c>
      <c r="O45" s="852">
        <f>SUM(C45:N45)</f>
        <v>0</v>
      </c>
      <c r="P45" s="120">
        <f t="shared" si="13"/>
        <v>38</v>
      </c>
    </row>
    <row r="46" spans="1:18" x14ac:dyDescent="0.25">
      <c r="A46" s="120">
        <f t="shared" si="11"/>
        <v>39</v>
      </c>
      <c r="B46" s="125" t="s">
        <v>256</v>
      </c>
      <c r="C46" s="117">
        <f t="shared" ref="C46:N46" si="26">C21*1000</f>
        <v>819745203</v>
      </c>
      <c r="D46" s="197">
        <f t="shared" si="26"/>
        <v>701179878</v>
      </c>
      <c r="E46" s="197">
        <f t="shared" si="26"/>
        <v>659343857</v>
      </c>
      <c r="F46" s="197">
        <f t="shared" si="26"/>
        <v>721136975</v>
      </c>
      <c r="G46" s="197">
        <f t="shared" si="26"/>
        <v>633061467</v>
      </c>
      <c r="H46" s="197">
        <f t="shared" si="26"/>
        <v>641098803.00000012</v>
      </c>
      <c r="I46" s="197">
        <f t="shared" si="26"/>
        <v>659661306</v>
      </c>
      <c r="J46" s="197">
        <f t="shared" si="26"/>
        <v>669131645</v>
      </c>
      <c r="K46" s="197">
        <f t="shared" si="26"/>
        <v>644718309</v>
      </c>
      <c r="L46" s="197">
        <f t="shared" si="26"/>
        <v>825954354.99999988</v>
      </c>
      <c r="M46" s="197">
        <f t="shared" si="26"/>
        <v>798081240</v>
      </c>
      <c r="N46" s="197">
        <f t="shared" si="26"/>
        <v>790972145</v>
      </c>
      <c r="O46" s="199">
        <f>SUM(C46:N46)</f>
        <v>8564085183</v>
      </c>
      <c r="P46" s="120">
        <f t="shared" si="13"/>
        <v>39</v>
      </c>
    </row>
    <row r="47" spans="1:18" x14ac:dyDescent="0.25">
      <c r="A47" s="120">
        <f t="shared" si="11"/>
        <v>40</v>
      </c>
      <c r="B47" s="125" t="s">
        <v>257</v>
      </c>
      <c r="C47" s="117">
        <f t="shared" ref="C47:N47" si="27">C22*1000</f>
        <v>0</v>
      </c>
      <c r="D47" s="197">
        <f t="shared" si="27"/>
        <v>0</v>
      </c>
      <c r="E47" s="197">
        <f t="shared" si="27"/>
        <v>0</v>
      </c>
      <c r="F47" s="197">
        <f t="shared" si="27"/>
        <v>0</v>
      </c>
      <c r="G47" s="197">
        <f t="shared" si="27"/>
        <v>0</v>
      </c>
      <c r="H47" s="197">
        <f t="shared" si="27"/>
        <v>0</v>
      </c>
      <c r="I47" s="197">
        <f t="shared" si="27"/>
        <v>0</v>
      </c>
      <c r="J47" s="197">
        <f t="shared" si="27"/>
        <v>0</v>
      </c>
      <c r="K47" s="197">
        <f t="shared" si="27"/>
        <v>0</v>
      </c>
      <c r="L47" s="197">
        <f t="shared" si="27"/>
        <v>0</v>
      </c>
      <c r="M47" s="197">
        <f t="shared" si="27"/>
        <v>0</v>
      </c>
      <c r="N47" s="197">
        <f t="shared" si="27"/>
        <v>0</v>
      </c>
      <c r="O47" s="919">
        <f>SUM(C47:N47)</f>
        <v>0</v>
      </c>
      <c r="P47" s="120">
        <f t="shared" si="13"/>
        <v>40</v>
      </c>
    </row>
    <row r="48" spans="1:18" ht="18.75" thickBot="1" x14ac:dyDescent="0.3">
      <c r="A48" s="120">
        <f t="shared" si="11"/>
        <v>41</v>
      </c>
      <c r="B48" s="120" t="s">
        <v>18</v>
      </c>
      <c r="C48" s="221">
        <f>SUM(C45:C47)</f>
        <v>819745203</v>
      </c>
      <c r="D48" s="222">
        <f t="shared" ref="D48:O48" si="28">SUM(D45:D47)</f>
        <v>701179878</v>
      </c>
      <c r="E48" s="222">
        <f t="shared" si="28"/>
        <v>659343857</v>
      </c>
      <c r="F48" s="222">
        <f t="shared" si="28"/>
        <v>721136975</v>
      </c>
      <c r="G48" s="222">
        <f t="shared" si="28"/>
        <v>633061467</v>
      </c>
      <c r="H48" s="222">
        <f t="shared" si="28"/>
        <v>641098803.00000012</v>
      </c>
      <c r="I48" s="222">
        <f t="shared" si="28"/>
        <v>659661306</v>
      </c>
      <c r="J48" s="222">
        <f t="shared" si="28"/>
        <v>669131645</v>
      </c>
      <c r="K48" s="222">
        <f t="shared" si="28"/>
        <v>644718309</v>
      </c>
      <c r="L48" s="222">
        <f t="shared" si="28"/>
        <v>825954354.99999988</v>
      </c>
      <c r="M48" s="926">
        <f t="shared" si="28"/>
        <v>798081240</v>
      </c>
      <c r="N48" s="926">
        <f t="shared" si="28"/>
        <v>790972145</v>
      </c>
      <c r="O48" s="223">
        <f t="shared" si="28"/>
        <v>8564085183</v>
      </c>
      <c r="P48" s="120">
        <f t="shared" si="13"/>
        <v>41</v>
      </c>
    </row>
    <row r="49" spans="1:16" ht="19.5" thickTop="1" thickBot="1" x14ac:dyDescent="0.3">
      <c r="A49" s="121">
        <f>A48+1</f>
        <v>42</v>
      </c>
      <c r="B49" s="126"/>
      <c r="C49" s="212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124"/>
      <c r="P49" s="121">
        <f>P48+1</f>
        <v>42</v>
      </c>
    </row>
  </sheetData>
  <mergeCells count="4">
    <mergeCell ref="B2:O2"/>
    <mergeCell ref="B3:O3"/>
    <mergeCell ref="B27:O27"/>
    <mergeCell ref="B28:O28"/>
  </mergeCells>
  <printOptions horizontalCentered="1"/>
  <pageMargins left="0.25" right="0.25" top="0.5" bottom="0.5" header="0.25" footer="0.25"/>
  <pageSetup scale="50" orientation="landscape" r:id="rId1"/>
  <headerFooter scaleWithDoc="0" alignWithMargins="0">
    <oddFooter>&amp;L&amp;"Times New Roman,Regular"&amp;11&amp;F&amp;C&amp;"Times New Roman,Regular"&amp;11Page 1.1&amp;R&amp;"Times New Roman,Regular"&amp;11&amp;A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9"/>
  <sheetViews>
    <sheetView zoomScale="80" zoomScaleNormal="80" workbookViewId="0"/>
  </sheetViews>
  <sheetFormatPr defaultColWidth="9.42578125" defaultRowHeight="18" x14ac:dyDescent="0.25"/>
  <cols>
    <col min="1" max="1" width="5.5703125" style="180" customWidth="1"/>
    <col min="2" max="2" width="50.5703125" style="180" customWidth="1"/>
    <col min="3" max="3" width="14.5703125" style="180" customWidth="1"/>
    <col min="4" max="15" width="15.5703125" style="180" customWidth="1"/>
    <col min="16" max="16" width="5.5703125" style="180" customWidth="1"/>
    <col min="17" max="17" width="3.7109375" style="180" bestFit="1" customWidth="1"/>
    <col min="18" max="18" width="5.5703125" style="180" bestFit="1" customWidth="1"/>
    <col min="19" max="16384" width="9.42578125" style="180"/>
  </cols>
  <sheetData>
    <row r="1" spans="1:16" ht="18.75" thickBot="1" x14ac:dyDescent="0.3"/>
    <row r="2" spans="1:16" ht="25.5" x14ac:dyDescent="0.35">
      <c r="A2" s="595" t="s">
        <v>8</v>
      </c>
      <c r="B2" s="979" t="s">
        <v>243</v>
      </c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1"/>
      <c r="P2" s="595" t="s">
        <v>8</v>
      </c>
    </row>
    <row r="3" spans="1:16" ht="26.25" thickBot="1" x14ac:dyDescent="0.4">
      <c r="A3" s="181" t="s">
        <v>11</v>
      </c>
      <c r="B3" s="982" t="s">
        <v>488</v>
      </c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4"/>
      <c r="P3" s="181" t="s">
        <v>11</v>
      </c>
    </row>
    <row r="4" spans="1:16" x14ac:dyDescent="0.25">
      <c r="A4" s="120">
        <v>1</v>
      </c>
      <c r="B4" s="416" t="s">
        <v>244</v>
      </c>
      <c r="C4" s="600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6" x14ac:dyDescent="0.25">
      <c r="A5" s="120">
        <f>A4+1</f>
        <v>2</v>
      </c>
      <c r="B5" s="184" t="s">
        <v>245</v>
      </c>
      <c r="C5" s="217">
        <v>45658</v>
      </c>
      <c r="D5" s="217">
        <v>45689</v>
      </c>
      <c r="E5" s="217">
        <v>45717</v>
      </c>
      <c r="F5" s="217">
        <v>45748</v>
      </c>
      <c r="G5" s="217">
        <v>45778</v>
      </c>
      <c r="H5" s="217">
        <v>45809</v>
      </c>
      <c r="I5" s="217">
        <v>45839</v>
      </c>
      <c r="J5" s="217">
        <v>45870</v>
      </c>
      <c r="K5" s="217">
        <v>45901</v>
      </c>
      <c r="L5" s="217">
        <v>45931</v>
      </c>
      <c r="M5" s="217">
        <v>45962</v>
      </c>
      <c r="N5" s="217">
        <v>45992</v>
      </c>
      <c r="O5" s="185" t="s">
        <v>18</v>
      </c>
      <c r="P5" s="120">
        <f>P4+1</f>
        <v>2</v>
      </c>
    </row>
    <row r="6" spans="1:16" x14ac:dyDescent="0.25">
      <c r="A6" s="120">
        <f>A5+1</f>
        <v>3</v>
      </c>
      <c r="B6" s="149" t="s">
        <v>246</v>
      </c>
      <c r="C6" s="93">
        <v>633614.84826131561</v>
      </c>
      <c r="D6" s="93">
        <v>515438.23471526901</v>
      </c>
      <c r="E6" s="93">
        <v>457649.11693538714</v>
      </c>
      <c r="F6" s="93">
        <v>365973.42020850413</v>
      </c>
      <c r="G6" s="93">
        <v>342313.08875184611</v>
      </c>
      <c r="H6" s="93">
        <v>369395.48357729573</v>
      </c>
      <c r="I6" s="93">
        <v>457969.47731707973</v>
      </c>
      <c r="J6" s="93">
        <v>631672.00870622776</v>
      </c>
      <c r="K6" s="93">
        <v>730948.07568545244</v>
      </c>
      <c r="L6" s="93">
        <v>531521.92281533149</v>
      </c>
      <c r="M6" s="93">
        <v>450339.9277139242</v>
      </c>
      <c r="N6" s="93">
        <v>572324.67175000429</v>
      </c>
      <c r="O6" s="852">
        <f>SUM(C6:N6)</f>
        <v>6059160.2764376374</v>
      </c>
      <c r="P6" s="120">
        <f>P5+1</f>
        <v>3</v>
      </c>
    </row>
    <row r="7" spans="1:16" x14ac:dyDescent="0.25">
      <c r="A7" s="120">
        <f t="shared" ref="A7:A23" si="0">A6+1</f>
        <v>4</v>
      </c>
      <c r="B7" s="149" t="s">
        <v>247</v>
      </c>
      <c r="C7" s="93">
        <v>194287.3039717504</v>
      </c>
      <c r="D7" s="93">
        <v>188366.21066135011</v>
      </c>
      <c r="E7" s="93">
        <v>187592.51940328325</v>
      </c>
      <c r="F7" s="93">
        <v>186126.52748780861</v>
      </c>
      <c r="G7" s="93">
        <v>185654.63461696633</v>
      </c>
      <c r="H7" s="93">
        <v>194357.83295760828</v>
      </c>
      <c r="I7" s="93">
        <v>217705.90533345446</v>
      </c>
      <c r="J7" s="93">
        <v>229919.024856437</v>
      </c>
      <c r="K7" s="93">
        <v>241455.99341200775</v>
      </c>
      <c r="L7" s="93">
        <v>214159.40997047324</v>
      </c>
      <c r="M7" s="93">
        <v>197828.25687204243</v>
      </c>
      <c r="N7" s="93">
        <v>190835.62155890607</v>
      </c>
      <c r="O7" s="852">
        <f>SUM(C7:N7)</f>
        <v>2428289.2411020878</v>
      </c>
      <c r="P7" s="120">
        <f t="shared" ref="P7:P23" si="1">P6+1</f>
        <v>4</v>
      </c>
    </row>
    <row r="8" spans="1:16" x14ac:dyDescent="0.25">
      <c r="A8" s="120">
        <f t="shared" si="0"/>
        <v>5</v>
      </c>
      <c r="B8" s="149" t="s">
        <v>261</v>
      </c>
      <c r="C8" s="904">
        <v>751192.25445003656</v>
      </c>
      <c r="D8" s="904">
        <v>713531.3336932211</v>
      </c>
      <c r="E8" s="904">
        <v>714756.6311082578</v>
      </c>
      <c r="F8" s="904">
        <v>718508.29883782356</v>
      </c>
      <c r="G8" s="904">
        <v>724916.88454627106</v>
      </c>
      <c r="H8" s="904">
        <v>760340.00174391037</v>
      </c>
      <c r="I8" s="904">
        <v>838846.18136289914</v>
      </c>
      <c r="J8" s="904">
        <v>875481.60736812791</v>
      </c>
      <c r="K8" s="904">
        <v>915168.82198981917</v>
      </c>
      <c r="L8" s="904">
        <v>830726.29465735017</v>
      </c>
      <c r="M8" s="904">
        <v>757391.54870867194</v>
      </c>
      <c r="N8" s="904">
        <v>759868.65098507213</v>
      </c>
      <c r="O8" s="852">
        <f>SUM(C8:N8)</f>
        <v>9360728.509451462</v>
      </c>
      <c r="P8" s="120">
        <f t="shared" si="1"/>
        <v>5</v>
      </c>
    </row>
    <row r="9" spans="1:16" x14ac:dyDescent="0.25">
      <c r="A9" s="120">
        <f t="shared" si="0"/>
        <v>6</v>
      </c>
      <c r="B9" s="149" t="s">
        <v>474</v>
      </c>
      <c r="C9" s="904">
        <v>595.72</v>
      </c>
      <c r="D9" s="904">
        <v>724.43</v>
      </c>
      <c r="E9" s="904">
        <v>727.4</v>
      </c>
      <c r="F9" s="904">
        <v>931.38</v>
      </c>
      <c r="G9" s="904">
        <v>258.38</v>
      </c>
      <c r="H9" s="904">
        <v>110.63</v>
      </c>
      <c r="I9" s="904">
        <v>125.9</v>
      </c>
      <c r="J9" s="904">
        <v>0.05</v>
      </c>
      <c r="K9" s="904">
        <v>40.380000000000003</v>
      </c>
      <c r="L9" s="904">
        <v>1332.72</v>
      </c>
      <c r="M9" s="904">
        <v>1353.38</v>
      </c>
      <c r="N9" s="904">
        <v>517.86</v>
      </c>
      <c r="O9" s="852">
        <f>SUM(C9:N9)</f>
        <v>6718.2300000000005</v>
      </c>
      <c r="P9" s="120">
        <f t="shared" si="1"/>
        <v>6</v>
      </c>
    </row>
    <row r="10" spans="1:16" x14ac:dyDescent="0.25">
      <c r="A10" s="120">
        <f t="shared" si="0"/>
        <v>7</v>
      </c>
      <c r="B10" s="149" t="s">
        <v>249</v>
      </c>
      <c r="C10" s="904">
        <v>1356.5740800083315</v>
      </c>
      <c r="D10" s="904">
        <v>1511.6018248092589</v>
      </c>
      <c r="E10" s="904">
        <v>1313.2955975330287</v>
      </c>
      <c r="F10" s="904">
        <v>1360.0195674165011</v>
      </c>
      <c r="G10" s="904">
        <v>1926.7179622811209</v>
      </c>
      <c r="H10" s="904">
        <v>2321.4747648105003</v>
      </c>
      <c r="I10" s="904">
        <v>2676.412390714871</v>
      </c>
      <c r="J10" s="904">
        <v>2910.3835419004531</v>
      </c>
      <c r="K10" s="904">
        <v>2905.0897591926309</v>
      </c>
      <c r="L10" s="904">
        <v>2641.5828727467378</v>
      </c>
      <c r="M10" s="904">
        <v>2301.8986884789838</v>
      </c>
      <c r="N10" s="904">
        <v>2082.5100615704914</v>
      </c>
      <c r="O10" s="852">
        <f t="shared" ref="O10:O12" si="2">SUM(C10:N10)</f>
        <v>25307.56111146291</v>
      </c>
      <c r="P10" s="120">
        <f t="shared" si="1"/>
        <v>7</v>
      </c>
    </row>
    <row r="11" spans="1:16" x14ac:dyDescent="0.25">
      <c r="A11" s="120">
        <f t="shared" si="0"/>
        <v>8</v>
      </c>
      <c r="B11" s="149" t="s">
        <v>105</v>
      </c>
      <c r="C11" s="904">
        <v>16898.596174145365</v>
      </c>
      <c r="D11" s="904">
        <v>18281.425836751401</v>
      </c>
      <c r="E11" s="904">
        <v>16418.928256802759</v>
      </c>
      <c r="F11" s="904">
        <v>17288.752517243203</v>
      </c>
      <c r="G11" s="904">
        <v>20061.665198170915</v>
      </c>
      <c r="H11" s="904">
        <v>20603.202325132836</v>
      </c>
      <c r="I11" s="904">
        <v>23004.135715861754</v>
      </c>
      <c r="J11" s="904">
        <v>22863.150521633885</v>
      </c>
      <c r="K11" s="904">
        <v>21957.609857486786</v>
      </c>
      <c r="L11" s="904">
        <v>21563.167661901116</v>
      </c>
      <c r="M11" s="904">
        <v>18985.959067639022</v>
      </c>
      <c r="N11" s="904">
        <v>18145.45705354834</v>
      </c>
      <c r="O11" s="852">
        <f t="shared" si="2"/>
        <v>236072.05018631738</v>
      </c>
      <c r="P11" s="120">
        <f t="shared" si="1"/>
        <v>8</v>
      </c>
    </row>
    <row r="12" spans="1:16" x14ac:dyDescent="0.25">
      <c r="A12" s="120">
        <f t="shared" si="0"/>
        <v>9</v>
      </c>
      <c r="B12" s="149" t="s">
        <v>250</v>
      </c>
      <c r="C12" s="904">
        <v>6804.6811748855589</v>
      </c>
      <c r="D12" s="904">
        <v>6756.0073419802684</v>
      </c>
      <c r="E12" s="904">
        <v>6619.3878228434014</v>
      </c>
      <c r="F12" s="904">
        <v>6515.4914020588558</v>
      </c>
      <c r="G12" s="904">
        <v>6463.0291984564483</v>
      </c>
      <c r="H12" s="904">
        <v>6515.9257018801036</v>
      </c>
      <c r="I12" s="904">
        <v>6492.050284871927</v>
      </c>
      <c r="J12" s="904">
        <v>6710.6086798682181</v>
      </c>
      <c r="K12" s="904">
        <v>6515.1940268120952</v>
      </c>
      <c r="L12" s="904">
        <v>6563.3223021757885</v>
      </c>
      <c r="M12" s="904">
        <v>6961.9599399219014</v>
      </c>
      <c r="N12" s="904">
        <v>7325.9188255832669</v>
      </c>
      <c r="O12" s="852">
        <f t="shared" si="2"/>
        <v>80243.576701337835</v>
      </c>
      <c r="P12" s="120">
        <f t="shared" si="1"/>
        <v>9</v>
      </c>
    </row>
    <row r="13" spans="1:16" x14ac:dyDescent="0.25">
      <c r="A13" s="120">
        <f t="shared" si="0"/>
        <v>10</v>
      </c>
      <c r="B13" s="757" t="s">
        <v>7</v>
      </c>
      <c r="C13" s="903">
        <v>7.5635555555555554</v>
      </c>
      <c r="D13" s="904">
        <v>7.5635555555555554</v>
      </c>
      <c r="E13" s="904">
        <v>7.5635555555555554</v>
      </c>
      <c r="F13" s="904">
        <v>7.5635555555555554</v>
      </c>
      <c r="G13" s="904">
        <v>7.5635555555555554</v>
      </c>
      <c r="H13" s="904">
        <v>7.5635555555555554</v>
      </c>
      <c r="I13" s="904">
        <v>7.5635555555555554</v>
      </c>
      <c r="J13" s="904">
        <v>7.5635555555555554</v>
      </c>
      <c r="K13" s="904">
        <v>7.5635555555555554</v>
      </c>
      <c r="L13" s="904">
        <v>7.5635555555555554</v>
      </c>
      <c r="M13" s="904">
        <v>7.5635555555555554</v>
      </c>
      <c r="N13" s="904">
        <v>7.5635555555555554</v>
      </c>
      <c r="O13" s="904">
        <f>SUM(C13:N13)</f>
        <v>90.762666666666647</v>
      </c>
      <c r="P13" s="120">
        <f t="shared" si="1"/>
        <v>10</v>
      </c>
    </row>
    <row r="14" spans="1:16" ht="18.75" thickBot="1" x14ac:dyDescent="0.3">
      <c r="A14" s="120">
        <f t="shared" si="0"/>
        <v>11</v>
      </c>
      <c r="B14" s="204" t="s">
        <v>251</v>
      </c>
      <c r="C14" s="205">
        <f t="shared" ref="C14:O14" si="3">SUM(C6:C13)</f>
        <v>1604757.5416676975</v>
      </c>
      <c r="D14" s="206">
        <f t="shared" si="3"/>
        <v>1444616.8076289368</v>
      </c>
      <c r="E14" s="206">
        <f t="shared" si="3"/>
        <v>1385084.8426796629</v>
      </c>
      <c r="F14" s="206">
        <f t="shared" si="3"/>
        <v>1296711.4535764104</v>
      </c>
      <c r="G14" s="206">
        <f t="shared" si="3"/>
        <v>1281601.9638295474</v>
      </c>
      <c r="H14" s="206">
        <f t="shared" si="3"/>
        <v>1353652.1146261934</v>
      </c>
      <c r="I14" s="206">
        <f t="shared" si="3"/>
        <v>1546827.6259604373</v>
      </c>
      <c r="J14" s="206">
        <f t="shared" si="3"/>
        <v>1769564.3972297511</v>
      </c>
      <c r="K14" s="206">
        <f t="shared" si="3"/>
        <v>1918998.7282863264</v>
      </c>
      <c r="L14" s="206">
        <f t="shared" si="3"/>
        <v>1608515.983835534</v>
      </c>
      <c r="M14" s="206">
        <f t="shared" si="3"/>
        <v>1435170.4945462341</v>
      </c>
      <c r="N14" s="206">
        <f t="shared" si="3"/>
        <v>1551108.2537902403</v>
      </c>
      <c r="O14" s="207">
        <f t="shared" si="3"/>
        <v>18196610.207656972</v>
      </c>
      <c r="P14" s="120">
        <f t="shared" si="1"/>
        <v>11</v>
      </c>
    </row>
    <row r="15" spans="1:16" ht="18.75" thickTop="1" x14ac:dyDescent="0.25">
      <c r="A15" s="120">
        <f t="shared" si="0"/>
        <v>12</v>
      </c>
      <c r="B15" s="204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199"/>
      <c r="P15" s="120">
        <f t="shared" si="1"/>
        <v>12</v>
      </c>
    </row>
    <row r="16" spans="1:16" ht="18.75" thickBot="1" x14ac:dyDescent="0.3">
      <c r="A16" s="120">
        <f t="shared" si="0"/>
        <v>13</v>
      </c>
      <c r="B16" s="204" t="s">
        <v>252</v>
      </c>
      <c r="C16" s="210">
        <f t="shared" ref="C16:O16" si="4">SUM(C6:C12)</f>
        <v>1604749.9781121418</v>
      </c>
      <c r="D16" s="210">
        <f t="shared" si="4"/>
        <v>1444609.2440733812</v>
      </c>
      <c r="E16" s="210">
        <f t="shared" si="4"/>
        <v>1385077.2791241072</v>
      </c>
      <c r="F16" s="210">
        <f t="shared" si="4"/>
        <v>1296703.8900208548</v>
      </c>
      <c r="G16" s="210">
        <f t="shared" si="4"/>
        <v>1281594.4002739917</v>
      </c>
      <c r="H16" s="210">
        <f t="shared" si="4"/>
        <v>1353644.5510706378</v>
      </c>
      <c r="I16" s="210">
        <f t="shared" si="4"/>
        <v>1546820.0624048817</v>
      </c>
      <c r="J16" s="210">
        <f t="shared" si="4"/>
        <v>1769556.8336741955</v>
      </c>
      <c r="K16" s="210">
        <f t="shared" si="4"/>
        <v>1918991.1647307707</v>
      </c>
      <c r="L16" s="210">
        <f t="shared" si="4"/>
        <v>1608508.4202799783</v>
      </c>
      <c r="M16" s="210">
        <f t="shared" si="4"/>
        <v>1435162.9309906785</v>
      </c>
      <c r="N16" s="210">
        <f t="shared" si="4"/>
        <v>1551100.6902346846</v>
      </c>
      <c r="O16" s="211">
        <f t="shared" si="4"/>
        <v>18196519.444990307</v>
      </c>
      <c r="P16" s="120">
        <f t="shared" si="1"/>
        <v>13</v>
      </c>
    </row>
    <row r="17" spans="1:18" ht="19.5" thickTop="1" thickBot="1" x14ac:dyDescent="0.3">
      <c r="A17" s="120">
        <f t="shared" si="0"/>
        <v>14</v>
      </c>
      <c r="B17" s="126"/>
      <c r="C17" s="30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3"/>
      <c r="O17" s="214"/>
      <c r="P17" s="120">
        <f t="shared" si="1"/>
        <v>14</v>
      </c>
    </row>
    <row r="18" spans="1:18" x14ac:dyDescent="0.25">
      <c r="A18" s="120">
        <f t="shared" si="0"/>
        <v>15</v>
      </c>
      <c r="B18" s="215" t="s">
        <v>262</v>
      </c>
      <c r="C18" s="216">
        <f t="shared" ref="C18:O18" si="5">C5</f>
        <v>45658</v>
      </c>
      <c r="D18" s="217">
        <f t="shared" si="5"/>
        <v>45689</v>
      </c>
      <c r="E18" s="217">
        <f t="shared" si="5"/>
        <v>45717</v>
      </c>
      <c r="F18" s="217">
        <f t="shared" si="5"/>
        <v>45748</v>
      </c>
      <c r="G18" s="217">
        <f t="shared" si="5"/>
        <v>45778</v>
      </c>
      <c r="H18" s="217">
        <f t="shared" si="5"/>
        <v>45809</v>
      </c>
      <c r="I18" s="217">
        <f t="shared" si="5"/>
        <v>45839</v>
      </c>
      <c r="J18" s="217">
        <f t="shared" si="5"/>
        <v>45870</v>
      </c>
      <c r="K18" s="217">
        <f t="shared" si="5"/>
        <v>45901</v>
      </c>
      <c r="L18" s="217">
        <f t="shared" si="5"/>
        <v>45931</v>
      </c>
      <c r="M18" s="217">
        <f t="shared" si="5"/>
        <v>45962</v>
      </c>
      <c r="N18" s="217">
        <f t="shared" si="5"/>
        <v>45992</v>
      </c>
      <c r="O18" s="185" t="str">
        <f t="shared" si="5"/>
        <v>Total</v>
      </c>
      <c r="P18" s="120">
        <f t="shared" si="1"/>
        <v>15</v>
      </c>
    </row>
    <row r="19" spans="1:18" x14ac:dyDescent="0.25">
      <c r="A19" s="120">
        <f t="shared" si="0"/>
        <v>16</v>
      </c>
      <c r="B19" s="218" t="s">
        <v>254</v>
      </c>
      <c r="C19" s="2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23"/>
      <c r="P19" s="120">
        <f t="shared" si="1"/>
        <v>16</v>
      </c>
    </row>
    <row r="20" spans="1:18" x14ac:dyDescent="0.25">
      <c r="A20" s="120">
        <f t="shared" si="0"/>
        <v>17</v>
      </c>
      <c r="B20" s="125" t="s">
        <v>255</v>
      </c>
      <c r="C20" s="117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05">
        <f>SUM(C20:N20)</f>
        <v>0</v>
      </c>
      <c r="P20" s="120">
        <f t="shared" si="1"/>
        <v>17</v>
      </c>
    </row>
    <row r="21" spans="1:18" x14ac:dyDescent="0.25">
      <c r="A21" s="120">
        <f t="shared" si="0"/>
        <v>18</v>
      </c>
      <c r="B21" s="125" t="s">
        <v>256</v>
      </c>
      <c r="C21" s="117">
        <v>665128.40457376174</v>
      </c>
      <c r="D21" s="93">
        <v>638768.16550925153</v>
      </c>
      <c r="E21" s="93">
        <v>634906.37665919401</v>
      </c>
      <c r="F21" s="93">
        <v>634614.63028510415</v>
      </c>
      <c r="G21" s="93">
        <v>642422.3679788115</v>
      </c>
      <c r="H21" s="93">
        <v>674302.30225451861</v>
      </c>
      <c r="I21" s="93">
        <v>739126.30591458536</v>
      </c>
      <c r="J21" s="93">
        <v>777952.89032439666</v>
      </c>
      <c r="K21" s="93">
        <v>818733.95977402898</v>
      </c>
      <c r="L21" s="93">
        <v>743327.39731253241</v>
      </c>
      <c r="M21" s="93">
        <v>671314.98969655018</v>
      </c>
      <c r="N21" s="93">
        <v>657765.56516033004</v>
      </c>
      <c r="O21" s="199">
        <f>SUM(C21:N21)</f>
        <v>8298363.355443066</v>
      </c>
      <c r="P21" s="120">
        <f t="shared" si="1"/>
        <v>18</v>
      </c>
    </row>
    <row r="22" spans="1:18" x14ac:dyDescent="0.25">
      <c r="A22" s="120">
        <f t="shared" si="0"/>
        <v>19</v>
      </c>
      <c r="B22" s="125" t="s">
        <v>257</v>
      </c>
      <c r="C22" s="117">
        <v>86063.849876274791</v>
      </c>
      <c r="D22" s="481">
        <v>74763.168183969552</v>
      </c>
      <c r="E22" s="481">
        <v>79850.254449063767</v>
      </c>
      <c r="F22" s="481">
        <v>83893.668552719435</v>
      </c>
      <c r="G22" s="481">
        <v>82494.516567459548</v>
      </c>
      <c r="H22" s="481">
        <v>86037.699489391714</v>
      </c>
      <c r="I22" s="481">
        <v>99719.875448313775</v>
      </c>
      <c r="J22" s="481">
        <v>97528.717043731289</v>
      </c>
      <c r="K22" s="481">
        <v>96434.86221579017</v>
      </c>
      <c r="L22" s="481">
        <v>87398.897344817757</v>
      </c>
      <c r="M22" s="481">
        <v>86076.559012121768</v>
      </c>
      <c r="N22" s="481">
        <v>102103.08582474214</v>
      </c>
      <c r="O22" s="199">
        <f>SUM(C22:N22)</f>
        <v>1062365.1540083957</v>
      </c>
      <c r="P22" s="120">
        <f t="shared" si="1"/>
        <v>19</v>
      </c>
    </row>
    <row r="23" spans="1:18" x14ac:dyDescent="0.25">
      <c r="A23" s="120">
        <f t="shared" si="0"/>
        <v>20</v>
      </c>
      <c r="B23" s="120" t="s">
        <v>18</v>
      </c>
      <c r="C23" s="225">
        <f>SUM(C20:C22)</f>
        <v>751192.25445003656</v>
      </c>
      <c r="D23" s="220">
        <f t="shared" ref="D23:O23" si="6">SUM(D20:D22)</f>
        <v>713531.3336932211</v>
      </c>
      <c r="E23" s="220">
        <f t="shared" si="6"/>
        <v>714756.6311082578</v>
      </c>
      <c r="F23" s="220">
        <f t="shared" si="6"/>
        <v>718508.29883782356</v>
      </c>
      <c r="G23" s="220">
        <f t="shared" si="6"/>
        <v>724916.88454627106</v>
      </c>
      <c r="H23" s="220">
        <f t="shared" si="6"/>
        <v>760340.00174391037</v>
      </c>
      <c r="I23" s="220">
        <f t="shared" si="6"/>
        <v>838846.18136289914</v>
      </c>
      <c r="J23" s="220">
        <f t="shared" si="6"/>
        <v>875481.60736812791</v>
      </c>
      <c r="K23" s="220">
        <f t="shared" si="6"/>
        <v>915168.82198981917</v>
      </c>
      <c r="L23" s="220">
        <f t="shared" si="6"/>
        <v>830726.29465735017</v>
      </c>
      <c r="M23" s="220">
        <f t="shared" si="6"/>
        <v>757391.54870867194</v>
      </c>
      <c r="N23" s="220">
        <f t="shared" si="6"/>
        <v>759868.65098507213</v>
      </c>
      <c r="O23" s="226">
        <f t="shared" si="6"/>
        <v>9360728.509451462</v>
      </c>
      <c r="P23" s="120">
        <f t="shared" si="1"/>
        <v>20</v>
      </c>
    </row>
    <row r="24" spans="1:18" ht="18.75" thickBot="1" x14ac:dyDescent="0.3">
      <c r="A24" s="121">
        <f>A23+1</f>
        <v>21</v>
      </c>
      <c r="B24" s="126"/>
      <c r="C24" s="212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24"/>
      <c r="P24" s="121">
        <f>P23+1</f>
        <v>21</v>
      </c>
    </row>
    <row r="26" spans="1:18" ht="18.75" thickBot="1" x14ac:dyDescent="0.3"/>
    <row r="27" spans="1:18" x14ac:dyDescent="0.25">
      <c r="A27" s="150" t="s">
        <v>8</v>
      </c>
      <c r="B27" s="985" t="s">
        <v>258</v>
      </c>
      <c r="C27" s="986"/>
      <c r="D27" s="986"/>
      <c r="E27" s="986"/>
      <c r="F27" s="986"/>
      <c r="G27" s="986"/>
      <c r="H27" s="986"/>
      <c r="I27" s="986"/>
      <c r="J27" s="986"/>
      <c r="K27" s="986"/>
      <c r="L27" s="986"/>
      <c r="M27" s="986"/>
      <c r="N27" s="986"/>
      <c r="O27" s="987"/>
      <c r="P27" s="150" t="s">
        <v>8</v>
      </c>
    </row>
    <row r="28" spans="1:18" ht="18.75" thickBot="1" x14ac:dyDescent="0.3">
      <c r="A28" s="121" t="s">
        <v>11</v>
      </c>
      <c r="B28" s="988" t="str">
        <f>B3</f>
        <v>Forecast Billing Determinants for the 12-Month Period: January 2025- December 2025</v>
      </c>
      <c r="C28" s="989"/>
      <c r="D28" s="989"/>
      <c r="E28" s="989"/>
      <c r="F28" s="989"/>
      <c r="G28" s="989"/>
      <c r="H28" s="989"/>
      <c r="I28" s="989"/>
      <c r="J28" s="989"/>
      <c r="K28" s="989"/>
      <c r="L28" s="989"/>
      <c r="M28" s="989"/>
      <c r="N28" s="989"/>
      <c r="O28" s="990"/>
      <c r="P28" s="121" t="s">
        <v>11</v>
      </c>
    </row>
    <row r="29" spans="1:18" x14ac:dyDescent="0.25">
      <c r="A29" s="120">
        <f>A24+1</f>
        <v>22</v>
      </c>
      <c r="B29" s="182" t="s">
        <v>244</v>
      </c>
      <c r="C29" s="22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22"/>
      <c r="P29" s="120">
        <f>P24+1</f>
        <v>22</v>
      </c>
    </row>
    <row r="30" spans="1:18" x14ac:dyDescent="0.25">
      <c r="A30" s="120">
        <f>A29+1</f>
        <v>23</v>
      </c>
      <c r="B30" s="184" t="s">
        <v>259</v>
      </c>
      <c r="C30" s="216">
        <f t="shared" ref="C30:N30" si="7">C5</f>
        <v>45658</v>
      </c>
      <c r="D30" s="217">
        <f t="shared" si="7"/>
        <v>45689</v>
      </c>
      <c r="E30" s="217">
        <f t="shared" si="7"/>
        <v>45717</v>
      </c>
      <c r="F30" s="217">
        <f t="shared" si="7"/>
        <v>45748</v>
      </c>
      <c r="G30" s="217">
        <f t="shared" si="7"/>
        <v>45778</v>
      </c>
      <c r="H30" s="217">
        <f t="shared" si="7"/>
        <v>45809</v>
      </c>
      <c r="I30" s="217">
        <f t="shared" si="7"/>
        <v>45839</v>
      </c>
      <c r="J30" s="217">
        <f t="shared" si="7"/>
        <v>45870</v>
      </c>
      <c r="K30" s="217">
        <f t="shared" si="7"/>
        <v>45901</v>
      </c>
      <c r="L30" s="217">
        <f t="shared" si="7"/>
        <v>45931</v>
      </c>
      <c r="M30" s="217">
        <f t="shared" si="7"/>
        <v>45962</v>
      </c>
      <c r="N30" s="217">
        <f t="shared" si="7"/>
        <v>45992</v>
      </c>
      <c r="O30" s="185" t="s">
        <v>18</v>
      </c>
      <c r="P30" s="120">
        <f>P29+1</f>
        <v>23</v>
      </c>
      <c r="Q30" s="763"/>
    </row>
    <row r="31" spans="1:18" x14ac:dyDescent="0.25">
      <c r="A31" s="120">
        <f>A30+1</f>
        <v>24</v>
      </c>
      <c r="B31" s="149" t="s">
        <v>246</v>
      </c>
      <c r="C31" s="198">
        <f t="shared" ref="C31:N31" si="8">C6*1000</f>
        <v>633614848.26131558</v>
      </c>
      <c r="D31" s="177">
        <f t="shared" si="8"/>
        <v>515438234.71526903</v>
      </c>
      <c r="E31" s="177">
        <f t="shared" si="8"/>
        <v>457649116.93538713</v>
      </c>
      <c r="F31" s="177">
        <f t="shared" si="8"/>
        <v>365973420.20850414</v>
      </c>
      <c r="G31" s="177">
        <f t="shared" si="8"/>
        <v>342313088.75184613</v>
      </c>
      <c r="H31" s="177">
        <f t="shared" si="8"/>
        <v>369395483.57729572</v>
      </c>
      <c r="I31" s="177">
        <f t="shared" si="8"/>
        <v>457969477.31707972</v>
      </c>
      <c r="J31" s="177">
        <f t="shared" si="8"/>
        <v>631672008.70622778</v>
      </c>
      <c r="K31" s="177">
        <f t="shared" si="8"/>
        <v>730948075.68545246</v>
      </c>
      <c r="L31" s="177">
        <f t="shared" si="8"/>
        <v>531521922.81533152</v>
      </c>
      <c r="M31" s="177">
        <f t="shared" si="8"/>
        <v>450339927.71392423</v>
      </c>
      <c r="N31" s="177">
        <f t="shared" si="8"/>
        <v>572324671.75000429</v>
      </c>
      <c r="O31" s="199">
        <f>SUM(C31:N31)</f>
        <v>6059160276.4376373</v>
      </c>
      <c r="P31" s="120">
        <f>P30+1</f>
        <v>24</v>
      </c>
      <c r="Q31" s="763"/>
      <c r="R31" s="764"/>
    </row>
    <row r="32" spans="1:18" x14ac:dyDescent="0.25">
      <c r="A32" s="120">
        <f t="shared" ref="A32:A48" si="9">A31+1</f>
        <v>25</v>
      </c>
      <c r="B32" s="149" t="s">
        <v>247</v>
      </c>
      <c r="C32" s="198">
        <f t="shared" ref="C32:N32" si="10">C7*1000</f>
        <v>194287303.97175041</v>
      </c>
      <c r="D32" s="177">
        <f t="shared" si="10"/>
        <v>188366210.6613501</v>
      </c>
      <c r="E32" s="177">
        <f t="shared" si="10"/>
        <v>187592519.40328324</v>
      </c>
      <c r="F32" s="177">
        <f t="shared" si="10"/>
        <v>186126527.48780861</v>
      </c>
      <c r="G32" s="177">
        <f t="shared" si="10"/>
        <v>185654634.61696634</v>
      </c>
      <c r="H32" s="177">
        <f t="shared" si="10"/>
        <v>194357832.95760828</v>
      </c>
      <c r="I32" s="177">
        <f t="shared" si="10"/>
        <v>217705905.33345446</v>
      </c>
      <c r="J32" s="177">
        <f t="shared" si="10"/>
        <v>229919024.856437</v>
      </c>
      <c r="K32" s="177">
        <f t="shared" si="10"/>
        <v>241455993.41200775</v>
      </c>
      <c r="L32" s="177">
        <f t="shared" si="10"/>
        <v>214159409.97047323</v>
      </c>
      <c r="M32" s="177">
        <f t="shared" si="10"/>
        <v>197828256.87204242</v>
      </c>
      <c r="N32" s="177">
        <f t="shared" si="10"/>
        <v>190835621.55890608</v>
      </c>
      <c r="O32" s="199">
        <f>SUM(C32:N32)</f>
        <v>2428289241.102088</v>
      </c>
      <c r="P32" s="120">
        <f t="shared" ref="P32:P48" si="11">P31+1</f>
        <v>25</v>
      </c>
    </row>
    <row r="33" spans="1:18" x14ac:dyDescent="0.25">
      <c r="A33" s="120">
        <f t="shared" si="9"/>
        <v>26</v>
      </c>
      <c r="B33" s="149" t="s">
        <v>248</v>
      </c>
      <c r="C33" s="200">
        <f>C48</f>
        <v>751192254.45003653</v>
      </c>
      <c r="D33" s="201">
        <f>D48</f>
        <v>713531333.69322109</v>
      </c>
      <c r="E33" s="201">
        <f t="shared" ref="E33:N33" si="12">E48</f>
        <v>714756631.10825777</v>
      </c>
      <c r="F33" s="201">
        <f t="shared" si="12"/>
        <v>718508298.83782363</v>
      </c>
      <c r="G33" s="201">
        <f t="shared" si="12"/>
        <v>724916884.54627109</v>
      </c>
      <c r="H33" s="201">
        <f t="shared" si="12"/>
        <v>760340001.74391031</v>
      </c>
      <c r="I33" s="201">
        <f t="shared" si="12"/>
        <v>838846181.36289907</v>
      </c>
      <c r="J33" s="201">
        <f t="shared" si="12"/>
        <v>875481607.36812794</v>
      </c>
      <c r="K33" s="201">
        <f t="shared" si="12"/>
        <v>915168821.98981917</v>
      </c>
      <c r="L33" s="201">
        <f t="shared" si="12"/>
        <v>830726294.65735018</v>
      </c>
      <c r="M33" s="201">
        <f t="shared" si="12"/>
        <v>757391548.70867193</v>
      </c>
      <c r="N33" s="201">
        <f t="shared" si="12"/>
        <v>759868650.98507214</v>
      </c>
      <c r="O33" s="199">
        <f>SUM(C33:N33)</f>
        <v>9360728509.4514618</v>
      </c>
      <c r="P33" s="120">
        <f t="shared" si="11"/>
        <v>26</v>
      </c>
    </row>
    <row r="34" spans="1:18" x14ac:dyDescent="0.25">
      <c r="A34" s="120">
        <f t="shared" si="9"/>
        <v>27</v>
      </c>
      <c r="B34" s="202" t="s">
        <v>474</v>
      </c>
      <c r="C34" s="198">
        <f t="shared" ref="C34:N35" si="13">C9*1000</f>
        <v>595720</v>
      </c>
      <c r="D34" s="201">
        <f t="shared" si="13"/>
        <v>724430</v>
      </c>
      <c r="E34" s="201">
        <f t="shared" si="13"/>
        <v>727400</v>
      </c>
      <c r="F34" s="201">
        <f t="shared" si="13"/>
        <v>931380</v>
      </c>
      <c r="G34" s="201">
        <f t="shared" si="13"/>
        <v>258380</v>
      </c>
      <c r="H34" s="201">
        <f t="shared" si="13"/>
        <v>110630</v>
      </c>
      <c r="I34" s="923">
        <f t="shared" si="13"/>
        <v>125900</v>
      </c>
      <c r="J34" s="923">
        <f t="shared" si="13"/>
        <v>50</v>
      </c>
      <c r="K34" s="923">
        <f t="shared" si="13"/>
        <v>40380</v>
      </c>
      <c r="L34" s="923">
        <f t="shared" si="13"/>
        <v>1332720</v>
      </c>
      <c r="M34" s="923">
        <f t="shared" si="13"/>
        <v>1353380</v>
      </c>
      <c r="N34" s="923">
        <f t="shared" si="13"/>
        <v>517860</v>
      </c>
      <c r="O34" s="199">
        <f>SUM(C34:N34)</f>
        <v>6718230</v>
      </c>
      <c r="P34" s="120">
        <f t="shared" si="11"/>
        <v>27</v>
      </c>
    </row>
    <row r="35" spans="1:18" x14ac:dyDescent="0.25">
      <c r="A35" s="120">
        <f t="shared" si="9"/>
        <v>28</v>
      </c>
      <c r="B35" s="202" t="s">
        <v>249</v>
      </c>
      <c r="C35" s="198">
        <f t="shared" si="13"/>
        <v>1356574.0800083315</v>
      </c>
      <c r="D35" s="177">
        <f t="shared" si="13"/>
        <v>1511601.8248092588</v>
      </c>
      <c r="E35" s="177">
        <f t="shared" si="13"/>
        <v>1313295.5975330288</v>
      </c>
      <c r="F35" s="177">
        <f t="shared" si="13"/>
        <v>1360019.567416501</v>
      </c>
      <c r="G35" s="177">
        <f t="shared" si="13"/>
        <v>1926717.9622811209</v>
      </c>
      <c r="H35" s="177">
        <f t="shared" si="13"/>
        <v>2321474.7648105002</v>
      </c>
      <c r="I35" s="177">
        <f t="shared" si="13"/>
        <v>2676412.3907148708</v>
      </c>
      <c r="J35" s="177">
        <f t="shared" si="13"/>
        <v>2910383.5419004532</v>
      </c>
      <c r="K35" s="177">
        <f t="shared" si="13"/>
        <v>2905089.7591926311</v>
      </c>
      <c r="L35" s="177">
        <f t="shared" si="13"/>
        <v>2641582.8727467377</v>
      </c>
      <c r="M35" s="177">
        <f t="shared" si="13"/>
        <v>2301898.6884789839</v>
      </c>
      <c r="N35" s="177">
        <f t="shared" si="13"/>
        <v>2082510.0615704914</v>
      </c>
      <c r="O35" s="199">
        <f t="shared" ref="O35:O36" si="14">SUM(C35:N35)</f>
        <v>25307561.11146291</v>
      </c>
      <c r="P35" s="120">
        <f t="shared" si="11"/>
        <v>28</v>
      </c>
    </row>
    <row r="36" spans="1:18" x14ac:dyDescent="0.25">
      <c r="A36" s="120">
        <f t="shared" si="9"/>
        <v>29</v>
      </c>
      <c r="B36" s="202" t="s">
        <v>105</v>
      </c>
      <c r="C36" s="198">
        <f t="shared" ref="C36:N36" si="15">C11*1000</f>
        <v>16898596.174145363</v>
      </c>
      <c r="D36" s="177">
        <f t="shared" si="15"/>
        <v>18281425.836751401</v>
      </c>
      <c r="E36" s="177">
        <f t="shared" si="15"/>
        <v>16418928.25680276</v>
      </c>
      <c r="F36" s="177">
        <f t="shared" si="15"/>
        <v>17288752.517243203</v>
      </c>
      <c r="G36" s="177">
        <f t="shared" si="15"/>
        <v>20061665.198170915</v>
      </c>
      <c r="H36" s="177">
        <f t="shared" si="15"/>
        <v>20603202.325132836</v>
      </c>
      <c r="I36" s="177">
        <f t="shared" si="15"/>
        <v>23004135.715861753</v>
      </c>
      <c r="J36" s="177">
        <f t="shared" si="15"/>
        <v>22863150.521633886</v>
      </c>
      <c r="K36" s="177">
        <f t="shared" si="15"/>
        <v>21957609.857486788</v>
      </c>
      <c r="L36" s="177">
        <f t="shared" si="15"/>
        <v>21563167.661901116</v>
      </c>
      <c r="M36" s="177">
        <f t="shared" si="15"/>
        <v>18985959.067639023</v>
      </c>
      <c r="N36" s="177">
        <f t="shared" si="15"/>
        <v>18145457.05354834</v>
      </c>
      <c r="O36" s="199">
        <f t="shared" si="14"/>
        <v>236072050.18631738</v>
      </c>
      <c r="P36" s="120">
        <f t="shared" si="11"/>
        <v>29</v>
      </c>
    </row>
    <row r="37" spans="1:18" x14ac:dyDescent="0.25">
      <c r="A37" s="120">
        <f t="shared" si="9"/>
        <v>30</v>
      </c>
      <c r="B37" s="149" t="s">
        <v>250</v>
      </c>
      <c r="C37" s="198">
        <f t="shared" ref="C37:N37" si="16">C12*1000</f>
        <v>6804681.1748855589</v>
      </c>
      <c r="D37" s="177">
        <f t="shared" si="16"/>
        <v>6756007.3419802682</v>
      </c>
      <c r="E37" s="177">
        <f t="shared" si="16"/>
        <v>6619387.8228434017</v>
      </c>
      <c r="F37" s="177">
        <f t="shared" si="16"/>
        <v>6515491.4020588556</v>
      </c>
      <c r="G37" s="177">
        <f t="shared" si="16"/>
        <v>6463029.1984564485</v>
      </c>
      <c r="H37" s="177">
        <f t="shared" si="16"/>
        <v>6515925.7018801039</v>
      </c>
      <c r="I37" s="177">
        <f t="shared" si="16"/>
        <v>6492050.2848719275</v>
      </c>
      <c r="J37" s="177">
        <f t="shared" si="16"/>
        <v>6710608.6798682185</v>
      </c>
      <c r="K37" s="177">
        <f t="shared" si="16"/>
        <v>6515194.0268120952</v>
      </c>
      <c r="L37" s="177">
        <f t="shared" si="16"/>
        <v>6563322.3021757882</v>
      </c>
      <c r="M37" s="177">
        <f t="shared" si="16"/>
        <v>6961959.9399219016</v>
      </c>
      <c r="N37" s="177">
        <f t="shared" si="16"/>
        <v>7325918.825583267</v>
      </c>
      <c r="O37" s="199">
        <f>SUM(C37:N37)</f>
        <v>80243576.701337829</v>
      </c>
      <c r="P37" s="120">
        <f t="shared" si="11"/>
        <v>30</v>
      </c>
    </row>
    <row r="38" spans="1:18" x14ac:dyDescent="0.25">
      <c r="A38" s="120">
        <f t="shared" si="9"/>
        <v>31</v>
      </c>
      <c r="B38" s="203" t="s">
        <v>7</v>
      </c>
      <c r="C38" s="198">
        <f t="shared" ref="C38:N38" si="17">C13*1000</f>
        <v>7563.5555555555557</v>
      </c>
      <c r="D38" s="177">
        <f t="shared" si="17"/>
        <v>7563.5555555555557</v>
      </c>
      <c r="E38" s="177">
        <f t="shared" si="17"/>
        <v>7563.5555555555557</v>
      </c>
      <c r="F38" s="177">
        <f t="shared" si="17"/>
        <v>7563.5555555555557</v>
      </c>
      <c r="G38" s="177">
        <f t="shared" si="17"/>
        <v>7563.5555555555557</v>
      </c>
      <c r="H38" s="177">
        <f t="shared" si="17"/>
        <v>7563.5555555555557</v>
      </c>
      <c r="I38" s="177">
        <f t="shared" si="17"/>
        <v>7563.5555555555557</v>
      </c>
      <c r="J38" s="177">
        <f t="shared" si="17"/>
        <v>7563.5555555555557</v>
      </c>
      <c r="K38" s="177">
        <f t="shared" si="17"/>
        <v>7563.5555555555557</v>
      </c>
      <c r="L38" s="177">
        <f t="shared" si="17"/>
        <v>7563.5555555555557</v>
      </c>
      <c r="M38" s="177">
        <f t="shared" si="17"/>
        <v>7563.5555555555557</v>
      </c>
      <c r="N38" s="177">
        <f t="shared" si="17"/>
        <v>7563.5555555555557</v>
      </c>
      <c r="O38" s="199">
        <f>SUM(C38:N38)</f>
        <v>90762.666666666686</v>
      </c>
      <c r="P38" s="120">
        <f t="shared" si="11"/>
        <v>31</v>
      </c>
      <c r="Q38" s="765"/>
    </row>
    <row r="39" spans="1:18" ht="18.75" thickBot="1" x14ac:dyDescent="0.3">
      <c r="A39" s="120">
        <f t="shared" si="9"/>
        <v>32</v>
      </c>
      <c r="B39" s="204" t="s">
        <v>251</v>
      </c>
      <c r="C39" s="205">
        <f>SUM(C31:C38)</f>
        <v>1604757541.6676974</v>
      </c>
      <c r="D39" s="206">
        <f t="shared" ref="D39:N39" si="18">SUM(D31:D38)</f>
        <v>1444616807.6289368</v>
      </c>
      <c r="E39" s="206">
        <f t="shared" si="18"/>
        <v>1385084842.6796627</v>
      </c>
      <c r="F39" s="206">
        <f t="shared" si="18"/>
        <v>1296711453.5764103</v>
      </c>
      <c r="G39" s="206">
        <f t="shared" si="18"/>
        <v>1281601963.8295476</v>
      </c>
      <c r="H39" s="206">
        <f t="shared" si="18"/>
        <v>1353652114.6261935</v>
      </c>
      <c r="I39" s="206">
        <f t="shared" si="18"/>
        <v>1546827625.9604373</v>
      </c>
      <c r="J39" s="206">
        <f t="shared" si="18"/>
        <v>1769564397.2297509</v>
      </c>
      <c r="K39" s="206">
        <f t="shared" si="18"/>
        <v>1918998728.2863264</v>
      </c>
      <c r="L39" s="206">
        <f t="shared" si="18"/>
        <v>1608515983.8355341</v>
      </c>
      <c r="M39" s="206">
        <f t="shared" si="18"/>
        <v>1435170494.5462341</v>
      </c>
      <c r="N39" s="206">
        <f t="shared" si="18"/>
        <v>1551108253.79024</v>
      </c>
      <c r="O39" s="207">
        <f>SUM(O31:O38)</f>
        <v>18196610207.656975</v>
      </c>
      <c r="P39" s="120">
        <f t="shared" si="11"/>
        <v>32</v>
      </c>
      <c r="Q39" s="765"/>
    </row>
    <row r="40" spans="1:18" ht="18.75" thickTop="1" x14ac:dyDescent="0.25">
      <c r="A40" s="120">
        <f t="shared" si="9"/>
        <v>33</v>
      </c>
      <c r="B40" s="208"/>
      <c r="C40" s="200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199"/>
      <c r="P40" s="120">
        <f t="shared" si="11"/>
        <v>33</v>
      </c>
      <c r="Q40" s="452"/>
    </row>
    <row r="41" spans="1:18" ht="18.75" thickBot="1" x14ac:dyDescent="0.3">
      <c r="A41" s="120">
        <f t="shared" si="9"/>
        <v>34</v>
      </c>
      <c r="B41" s="204" t="s">
        <v>252</v>
      </c>
      <c r="C41" s="209">
        <f>SUM(C31:C37)</f>
        <v>1604749978.1121418</v>
      </c>
      <c r="D41" s="210">
        <f>SUM(D31:D37)</f>
        <v>1444609244.0733812</v>
      </c>
      <c r="E41" s="210">
        <f t="shared" ref="E41:O41" si="19">SUM(E31:E37)</f>
        <v>1385077279.1241071</v>
      </c>
      <c r="F41" s="210">
        <f t="shared" si="19"/>
        <v>1296703890.0208547</v>
      </c>
      <c r="G41" s="210">
        <f t="shared" si="19"/>
        <v>1281594400.2739921</v>
      </c>
      <c r="H41" s="210">
        <f t="shared" si="19"/>
        <v>1353644551.0706379</v>
      </c>
      <c r="I41" s="210">
        <f t="shared" si="19"/>
        <v>1546820062.4048817</v>
      </c>
      <c r="J41" s="210">
        <f t="shared" si="19"/>
        <v>1769556833.6741953</v>
      </c>
      <c r="K41" s="210">
        <f t="shared" si="19"/>
        <v>1918991164.7307708</v>
      </c>
      <c r="L41" s="210">
        <f t="shared" si="19"/>
        <v>1608508420.2799785</v>
      </c>
      <c r="M41" s="210">
        <f t="shared" si="19"/>
        <v>1435162930.9906785</v>
      </c>
      <c r="N41" s="210">
        <f t="shared" si="19"/>
        <v>1551100690.2346845</v>
      </c>
      <c r="O41" s="211">
        <f t="shared" si="19"/>
        <v>18196519444.990307</v>
      </c>
      <c r="P41" s="120">
        <f t="shared" si="11"/>
        <v>34</v>
      </c>
      <c r="Q41" s="765"/>
    </row>
    <row r="42" spans="1:18" ht="19.5" thickTop="1" thickBot="1" x14ac:dyDescent="0.3">
      <c r="A42" s="120">
        <f t="shared" si="9"/>
        <v>35</v>
      </c>
      <c r="B42" s="212"/>
      <c r="C42" s="212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213"/>
      <c r="O42" s="361"/>
      <c r="P42" s="120">
        <f t="shared" si="11"/>
        <v>35</v>
      </c>
      <c r="Q42" s="242"/>
      <c r="R42" s="884">
        <f>O41-'Stmnt BD - Forecast KWH'!E26</f>
        <v>0</v>
      </c>
    </row>
    <row r="43" spans="1:18" x14ac:dyDescent="0.25">
      <c r="A43" s="120">
        <f t="shared" si="9"/>
        <v>36</v>
      </c>
      <c r="B43" s="215" t="s">
        <v>262</v>
      </c>
      <c r="C43" s="216">
        <f>C30</f>
        <v>45658</v>
      </c>
      <c r="D43" s="217">
        <f t="shared" ref="D43:O43" si="20">D30</f>
        <v>45689</v>
      </c>
      <c r="E43" s="217">
        <f t="shared" si="20"/>
        <v>45717</v>
      </c>
      <c r="F43" s="217">
        <f t="shared" si="20"/>
        <v>45748</v>
      </c>
      <c r="G43" s="217">
        <f t="shared" si="20"/>
        <v>45778</v>
      </c>
      <c r="H43" s="217">
        <f t="shared" si="20"/>
        <v>45809</v>
      </c>
      <c r="I43" s="217">
        <f t="shared" si="20"/>
        <v>45839</v>
      </c>
      <c r="J43" s="217">
        <f t="shared" si="20"/>
        <v>45870</v>
      </c>
      <c r="K43" s="217">
        <f t="shared" si="20"/>
        <v>45901</v>
      </c>
      <c r="L43" s="217">
        <f t="shared" si="20"/>
        <v>45931</v>
      </c>
      <c r="M43" s="217">
        <f t="shared" si="20"/>
        <v>45962</v>
      </c>
      <c r="N43" s="217">
        <f t="shared" si="20"/>
        <v>45992</v>
      </c>
      <c r="O43" s="185" t="str">
        <f t="shared" si="20"/>
        <v>Total</v>
      </c>
      <c r="P43" s="120">
        <f t="shared" si="11"/>
        <v>36</v>
      </c>
    </row>
    <row r="44" spans="1:18" x14ac:dyDescent="0.25">
      <c r="A44" s="120">
        <f t="shared" si="9"/>
        <v>37</v>
      </c>
      <c r="B44" s="218" t="s">
        <v>260</v>
      </c>
      <c r="C44" s="21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23"/>
      <c r="P44" s="120">
        <f t="shared" si="11"/>
        <v>37</v>
      </c>
    </row>
    <row r="45" spans="1:18" x14ac:dyDescent="0.25">
      <c r="A45" s="120">
        <f t="shared" si="9"/>
        <v>38</v>
      </c>
      <c r="B45" s="125" t="s">
        <v>255</v>
      </c>
      <c r="C45" s="117">
        <f t="shared" ref="C45:N45" si="21">C20*1000</f>
        <v>0</v>
      </c>
      <c r="D45" s="197">
        <f t="shared" si="21"/>
        <v>0</v>
      </c>
      <c r="E45" s="197">
        <f t="shared" si="21"/>
        <v>0</v>
      </c>
      <c r="F45" s="197">
        <f t="shared" si="21"/>
        <v>0</v>
      </c>
      <c r="G45" s="197">
        <f t="shared" si="21"/>
        <v>0</v>
      </c>
      <c r="H45" s="197">
        <f t="shared" si="21"/>
        <v>0</v>
      </c>
      <c r="I45" s="197">
        <f t="shared" si="21"/>
        <v>0</v>
      </c>
      <c r="J45" s="197">
        <f t="shared" si="21"/>
        <v>0</v>
      </c>
      <c r="K45" s="197">
        <f t="shared" si="21"/>
        <v>0</v>
      </c>
      <c r="L45" s="197">
        <f t="shared" si="21"/>
        <v>0</v>
      </c>
      <c r="M45" s="197">
        <f t="shared" si="21"/>
        <v>0</v>
      </c>
      <c r="N45" s="197">
        <f t="shared" si="21"/>
        <v>0</v>
      </c>
      <c r="O45" s="852">
        <f>SUM(C45:N45)</f>
        <v>0</v>
      </c>
      <c r="P45" s="120">
        <f t="shared" si="11"/>
        <v>38</v>
      </c>
    </row>
    <row r="46" spans="1:18" x14ac:dyDescent="0.25">
      <c r="A46" s="120">
        <f t="shared" si="9"/>
        <v>39</v>
      </c>
      <c r="B46" s="125" t="s">
        <v>256</v>
      </c>
      <c r="C46" s="117">
        <f t="shared" ref="C46:N46" si="22">C21*1000</f>
        <v>665128404.5737617</v>
      </c>
      <c r="D46" s="197">
        <f t="shared" si="22"/>
        <v>638768165.50925148</v>
      </c>
      <c r="E46" s="197">
        <f t="shared" si="22"/>
        <v>634906376.65919399</v>
      </c>
      <c r="F46" s="197">
        <f t="shared" si="22"/>
        <v>634614630.28510416</v>
      </c>
      <c r="G46" s="197">
        <f t="shared" si="22"/>
        <v>642422367.9788115</v>
      </c>
      <c r="H46" s="197">
        <f t="shared" si="22"/>
        <v>674302302.25451863</v>
      </c>
      <c r="I46" s="197">
        <f t="shared" si="22"/>
        <v>739126305.91458535</v>
      </c>
      <c r="J46" s="197">
        <f t="shared" si="22"/>
        <v>777952890.32439661</v>
      </c>
      <c r="K46" s="197">
        <f t="shared" si="22"/>
        <v>818733959.77402902</v>
      </c>
      <c r="L46" s="197">
        <f t="shared" si="22"/>
        <v>743327397.31253242</v>
      </c>
      <c r="M46" s="197">
        <f t="shared" si="22"/>
        <v>671314989.69655013</v>
      </c>
      <c r="N46" s="197">
        <f t="shared" si="22"/>
        <v>657765565.16033006</v>
      </c>
      <c r="O46" s="852">
        <f>SUM(C46:N46)</f>
        <v>8298363355.4430637</v>
      </c>
      <c r="P46" s="120">
        <f t="shared" si="11"/>
        <v>39</v>
      </c>
    </row>
    <row r="47" spans="1:18" x14ac:dyDescent="0.25">
      <c r="A47" s="120">
        <f t="shared" si="9"/>
        <v>40</v>
      </c>
      <c r="B47" s="125" t="s">
        <v>257</v>
      </c>
      <c r="C47" s="117">
        <f t="shared" ref="C47:N47" si="23">C22*1000</f>
        <v>86063849.876274794</v>
      </c>
      <c r="D47" s="197">
        <f t="shared" si="23"/>
        <v>74763168.183969557</v>
      </c>
      <c r="E47" s="197">
        <f t="shared" si="23"/>
        <v>79850254.449063763</v>
      </c>
      <c r="F47" s="197">
        <f t="shared" si="23"/>
        <v>83893668.552719429</v>
      </c>
      <c r="G47" s="197">
        <f t="shared" si="23"/>
        <v>82494516.567459553</v>
      </c>
      <c r="H47" s="197">
        <f t="shared" si="23"/>
        <v>86037699.489391714</v>
      </c>
      <c r="I47" s="197">
        <f t="shared" si="23"/>
        <v>99719875.448313773</v>
      </c>
      <c r="J47" s="197">
        <f t="shared" si="23"/>
        <v>97528717.043731287</v>
      </c>
      <c r="K47" s="197">
        <f t="shared" si="23"/>
        <v>96434862.215790167</v>
      </c>
      <c r="L47" s="197">
        <f t="shared" si="23"/>
        <v>87398897.344817758</v>
      </c>
      <c r="M47" s="197">
        <f t="shared" si="23"/>
        <v>86076559.012121767</v>
      </c>
      <c r="N47" s="197">
        <f t="shared" si="23"/>
        <v>102103085.82474214</v>
      </c>
      <c r="O47" s="852">
        <f>SUM(C47:N47)</f>
        <v>1062365154.0083957</v>
      </c>
      <c r="P47" s="120">
        <f t="shared" si="11"/>
        <v>40</v>
      </c>
    </row>
    <row r="48" spans="1:18" ht="18.75" thickBot="1" x14ac:dyDescent="0.3">
      <c r="A48" s="120">
        <f t="shared" si="9"/>
        <v>41</v>
      </c>
      <c r="B48" s="120" t="s">
        <v>18</v>
      </c>
      <c r="C48" s="221">
        <f>SUM(C45:C47)</f>
        <v>751192254.45003653</v>
      </c>
      <c r="D48" s="222">
        <f t="shared" ref="D48:O48" si="24">SUM(D45:D47)</f>
        <v>713531333.69322109</v>
      </c>
      <c r="E48" s="222">
        <f t="shared" si="24"/>
        <v>714756631.10825777</v>
      </c>
      <c r="F48" s="222">
        <f t="shared" si="24"/>
        <v>718508298.83782363</v>
      </c>
      <c r="G48" s="222">
        <f t="shared" si="24"/>
        <v>724916884.54627109</v>
      </c>
      <c r="H48" s="222">
        <f t="shared" si="24"/>
        <v>760340001.74391031</v>
      </c>
      <c r="I48" s="222">
        <f t="shared" si="24"/>
        <v>838846181.36289907</v>
      </c>
      <c r="J48" s="222">
        <f t="shared" si="24"/>
        <v>875481607.36812794</v>
      </c>
      <c r="K48" s="222">
        <f t="shared" si="24"/>
        <v>915168821.98981917</v>
      </c>
      <c r="L48" s="222">
        <f t="shared" si="24"/>
        <v>830726294.65735018</v>
      </c>
      <c r="M48" s="222">
        <f t="shared" si="24"/>
        <v>757391548.70867193</v>
      </c>
      <c r="N48" s="222">
        <f t="shared" si="24"/>
        <v>759868650.98507214</v>
      </c>
      <c r="O48" s="223">
        <f t="shared" si="24"/>
        <v>9360728509.4514599</v>
      </c>
      <c r="P48" s="120">
        <f t="shared" si="11"/>
        <v>41</v>
      </c>
    </row>
    <row r="49" spans="1:16" ht="19.5" thickTop="1" thickBot="1" x14ac:dyDescent="0.3">
      <c r="A49" s="121">
        <f>A48+1</f>
        <v>42</v>
      </c>
      <c r="B49" s="126"/>
      <c r="C49" s="212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124"/>
      <c r="P49" s="121">
        <f>P48+1</f>
        <v>42</v>
      </c>
    </row>
  </sheetData>
  <mergeCells count="4">
    <mergeCell ref="B2:O2"/>
    <mergeCell ref="B3:O3"/>
    <mergeCell ref="B27:O27"/>
    <mergeCell ref="B28:O28"/>
  </mergeCells>
  <printOptions horizontalCentered="1"/>
  <pageMargins left="0.25" right="0.25" top="0.5" bottom="0.5" header="0.25" footer="0.25"/>
  <pageSetup scale="52" orientation="landscape" r:id="rId1"/>
  <headerFooter scaleWithDoc="0" alignWithMargins="0">
    <oddFooter>&amp;L&amp;"Times New Roman,Regular"&amp;11&amp;F&amp;C&amp;"Times New Roman,Regular"&amp;11Page 1.2&amp;R&amp;"Times New Roman,Regular"&amp;11&amp;A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29"/>
  <sheetViews>
    <sheetView zoomScale="80" zoomScaleNormal="80" zoomScaleSheetLayoutView="100" workbookViewId="0"/>
  </sheetViews>
  <sheetFormatPr defaultColWidth="8.5703125" defaultRowHeight="12.75" x14ac:dyDescent="0.2"/>
  <cols>
    <col min="1" max="1" width="5.5703125" style="1" customWidth="1"/>
    <col min="2" max="2" width="52.5703125" style="2" customWidth="1"/>
    <col min="3" max="3" width="18.5703125" style="2" customWidth="1"/>
    <col min="4" max="4" width="21.42578125" style="1" bestFit="1" customWidth="1"/>
    <col min="5" max="5" width="20.5703125" style="1" bestFit="1" customWidth="1"/>
    <col min="6" max="6" width="18.5703125" style="1" customWidth="1"/>
    <col min="7" max="7" width="36.28515625" style="1" customWidth="1"/>
    <col min="8" max="8" width="5.5703125" style="1" customWidth="1"/>
    <col min="9" max="10" width="15.5703125" style="1" customWidth="1"/>
    <col min="11" max="16384" width="8.5703125" style="1"/>
  </cols>
  <sheetData>
    <row r="1" spans="1:8" ht="15.75" x14ac:dyDescent="0.2">
      <c r="B1" s="5"/>
      <c r="C1" s="5"/>
      <c r="D1" s="6"/>
      <c r="E1" s="6"/>
      <c r="F1" s="6"/>
      <c r="G1" s="6"/>
    </row>
    <row r="2" spans="1:8" ht="15.75" x14ac:dyDescent="0.2">
      <c r="B2" s="5" t="s">
        <v>1</v>
      </c>
      <c r="C2" s="5"/>
      <c r="D2" s="6"/>
      <c r="E2" s="6"/>
      <c r="F2" s="6"/>
      <c r="G2" s="6"/>
    </row>
    <row r="3" spans="1:8" ht="15.75" customHeight="1" x14ac:dyDescent="0.2">
      <c r="B3" s="976" t="str">
        <f>'Stmnt BD - Recorded KWH'!A4</f>
        <v>2025 - TRBAA Rate Filing</v>
      </c>
      <c r="C3" s="976"/>
      <c r="D3" s="976"/>
      <c r="E3" s="976"/>
      <c r="F3" s="976"/>
      <c r="G3" s="976"/>
    </row>
    <row r="4" spans="1:8" ht="15.75" x14ac:dyDescent="0.2">
      <c r="B4" s="5" t="s">
        <v>263</v>
      </c>
      <c r="C4" s="5"/>
      <c r="D4" s="6"/>
      <c r="E4" s="6"/>
      <c r="F4" s="6"/>
      <c r="G4" s="6"/>
    </row>
    <row r="5" spans="1:8" ht="16.5" thickBot="1" x14ac:dyDescent="0.25">
      <c r="B5" s="5"/>
      <c r="C5" s="5"/>
      <c r="D5" s="6"/>
      <c r="E5" s="6"/>
      <c r="F5" s="6"/>
      <c r="G5" s="6"/>
    </row>
    <row r="6" spans="1:8" ht="15.75" x14ac:dyDescent="0.25">
      <c r="A6" s="286"/>
      <c r="B6" s="587"/>
      <c r="C6" s="545" t="s">
        <v>3</v>
      </c>
      <c r="D6" s="545" t="s">
        <v>4</v>
      </c>
      <c r="E6" s="545" t="s">
        <v>113</v>
      </c>
      <c r="F6" s="545" t="s">
        <v>114</v>
      </c>
      <c r="G6" s="455"/>
      <c r="H6" s="546"/>
    </row>
    <row r="7" spans="1:8" ht="15.75" x14ac:dyDescent="0.25">
      <c r="A7" s="549" t="s">
        <v>8</v>
      </c>
      <c r="B7" s="75"/>
      <c r="C7" s="75" t="s">
        <v>264</v>
      </c>
      <c r="D7" s="585" t="s">
        <v>228</v>
      </c>
      <c r="E7" s="585" t="s">
        <v>229</v>
      </c>
      <c r="F7" s="75"/>
      <c r="G7" s="585"/>
      <c r="H7" s="550" t="s">
        <v>8</v>
      </c>
    </row>
    <row r="8" spans="1:8" ht="16.5" thickBot="1" x14ac:dyDescent="0.3">
      <c r="A8" s="567" t="s">
        <v>11</v>
      </c>
      <c r="B8" s="153" t="s">
        <v>173</v>
      </c>
      <c r="C8" s="153" t="s">
        <v>265</v>
      </c>
      <c r="D8" s="591" t="s">
        <v>266</v>
      </c>
      <c r="E8" s="591" t="s">
        <v>266</v>
      </c>
      <c r="F8" s="153" t="s">
        <v>18</v>
      </c>
      <c r="G8" s="591" t="s">
        <v>16</v>
      </c>
      <c r="H8" s="568" t="s">
        <v>11</v>
      </c>
    </row>
    <row r="9" spans="1:8" ht="15.75" x14ac:dyDescent="0.25">
      <c r="A9" s="332"/>
      <c r="B9" s="10"/>
      <c r="C9" s="75"/>
      <c r="D9" s="19"/>
      <c r="E9" s="19"/>
      <c r="F9" s="10"/>
      <c r="G9" s="23"/>
      <c r="H9" s="348"/>
    </row>
    <row r="10" spans="1:8" ht="16.5" thickBot="1" x14ac:dyDescent="0.3">
      <c r="A10" s="262">
        <v>1</v>
      </c>
      <c r="B10" s="18" t="s">
        <v>499</v>
      </c>
      <c r="C10" s="42">
        <f>'WP 4 Monthly TRBAA '!O38</f>
        <v>-4388350.026621067</v>
      </c>
      <c r="D10" s="19"/>
      <c r="E10" s="19"/>
      <c r="F10" s="24"/>
      <c r="G10" s="23" t="s">
        <v>175</v>
      </c>
      <c r="H10" s="263">
        <v>1</v>
      </c>
    </row>
    <row r="11" spans="1:8" ht="16.5" thickTop="1" x14ac:dyDescent="0.25">
      <c r="A11" s="262">
        <f t="shared" ref="A11:A24" si="0">A10+1</f>
        <v>2</v>
      </c>
      <c r="B11" s="18"/>
      <c r="C11" s="18"/>
      <c r="D11" s="19"/>
      <c r="E11" s="19"/>
      <c r="F11" s="24"/>
      <c r="G11" s="23"/>
      <c r="H11" s="263">
        <f t="shared" ref="H11:H22" si="1">H10+1</f>
        <v>2</v>
      </c>
    </row>
    <row r="12" spans="1:8" ht="15.75" x14ac:dyDescent="0.25">
      <c r="A12" s="262">
        <f t="shared" si="0"/>
        <v>3</v>
      </c>
      <c r="B12" s="18" t="s">
        <v>267</v>
      </c>
      <c r="C12" s="816"/>
      <c r="D12" s="44">
        <f>'WP 6 HV LV Alloc Summary'!C26</f>
        <v>-35001351.080000006</v>
      </c>
      <c r="E12" s="44">
        <f>'WP 6 HV LV Alloc Summary'!D26</f>
        <v>0</v>
      </c>
      <c r="F12" s="398">
        <f>SUM(D12:E12)</f>
        <v>-35001351.080000006</v>
      </c>
      <c r="G12" s="741" t="s">
        <v>206</v>
      </c>
      <c r="H12" s="263">
        <f t="shared" si="1"/>
        <v>3</v>
      </c>
    </row>
    <row r="13" spans="1:8" ht="15.75" x14ac:dyDescent="0.25">
      <c r="A13" s="262">
        <f t="shared" si="0"/>
        <v>4</v>
      </c>
      <c r="B13" s="18"/>
      <c r="C13" s="816"/>
      <c r="D13" s="31"/>
      <c r="E13" s="31"/>
      <c r="F13" s="39"/>
      <c r="G13" s="23"/>
      <c r="H13" s="263">
        <f t="shared" si="1"/>
        <v>4</v>
      </c>
    </row>
    <row r="14" spans="1:8" ht="15.75" x14ac:dyDescent="0.25">
      <c r="A14" s="262">
        <f t="shared" si="0"/>
        <v>5</v>
      </c>
      <c r="B14" s="18" t="s">
        <v>268</v>
      </c>
      <c r="C14" s="816"/>
      <c r="D14" s="31">
        <f>'WP 6 HV LV Alloc Summary'!C33</f>
        <v>8751.6</v>
      </c>
      <c r="E14" s="31">
        <f>'WP 6 HV LV Alloc Summary'!D33</f>
        <v>9248.4000000000015</v>
      </c>
      <c r="F14" s="39">
        <f>SUM(D14:E14)</f>
        <v>18000</v>
      </c>
      <c r="G14" s="23" t="s">
        <v>208</v>
      </c>
      <c r="H14" s="263">
        <f t="shared" si="1"/>
        <v>5</v>
      </c>
    </row>
    <row r="15" spans="1:8" ht="15.75" x14ac:dyDescent="0.25">
      <c r="A15" s="262">
        <f t="shared" si="0"/>
        <v>6</v>
      </c>
      <c r="B15" s="65"/>
      <c r="C15" s="816"/>
      <c r="D15" s="31"/>
      <c r="E15" s="31"/>
      <c r="F15" s="237"/>
      <c r="G15" s="61"/>
      <c r="H15" s="263">
        <f t="shared" si="1"/>
        <v>6</v>
      </c>
    </row>
    <row r="16" spans="1:8" ht="15.75" x14ac:dyDescent="0.25">
      <c r="A16" s="262">
        <f t="shared" si="0"/>
        <v>7</v>
      </c>
      <c r="B16" s="65" t="s">
        <v>269</v>
      </c>
      <c r="C16" s="816"/>
      <c r="D16" s="31">
        <f>'WP 6 HV LV Alloc Summary'!C39</f>
        <v>-141697.78932280402</v>
      </c>
      <c r="E16" s="31">
        <f>'WP 6 HV LV Alloc Summary'!D39</f>
        <v>-149741.51409719602</v>
      </c>
      <c r="F16" s="237">
        <f>SUM(D16:E16)</f>
        <v>-291439.30342000001</v>
      </c>
      <c r="G16" s="61" t="s">
        <v>210</v>
      </c>
      <c r="H16" s="263">
        <f t="shared" si="1"/>
        <v>7</v>
      </c>
    </row>
    <row r="17" spans="1:8" ht="15.75" x14ac:dyDescent="0.25">
      <c r="A17" s="262">
        <f t="shared" si="0"/>
        <v>8</v>
      </c>
      <c r="B17" s="65"/>
      <c r="C17" s="817"/>
      <c r="D17" s="31"/>
      <c r="E17" s="31"/>
      <c r="F17" s="237"/>
      <c r="G17" s="61"/>
      <c r="H17" s="263">
        <f t="shared" si="1"/>
        <v>8</v>
      </c>
    </row>
    <row r="18" spans="1:8" ht="15.75" x14ac:dyDescent="0.25">
      <c r="A18" s="262">
        <f t="shared" si="0"/>
        <v>9</v>
      </c>
      <c r="B18" s="65" t="s">
        <v>270</v>
      </c>
      <c r="C18" s="817"/>
      <c r="D18" s="38">
        <f>'WP 6 HV LV Alloc Summary'!C49</f>
        <v>-143186.82170319601</v>
      </c>
      <c r="E18" s="38">
        <f>'WP 6 HV LV Alloc Summary'!D49</f>
        <v>-530550.52487680409</v>
      </c>
      <c r="F18" s="40">
        <f>SUM(D18:E18)</f>
        <v>-673737.34658000013</v>
      </c>
      <c r="G18" s="61" t="s">
        <v>211</v>
      </c>
      <c r="H18" s="263">
        <f t="shared" si="1"/>
        <v>9</v>
      </c>
    </row>
    <row r="19" spans="1:8" ht="15.75" x14ac:dyDescent="0.25">
      <c r="A19" s="262">
        <f t="shared" si="0"/>
        <v>10</v>
      </c>
      <c r="B19" s="18"/>
      <c r="C19" s="18"/>
      <c r="D19" s="19"/>
      <c r="E19" s="19"/>
      <c r="F19" s="19"/>
      <c r="G19" s="23"/>
      <c r="H19" s="263">
        <f t="shared" si="1"/>
        <v>10</v>
      </c>
    </row>
    <row r="20" spans="1:8" ht="15.75" x14ac:dyDescent="0.25">
      <c r="A20" s="262">
        <f t="shared" si="0"/>
        <v>11</v>
      </c>
      <c r="B20" s="18" t="s">
        <v>500</v>
      </c>
      <c r="C20" s="18"/>
      <c r="D20" s="14">
        <f>SUM(D12:D18)</f>
        <v>-35277484.091026001</v>
      </c>
      <c r="E20" s="14">
        <f>SUM(E12:E18)</f>
        <v>-671043.63897400012</v>
      </c>
      <c r="F20" s="14">
        <f>SUM(F12:F18)</f>
        <v>-35948527.730000004</v>
      </c>
      <c r="G20" s="23" t="s">
        <v>271</v>
      </c>
      <c r="H20" s="263">
        <f t="shared" si="1"/>
        <v>11</v>
      </c>
    </row>
    <row r="21" spans="1:8" ht="15.75" x14ac:dyDescent="0.25">
      <c r="A21" s="262">
        <f t="shared" si="0"/>
        <v>12</v>
      </c>
      <c r="B21" s="11"/>
      <c r="C21" s="11"/>
      <c r="D21" s="16"/>
      <c r="E21" s="16"/>
      <c r="F21" s="17"/>
      <c r="G21" s="10"/>
      <c r="H21" s="263">
        <f t="shared" si="1"/>
        <v>12</v>
      </c>
    </row>
    <row r="22" spans="1:8" ht="15.75" x14ac:dyDescent="0.25">
      <c r="A22" s="262">
        <f t="shared" si="0"/>
        <v>13</v>
      </c>
      <c r="B22" s="18" t="s">
        <v>272</v>
      </c>
      <c r="C22" s="18"/>
      <c r="D22" s="25">
        <f>D20/$F20</f>
        <v>0.981333209415027</v>
      </c>
      <c r="E22" s="25">
        <f>E20/$F20</f>
        <v>1.8666790584972868E-2</v>
      </c>
      <c r="F22" s="30">
        <f>SUM(D22:E22)</f>
        <v>0.99999999999999989</v>
      </c>
      <c r="G22" s="23" t="s">
        <v>273</v>
      </c>
      <c r="H22" s="263">
        <f t="shared" si="1"/>
        <v>13</v>
      </c>
    </row>
    <row r="23" spans="1:8" ht="15.75" x14ac:dyDescent="0.25">
      <c r="A23" s="262">
        <f t="shared" si="0"/>
        <v>14</v>
      </c>
      <c r="B23" s="18"/>
      <c r="C23" s="18"/>
      <c r="D23" s="21"/>
      <c r="E23" s="21"/>
      <c r="F23" s="21"/>
      <c r="G23" s="23"/>
      <c r="H23" s="263">
        <f>H22+1</f>
        <v>14</v>
      </c>
    </row>
    <row r="24" spans="1:8" ht="19.5" thickBot="1" x14ac:dyDescent="0.3">
      <c r="A24" s="262">
        <f t="shared" si="0"/>
        <v>15</v>
      </c>
      <c r="B24" s="11" t="s">
        <v>274</v>
      </c>
      <c r="C24" s="11"/>
      <c r="D24" s="232">
        <f>ROUND($C10*D22,0)</f>
        <v>-4306434</v>
      </c>
      <c r="E24" s="232">
        <f>ROUND($C10*E22,0)</f>
        <v>-81916</v>
      </c>
      <c r="F24" s="232">
        <f>SUM(D24:E24)</f>
        <v>-4388350</v>
      </c>
      <c r="G24" s="23" t="s">
        <v>275</v>
      </c>
      <c r="H24" s="263">
        <f>H23+1</f>
        <v>15</v>
      </c>
    </row>
    <row r="25" spans="1:8" ht="17.25" thickTop="1" thickBot="1" x14ac:dyDescent="0.3">
      <c r="A25" s="574"/>
      <c r="B25" s="81"/>
      <c r="C25" s="81"/>
      <c r="D25" s="471"/>
      <c r="E25" s="81"/>
      <c r="F25" s="81"/>
      <c r="G25" s="81"/>
      <c r="H25" s="406"/>
    </row>
    <row r="26" spans="1:8" ht="15.75" x14ac:dyDescent="0.25">
      <c r="A26" s="22"/>
      <c r="B26" s="22"/>
      <c r="C26" s="22"/>
      <c r="D26" s="22"/>
      <c r="E26" s="22"/>
      <c r="F26" s="22"/>
      <c r="G26" s="22"/>
      <c r="H26" s="22"/>
    </row>
    <row r="27" spans="1:8" ht="18.75" x14ac:dyDescent="0.25">
      <c r="A27" s="83">
        <v>1</v>
      </c>
      <c r="B27" s="22" t="s">
        <v>276</v>
      </c>
      <c r="C27" s="22"/>
      <c r="D27" s="22"/>
      <c r="E27" s="22"/>
      <c r="F27" s="22"/>
      <c r="G27" s="22"/>
      <c r="H27" s="22"/>
    </row>
    <row r="28" spans="1:8" ht="18.75" x14ac:dyDescent="0.25">
      <c r="A28" s="83"/>
      <c r="B28" s="22"/>
      <c r="C28" s="22"/>
      <c r="D28" s="22"/>
      <c r="E28" s="22"/>
      <c r="F28" s="22"/>
      <c r="G28" s="22"/>
      <c r="H28" s="22"/>
    </row>
    <row r="29" spans="1:8" ht="18.75" x14ac:dyDescent="0.25">
      <c r="A29" s="83"/>
      <c r="B29" s="22"/>
      <c r="C29" s="22"/>
      <c r="D29" s="22"/>
      <c r="E29" s="22"/>
      <c r="F29" s="22"/>
      <c r="G29" s="22"/>
      <c r="H29" s="22"/>
    </row>
  </sheetData>
  <mergeCells count="1">
    <mergeCell ref="B3:G3"/>
  </mergeCells>
  <phoneticPr fontId="0" type="noConversion"/>
  <printOptions horizontalCentered="1"/>
  <pageMargins left="0.5" right="0.5" top="0.5" bottom="0.5" header="0.25" footer="0.25"/>
  <pageSetup scale="72" orientation="landscape" r:id="rId1"/>
  <headerFooter scaleWithDoc="0" alignWithMargins="0">
    <oddFooter>&amp;L&amp;"Times New Roman,Regular"&amp;11&amp;F&amp;C&amp;"Times New Roman,Regular"&amp;11Page 2.1&amp;R&amp;"Times New Roman,Regular"&amp;11&amp;A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60"/>
  <sheetViews>
    <sheetView zoomScale="80" zoomScaleNormal="80" workbookViewId="0"/>
  </sheetViews>
  <sheetFormatPr defaultColWidth="8.5703125" defaultRowHeight="12.75" x14ac:dyDescent="0.2"/>
  <cols>
    <col min="1" max="1" width="5.5703125" style="1" customWidth="1"/>
    <col min="2" max="4" width="20.5703125" style="1" customWidth="1"/>
    <col min="5" max="5" width="22.28515625" style="1" bestFit="1" customWidth="1"/>
    <col min="6" max="6" width="40.5703125" style="1" customWidth="1"/>
    <col min="7" max="7" width="5.5703125" style="1" customWidth="1"/>
    <col min="8" max="8" width="8.5703125" style="1" customWidth="1"/>
    <col min="9" max="9" width="12.5703125" style="1" customWidth="1"/>
    <col min="10" max="10" width="8.42578125" style="1" customWidth="1"/>
    <col min="11" max="16384" width="8.5703125" style="1"/>
  </cols>
  <sheetData>
    <row r="2" spans="1:10" s="3" customFormat="1" ht="18" customHeight="1" x14ac:dyDescent="0.25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0" s="3" customFormat="1" ht="18" customHeight="1" x14ac:dyDescent="0.25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0" s="3" customFormat="1" ht="18" customHeight="1" x14ac:dyDescent="0.25">
      <c r="A4" s="5" t="str">
        <f>'Stmnt BD - Recorded KWH'!A4</f>
        <v>2025 - TRBAA Rate Filing</v>
      </c>
      <c r="B4" s="5"/>
      <c r="C4" s="5"/>
      <c r="D4" s="5"/>
      <c r="E4" s="5"/>
      <c r="F4" s="5"/>
      <c r="G4" s="41"/>
      <c r="H4" s="1"/>
      <c r="I4" s="1"/>
      <c r="J4" s="1"/>
    </row>
    <row r="5" spans="1:10" ht="15.75" x14ac:dyDescent="0.2">
      <c r="A5" s="5" t="s">
        <v>2</v>
      </c>
      <c r="B5" s="5"/>
      <c r="C5" s="5"/>
      <c r="D5" s="41"/>
      <c r="E5" s="41"/>
      <c r="F5" s="41"/>
      <c r="G5" s="41"/>
    </row>
    <row r="6" spans="1:10" ht="16.5" thickBot="1" x14ac:dyDescent="0.25">
      <c r="A6" s="5"/>
      <c r="B6" s="5"/>
      <c r="C6" s="5"/>
      <c r="D6" s="41"/>
      <c r="E6" s="41"/>
      <c r="F6" s="41"/>
      <c r="G6" s="41"/>
    </row>
    <row r="7" spans="1:10" ht="15.75" x14ac:dyDescent="0.25">
      <c r="A7" s="286"/>
      <c r="B7" s="544"/>
      <c r="C7" s="165" t="s">
        <v>3</v>
      </c>
      <c r="D7" s="165" t="s">
        <v>21</v>
      </c>
      <c r="E7" s="165" t="s">
        <v>5</v>
      </c>
      <c r="F7" s="545"/>
      <c r="G7" s="546"/>
    </row>
    <row r="8" spans="1:10" ht="15.75" x14ac:dyDescent="0.25">
      <c r="A8" s="547"/>
      <c r="B8" s="94"/>
      <c r="C8" s="75" t="s">
        <v>6</v>
      </c>
      <c r="D8" s="75" t="s">
        <v>7</v>
      </c>
      <c r="E8" s="75" t="s">
        <v>6</v>
      </c>
      <c r="F8" s="94"/>
      <c r="G8" s="548"/>
    </row>
    <row r="9" spans="1:10" ht="15.75" x14ac:dyDescent="0.25">
      <c r="A9" s="549" t="s">
        <v>8</v>
      </c>
      <c r="B9" s="75"/>
      <c r="C9" s="158" t="s">
        <v>9</v>
      </c>
      <c r="D9" s="75" t="s">
        <v>10</v>
      </c>
      <c r="E9" s="158" t="s">
        <v>9</v>
      </c>
      <c r="F9" s="75"/>
      <c r="G9" s="550" t="s">
        <v>8</v>
      </c>
    </row>
    <row r="10" spans="1:10" ht="19.5" thickBot="1" x14ac:dyDescent="0.3">
      <c r="A10" s="567" t="s">
        <v>11</v>
      </c>
      <c r="B10" s="153" t="s">
        <v>12</v>
      </c>
      <c r="C10" s="569" t="s">
        <v>13</v>
      </c>
      <c r="D10" s="153" t="s">
        <v>14</v>
      </c>
      <c r="E10" s="569" t="s">
        <v>15</v>
      </c>
      <c r="F10" s="153" t="s">
        <v>16</v>
      </c>
      <c r="G10" s="568" t="s">
        <v>11</v>
      </c>
    </row>
    <row r="11" spans="1:10" ht="15.75" x14ac:dyDescent="0.25">
      <c r="A11" s="262"/>
      <c r="B11" s="766"/>
      <c r="C11" s="188"/>
      <c r="D11" s="37"/>
      <c r="E11" s="188"/>
      <c r="F11" s="74"/>
      <c r="G11" s="263"/>
    </row>
    <row r="12" spans="1:10" ht="15.75" x14ac:dyDescent="0.25">
      <c r="A12" s="262">
        <v>1</v>
      </c>
      <c r="B12" s="477">
        <v>45658</v>
      </c>
      <c r="C12" s="44">
        <f>'WP 1.2 Forecast Sales'!C$39</f>
        <v>1604757541.6676974</v>
      </c>
      <c r="D12" s="177">
        <f>'WP 1.2 Forecast Sales'!C$38</f>
        <v>7563.5555555555557</v>
      </c>
      <c r="E12" s="45">
        <f>C12-D12</f>
        <v>1604749978.1121418</v>
      </c>
      <c r="F12" s="240" t="s">
        <v>22</v>
      </c>
      <c r="G12" s="263">
        <v>1</v>
      </c>
    </row>
    <row r="13" spans="1:10" ht="15.75" x14ac:dyDescent="0.25">
      <c r="A13" s="262">
        <f t="shared" ref="A13:A26" si="0">A12+1</f>
        <v>2</v>
      </c>
      <c r="B13" s="477">
        <v>45689</v>
      </c>
      <c r="C13" s="44">
        <f>'WP 1.2 Forecast Sales'!D$39</f>
        <v>1444616807.6289368</v>
      </c>
      <c r="D13" s="177">
        <f>'WP 1.2 Forecast Sales'!D$38</f>
        <v>7563.5555555555557</v>
      </c>
      <c r="E13" s="45">
        <f>C13-D13</f>
        <v>1444609244.0733812</v>
      </c>
      <c r="F13" s="240" t="str">
        <f>$F$12</f>
        <v>Workpaper No. 1; Page 1.2; Lines 30; 29</v>
      </c>
      <c r="G13" s="263">
        <f t="shared" ref="G13:G26" si="1">G12+1</f>
        <v>2</v>
      </c>
    </row>
    <row r="14" spans="1:10" ht="15.75" x14ac:dyDescent="0.25">
      <c r="A14" s="262">
        <f t="shared" si="0"/>
        <v>3</v>
      </c>
      <c r="B14" s="477">
        <v>45717</v>
      </c>
      <c r="C14" s="44">
        <f>'WP 1.2 Forecast Sales'!E$39</f>
        <v>1385084842.6796627</v>
      </c>
      <c r="D14" s="177">
        <f>'WP 1.2 Forecast Sales'!E$38</f>
        <v>7563.5555555555557</v>
      </c>
      <c r="E14" s="45">
        <f>C14-D14</f>
        <v>1385077279.1241071</v>
      </c>
      <c r="F14" s="240" t="str">
        <f t="shared" ref="F14:F23" si="2">$F$12</f>
        <v>Workpaper No. 1; Page 1.2; Lines 30; 29</v>
      </c>
      <c r="G14" s="263">
        <f t="shared" si="1"/>
        <v>3</v>
      </c>
    </row>
    <row r="15" spans="1:10" ht="15.75" x14ac:dyDescent="0.25">
      <c r="A15" s="262">
        <f t="shared" si="0"/>
        <v>4</v>
      </c>
      <c r="B15" s="477">
        <v>45748</v>
      </c>
      <c r="C15" s="44">
        <f>'WP 1.2 Forecast Sales'!F$39</f>
        <v>1296711453.5764103</v>
      </c>
      <c r="D15" s="177">
        <f>'WP 1.2 Forecast Sales'!F$38</f>
        <v>7563.5555555555557</v>
      </c>
      <c r="E15" s="45">
        <f t="shared" ref="E15:E22" si="3">C15-D15</f>
        <v>1296703890.0208547</v>
      </c>
      <c r="F15" s="240" t="str">
        <f t="shared" si="2"/>
        <v>Workpaper No. 1; Page 1.2; Lines 30; 29</v>
      </c>
      <c r="G15" s="263">
        <f t="shared" si="1"/>
        <v>4</v>
      </c>
      <c r="J15" s="4"/>
    </row>
    <row r="16" spans="1:10" ht="15.75" x14ac:dyDescent="0.25">
      <c r="A16" s="262">
        <f t="shared" si="0"/>
        <v>5</v>
      </c>
      <c r="B16" s="477">
        <v>45778</v>
      </c>
      <c r="C16" s="44">
        <f>'WP 1.2 Forecast Sales'!G$39</f>
        <v>1281601963.8295476</v>
      </c>
      <c r="D16" s="177">
        <f>'WP 1.2 Forecast Sales'!G$38</f>
        <v>7563.5555555555557</v>
      </c>
      <c r="E16" s="45">
        <f t="shared" si="3"/>
        <v>1281594400.2739921</v>
      </c>
      <c r="F16" s="240" t="str">
        <f t="shared" si="2"/>
        <v>Workpaper No. 1; Page 1.2; Lines 30; 29</v>
      </c>
      <c r="G16" s="263">
        <f t="shared" si="1"/>
        <v>5</v>
      </c>
      <c r="J16" s="4"/>
    </row>
    <row r="17" spans="1:10" ht="15.75" x14ac:dyDescent="0.25">
      <c r="A17" s="262">
        <f t="shared" si="0"/>
        <v>6</v>
      </c>
      <c r="B17" s="477">
        <v>45809</v>
      </c>
      <c r="C17" s="44">
        <f>'WP 1.2 Forecast Sales'!H$39</f>
        <v>1353652114.6261935</v>
      </c>
      <c r="D17" s="177">
        <f>'WP 1.2 Forecast Sales'!H$38</f>
        <v>7563.5555555555557</v>
      </c>
      <c r="E17" s="45">
        <f t="shared" si="3"/>
        <v>1353644551.0706379</v>
      </c>
      <c r="F17" s="240" t="str">
        <f t="shared" si="2"/>
        <v>Workpaper No. 1; Page 1.2; Lines 30; 29</v>
      </c>
      <c r="G17" s="263">
        <f t="shared" si="1"/>
        <v>6</v>
      </c>
      <c r="J17" s="4"/>
    </row>
    <row r="18" spans="1:10" ht="15.75" x14ac:dyDescent="0.25">
      <c r="A18" s="262">
        <f t="shared" si="0"/>
        <v>7</v>
      </c>
      <c r="B18" s="477">
        <v>45839</v>
      </c>
      <c r="C18" s="44">
        <f>'WP 1.2 Forecast Sales'!I$39</f>
        <v>1546827625.9604373</v>
      </c>
      <c r="D18" s="177">
        <f>'WP 1.2 Forecast Sales'!I$38</f>
        <v>7563.5555555555557</v>
      </c>
      <c r="E18" s="45">
        <f t="shared" si="3"/>
        <v>1546820062.4048817</v>
      </c>
      <c r="F18" s="240" t="str">
        <f t="shared" si="2"/>
        <v>Workpaper No. 1; Page 1.2; Lines 30; 29</v>
      </c>
      <c r="G18" s="263">
        <f t="shared" si="1"/>
        <v>7</v>
      </c>
      <c r="J18" s="4"/>
    </row>
    <row r="19" spans="1:10" ht="15.75" x14ac:dyDescent="0.25">
      <c r="A19" s="262">
        <f t="shared" si="0"/>
        <v>8</v>
      </c>
      <c r="B19" s="477">
        <v>45870</v>
      </c>
      <c r="C19" s="44">
        <f>'WP 1.2 Forecast Sales'!J$39</f>
        <v>1769564397.2297509</v>
      </c>
      <c r="D19" s="177">
        <f>'WP 1.2 Forecast Sales'!J$38</f>
        <v>7563.5555555555557</v>
      </c>
      <c r="E19" s="45">
        <f t="shared" si="3"/>
        <v>1769556833.6741953</v>
      </c>
      <c r="F19" s="240" t="str">
        <f t="shared" si="2"/>
        <v>Workpaper No. 1; Page 1.2; Lines 30; 29</v>
      </c>
      <c r="G19" s="263">
        <f t="shared" si="1"/>
        <v>8</v>
      </c>
      <c r="J19" s="4"/>
    </row>
    <row r="20" spans="1:10" ht="15.75" x14ac:dyDescent="0.25">
      <c r="A20" s="262">
        <f t="shared" si="0"/>
        <v>9</v>
      </c>
      <c r="B20" s="477">
        <v>45901</v>
      </c>
      <c r="C20" s="44">
        <f>'WP 1.2 Forecast Sales'!K$39</f>
        <v>1918998728.2863264</v>
      </c>
      <c r="D20" s="177">
        <f>'WP 1.2 Forecast Sales'!K$38</f>
        <v>7563.5555555555557</v>
      </c>
      <c r="E20" s="45">
        <f t="shared" si="3"/>
        <v>1918991164.7307708</v>
      </c>
      <c r="F20" s="240" t="str">
        <f t="shared" si="2"/>
        <v>Workpaper No. 1; Page 1.2; Lines 30; 29</v>
      </c>
      <c r="G20" s="263">
        <f t="shared" si="1"/>
        <v>9</v>
      </c>
      <c r="J20" s="4"/>
    </row>
    <row r="21" spans="1:10" ht="15.75" x14ac:dyDescent="0.25">
      <c r="A21" s="262">
        <f t="shared" si="0"/>
        <v>10</v>
      </c>
      <c r="B21" s="477">
        <v>45931</v>
      </c>
      <c r="C21" s="44">
        <f>'WP 1.2 Forecast Sales'!L$39</f>
        <v>1608515983.8355341</v>
      </c>
      <c r="D21" s="177">
        <f>'WP 1.2 Forecast Sales'!L$38</f>
        <v>7563.5555555555557</v>
      </c>
      <c r="E21" s="45">
        <f t="shared" si="3"/>
        <v>1608508420.2799785</v>
      </c>
      <c r="F21" s="240" t="str">
        <f t="shared" si="2"/>
        <v>Workpaper No. 1; Page 1.2; Lines 30; 29</v>
      </c>
      <c r="G21" s="263">
        <f t="shared" si="1"/>
        <v>10</v>
      </c>
      <c r="J21" s="4"/>
    </row>
    <row r="22" spans="1:10" ht="15.75" x14ac:dyDescent="0.25">
      <c r="A22" s="262">
        <f t="shared" si="0"/>
        <v>11</v>
      </c>
      <c r="B22" s="477">
        <v>45962</v>
      </c>
      <c r="C22" s="44">
        <f>'WP 1.2 Forecast Sales'!M$39</f>
        <v>1435170494.5462341</v>
      </c>
      <c r="D22" s="177">
        <f>'WP 1.2 Forecast Sales'!M$38</f>
        <v>7563.5555555555557</v>
      </c>
      <c r="E22" s="45">
        <f t="shared" si="3"/>
        <v>1435162930.9906785</v>
      </c>
      <c r="F22" s="240" t="str">
        <f t="shared" si="2"/>
        <v>Workpaper No. 1; Page 1.2; Lines 30; 29</v>
      </c>
      <c r="G22" s="263">
        <f t="shared" si="1"/>
        <v>11</v>
      </c>
      <c r="J22" s="4"/>
    </row>
    <row r="23" spans="1:10" ht="15.75" x14ac:dyDescent="0.25">
      <c r="A23" s="262">
        <f t="shared" si="0"/>
        <v>12</v>
      </c>
      <c r="B23" s="477">
        <v>45992</v>
      </c>
      <c r="C23" s="44">
        <f>'WP 1.2 Forecast Sales'!N$39</f>
        <v>1551108253.79024</v>
      </c>
      <c r="D23" s="177">
        <f>'WP 1.2 Forecast Sales'!N$38</f>
        <v>7563.5555555555557</v>
      </c>
      <c r="E23" s="45">
        <f>C23-D23</f>
        <v>1551100690.2346845</v>
      </c>
      <c r="F23" s="240" t="str">
        <f t="shared" si="2"/>
        <v>Workpaper No. 1; Page 1.2; Lines 30; 29</v>
      </c>
      <c r="G23" s="263">
        <f t="shared" si="1"/>
        <v>12</v>
      </c>
      <c r="J23" s="4"/>
    </row>
    <row r="24" spans="1:10" ht="15.75" x14ac:dyDescent="0.25">
      <c r="A24" s="262">
        <f t="shared" si="0"/>
        <v>13</v>
      </c>
      <c r="B24" s="189"/>
      <c r="C24" s="51"/>
      <c r="D24" s="178"/>
      <c r="E24" s="46"/>
      <c r="F24" s="49"/>
      <c r="G24" s="263">
        <f t="shared" si="1"/>
        <v>13</v>
      </c>
      <c r="J24" s="4"/>
    </row>
    <row r="25" spans="1:10" ht="15.75" x14ac:dyDescent="0.25">
      <c r="A25" s="262">
        <f t="shared" si="0"/>
        <v>14</v>
      </c>
      <c r="B25" s="22"/>
      <c r="C25" s="45"/>
      <c r="D25" s="45"/>
      <c r="E25" s="45"/>
      <c r="F25" s="49"/>
      <c r="G25" s="263">
        <f t="shared" si="1"/>
        <v>14</v>
      </c>
    </row>
    <row r="26" spans="1:10" ht="16.5" thickBot="1" x14ac:dyDescent="0.3">
      <c r="A26" s="262">
        <f t="shared" si="0"/>
        <v>15</v>
      </c>
      <c r="B26" s="43" t="s">
        <v>18</v>
      </c>
      <c r="C26" s="47">
        <f>SUM(C12:C23)</f>
        <v>18196610207.656975</v>
      </c>
      <c r="D26" s="47">
        <f>SUM(D12:D23)</f>
        <v>90762.666666666686</v>
      </c>
      <c r="E26" s="47">
        <f>SUM(E12:E23)</f>
        <v>18196519444.990303</v>
      </c>
      <c r="F26" s="49" t="s">
        <v>19</v>
      </c>
      <c r="G26" s="263">
        <f t="shared" si="1"/>
        <v>15</v>
      </c>
      <c r="I26" s="4"/>
    </row>
    <row r="27" spans="1:10" ht="17.25" thickTop="1" thickBot="1" x14ac:dyDescent="0.3">
      <c r="A27" s="300"/>
      <c r="B27" s="80"/>
      <c r="C27" s="551"/>
      <c r="D27" s="552"/>
      <c r="E27" s="81"/>
      <c r="F27" s="57"/>
      <c r="G27" s="301"/>
    </row>
    <row r="28" spans="1:10" ht="15.75" x14ac:dyDescent="0.25">
      <c r="A28" s="22"/>
      <c r="B28" s="22"/>
      <c r="C28" s="22"/>
      <c r="D28" s="22"/>
      <c r="E28" s="22"/>
      <c r="F28" s="22"/>
      <c r="G28" s="22"/>
    </row>
    <row r="29" spans="1:10" ht="18.75" x14ac:dyDescent="0.25">
      <c r="A29" s="413">
        <v>1</v>
      </c>
      <c r="B29" s="22" t="s">
        <v>23</v>
      </c>
      <c r="C29" s="22"/>
      <c r="D29" s="22"/>
      <c r="E29" s="48"/>
      <c r="F29" s="48"/>
      <c r="G29" s="22"/>
    </row>
    <row r="30" spans="1:10" ht="15.75" x14ac:dyDescent="0.25">
      <c r="A30" s="22"/>
      <c r="B30" s="22" t="s">
        <v>24</v>
      </c>
      <c r="C30" s="22"/>
      <c r="D30" s="22"/>
      <c r="E30" s="48"/>
      <c r="F30" s="48"/>
      <c r="G30" s="22"/>
    </row>
    <row r="31" spans="1:10" ht="15.75" x14ac:dyDescent="0.25">
      <c r="A31" s="22"/>
      <c r="B31" s="22"/>
      <c r="C31" s="22"/>
      <c r="D31" s="22"/>
      <c r="E31" s="48"/>
      <c r="F31" s="48"/>
      <c r="G31" s="22"/>
    </row>
    <row r="32" spans="1:10" ht="15.75" x14ac:dyDescent="0.25">
      <c r="A32" s="22"/>
      <c r="B32" s="22"/>
      <c r="C32" s="22"/>
      <c r="D32" s="22"/>
      <c r="E32" s="48"/>
      <c r="F32" s="48"/>
      <c r="G32" s="22"/>
    </row>
    <row r="33" spans="1:7" ht="15.75" x14ac:dyDescent="0.25">
      <c r="A33" s="22"/>
      <c r="B33" s="22"/>
      <c r="C33" s="22"/>
      <c r="D33" s="22"/>
      <c r="E33" s="22"/>
      <c r="F33" s="22"/>
      <c r="G33" s="22"/>
    </row>
    <row r="34" spans="1:7" ht="15.75" x14ac:dyDescent="0.25">
      <c r="A34" s="22"/>
      <c r="B34" s="22"/>
      <c r="C34" s="22"/>
      <c r="D34" s="22"/>
      <c r="E34" s="22"/>
      <c r="F34" s="22"/>
      <c r="G34" s="22"/>
    </row>
    <row r="35" spans="1:7" ht="15.75" x14ac:dyDescent="0.25">
      <c r="A35" s="22"/>
      <c r="B35" s="22"/>
      <c r="C35" s="22"/>
      <c r="D35" s="22"/>
      <c r="E35" s="22"/>
      <c r="F35" s="22"/>
      <c r="G35" s="22"/>
    </row>
    <row r="36" spans="1:7" ht="15.75" x14ac:dyDescent="0.25">
      <c r="A36" s="22"/>
      <c r="B36" s="22"/>
      <c r="C36" s="22"/>
      <c r="D36" s="22"/>
      <c r="E36" s="22"/>
      <c r="F36" s="22"/>
      <c r="G36" s="22"/>
    </row>
    <row r="37" spans="1:7" ht="15.75" x14ac:dyDescent="0.25">
      <c r="A37" s="22"/>
      <c r="B37" s="22"/>
      <c r="C37" s="22"/>
      <c r="D37" s="22"/>
      <c r="E37" s="22"/>
      <c r="F37" s="22"/>
      <c r="G37" s="22"/>
    </row>
    <row r="38" spans="1:7" ht="15.75" x14ac:dyDescent="0.25">
      <c r="A38" s="22"/>
      <c r="B38" s="22"/>
      <c r="C38" s="22"/>
      <c r="D38" s="22"/>
      <c r="E38" s="22"/>
      <c r="F38" s="22"/>
      <c r="G38" s="22"/>
    </row>
    <row r="39" spans="1:7" ht="15.75" x14ac:dyDescent="0.25">
      <c r="A39" s="22"/>
      <c r="B39" s="22"/>
      <c r="C39" s="22"/>
      <c r="D39" s="22"/>
      <c r="E39" s="22"/>
      <c r="F39" s="22"/>
      <c r="G39" s="22"/>
    </row>
    <row r="40" spans="1:7" ht="15.75" x14ac:dyDescent="0.25">
      <c r="A40" s="22"/>
      <c r="B40" s="22"/>
      <c r="C40" s="22"/>
      <c r="D40" s="22"/>
      <c r="E40" s="22"/>
      <c r="F40" s="22"/>
      <c r="G40" s="22"/>
    </row>
    <row r="41" spans="1:7" ht="15.75" x14ac:dyDescent="0.25">
      <c r="A41" s="22"/>
      <c r="B41" s="22"/>
      <c r="C41" s="22"/>
      <c r="D41" s="22"/>
      <c r="E41" s="22"/>
      <c r="F41" s="22"/>
      <c r="G41" s="22"/>
    </row>
    <row r="42" spans="1:7" ht="15.75" x14ac:dyDescent="0.25">
      <c r="A42" s="22"/>
      <c r="B42" s="22"/>
      <c r="C42" s="22"/>
      <c r="D42" s="22"/>
      <c r="E42" s="22"/>
      <c r="F42" s="22"/>
      <c r="G42" s="22"/>
    </row>
    <row r="43" spans="1:7" ht="15.75" x14ac:dyDescent="0.25">
      <c r="A43" s="22"/>
      <c r="B43" s="22"/>
      <c r="C43" s="22"/>
      <c r="D43" s="22"/>
      <c r="E43" s="22"/>
      <c r="F43" s="22"/>
      <c r="G43" s="22"/>
    </row>
    <row r="44" spans="1:7" ht="15.75" x14ac:dyDescent="0.25">
      <c r="A44" s="22"/>
      <c r="B44" s="22"/>
      <c r="C44" s="22"/>
      <c r="D44" s="22"/>
      <c r="E44" s="22"/>
      <c r="F44" s="22"/>
      <c r="G44" s="22"/>
    </row>
    <row r="45" spans="1:7" ht="15.75" x14ac:dyDescent="0.25">
      <c r="A45" s="22"/>
      <c r="B45" s="22"/>
      <c r="C45" s="22"/>
      <c r="D45" s="22"/>
      <c r="E45" s="22"/>
      <c r="F45" s="22"/>
      <c r="G45" s="22"/>
    </row>
    <row r="46" spans="1:7" ht="15.75" x14ac:dyDescent="0.25">
      <c r="A46" s="22"/>
      <c r="B46" s="22"/>
      <c r="C46" s="22"/>
      <c r="D46" s="22"/>
      <c r="E46" s="22"/>
      <c r="F46" s="22"/>
      <c r="G46" s="22"/>
    </row>
    <row r="47" spans="1:7" ht="15.75" x14ac:dyDescent="0.25">
      <c r="A47" s="22"/>
      <c r="B47" s="22"/>
      <c r="C47" s="22"/>
      <c r="D47" s="22"/>
      <c r="E47" s="22"/>
      <c r="F47" s="22"/>
      <c r="G47" s="22"/>
    </row>
    <row r="48" spans="1:7" ht="15.75" x14ac:dyDescent="0.25">
      <c r="A48" s="22"/>
      <c r="B48" s="22"/>
      <c r="C48" s="22"/>
      <c r="D48" s="22"/>
      <c r="E48" s="22"/>
      <c r="F48" s="22"/>
      <c r="G48" s="22"/>
    </row>
    <row r="49" spans="1:7" ht="15.75" x14ac:dyDescent="0.25">
      <c r="A49" s="22"/>
      <c r="B49" s="22"/>
      <c r="C49" s="22"/>
      <c r="D49" s="22"/>
      <c r="E49" s="22"/>
      <c r="F49" s="22"/>
      <c r="G49" s="22"/>
    </row>
    <row r="50" spans="1:7" ht="15.75" x14ac:dyDescent="0.25">
      <c r="A50" s="22"/>
      <c r="B50" s="22"/>
      <c r="C50" s="22"/>
      <c r="D50" s="22"/>
      <c r="E50" s="22"/>
      <c r="F50" s="22"/>
      <c r="G50" s="22"/>
    </row>
    <row r="51" spans="1:7" ht="15.75" x14ac:dyDescent="0.25">
      <c r="A51" s="22"/>
      <c r="B51" s="22"/>
      <c r="C51" s="22"/>
      <c r="D51" s="22"/>
      <c r="E51" s="22"/>
      <c r="F51" s="22"/>
      <c r="G51" s="22"/>
    </row>
    <row r="52" spans="1:7" ht="15.75" x14ac:dyDescent="0.25">
      <c r="A52" s="22"/>
      <c r="B52" s="22"/>
      <c r="C52" s="22"/>
      <c r="D52" s="22"/>
      <c r="E52" s="22"/>
      <c r="F52" s="22"/>
      <c r="G52" s="22"/>
    </row>
    <row r="53" spans="1:7" ht="15.75" x14ac:dyDescent="0.25">
      <c r="A53" s="22"/>
      <c r="B53" s="22"/>
      <c r="C53" s="22"/>
      <c r="D53" s="22"/>
      <c r="E53" s="22"/>
      <c r="F53" s="22"/>
      <c r="G53" s="22"/>
    </row>
    <row r="54" spans="1:7" ht="15.75" x14ac:dyDescent="0.25">
      <c r="A54" s="22"/>
      <c r="B54" s="22"/>
      <c r="C54" s="22"/>
      <c r="D54" s="22"/>
      <c r="E54" s="22"/>
      <c r="F54" s="22"/>
      <c r="G54" s="22"/>
    </row>
    <row r="55" spans="1:7" ht="15.75" x14ac:dyDescent="0.25">
      <c r="A55" s="22"/>
      <c r="B55" s="22"/>
      <c r="C55" s="22"/>
      <c r="D55" s="22"/>
      <c r="E55" s="22"/>
      <c r="F55" s="22"/>
      <c r="G55" s="22"/>
    </row>
    <row r="56" spans="1:7" ht="15.75" x14ac:dyDescent="0.25">
      <c r="A56" s="22"/>
      <c r="B56" s="22"/>
      <c r="C56" s="22"/>
      <c r="D56" s="22"/>
      <c r="E56" s="22"/>
      <c r="F56" s="22"/>
      <c r="G56" s="22"/>
    </row>
    <row r="57" spans="1:7" ht="15.75" x14ac:dyDescent="0.25">
      <c r="A57" s="22"/>
      <c r="B57" s="22"/>
      <c r="C57" s="22"/>
      <c r="D57" s="22"/>
      <c r="E57" s="22"/>
      <c r="F57" s="22"/>
      <c r="G57" s="22"/>
    </row>
    <row r="58" spans="1:7" ht="15.75" x14ac:dyDescent="0.25">
      <c r="A58" s="22"/>
      <c r="B58" s="22"/>
      <c r="C58" s="22"/>
      <c r="D58" s="22"/>
      <c r="E58" s="22"/>
      <c r="F58" s="22"/>
      <c r="G58" s="22"/>
    </row>
    <row r="59" spans="1:7" ht="15.75" x14ac:dyDescent="0.25">
      <c r="A59" s="22"/>
      <c r="B59" s="22"/>
      <c r="C59" s="22"/>
      <c r="D59" s="22"/>
      <c r="E59" s="22"/>
      <c r="F59" s="22"/>
      <c r="G59" s="22"/>
    </row>
    <row r="60" spans="1:7" ht="15.75" x14ac:dyDescent="0.25">
      <c r="A60" s="22"/>
      <c r="B60" s="22"/>
      <c r="C60" s="22"/>
      <c r="D60" s="22"/>
      <c r="E60" s="22"/>
      <c r="F60" s="22"/>
      <c r="G60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2 of 5&amp;R&amp;"Times New Roman,Regular"&amp;12&amp;A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17E2-3CF5-42BB-A5C6-39DBD5ACCBFA}">
  <sheetPr>
    <pageSetUpPr fitToPage="1"/>
  </sheetPr>
  <dimension ref="A1:G26"/>
  <sheetViews>
    <sheetView zoomScale="80" zoomScaleNormal="80" workbookViewId="0"/>
  </sheetViews>
  <sheetFormatPr defaultColWidth="8.5703125" defaultRowHeight="15.75" x14ac:dyDescent="0.25"/>
  <cols>
    <col min="1" max="1" width="5.5703125" style="22" customWidth="1"/>
    <col min="2" max="2" width="60.5703125" style="50" customWidth="1"/>
    <col min="3" max="5" width="18.5703125" style="22" customWidth="1"/>
    <col min="6" max="6" width="40.5703125" style="22" customWidth="1"/>
    <col min="7" max="7" width="5.5703125" style="22" customWidth="1"/>
    <col min="8" max="9" width="15.5703125" style="22" customWidth="1"/>
    <col min="10" max="16384" width="8.5703125" style="22"/>
  </cols>
  <sheetData>
    <row r="1" spans="1:7" x14ac:dyDescent="0.25">
      <c r="B1" s="5"/>
      <c r="C1" s="5"/>
      <c r="D1" s="5"/>
      <c r="E1" s="5"/>
      <c r="F1" s="5"/>
    </row>
    <row r="2" spans="1:7" x14ac:dyDescent="0.25">
      <c r="B2" s="5" t="s">
        <v>1</v>
      </c>
      <c r="C2" s="5"/>
      <c r="D2" s="5"/>
      <c r="E2" s="5"/>
      <c r="F2" s="5"/>
    </row>
    <row r="3" spans="1:7" x14ac:dyDescent="0.25">
      <c r="B3" s="5" t="str">
        <f>'Stmnt BK1 - TRBAA'!B4</f>
        <v>2025 - TRBAA Rate Filing</v>
      </c>
      <c r="C3" s="5"/>
      <c r="D3" s="5"/>
      <c r="E3" s="5"/>
      <c r="F3" s="5"/>
    </row>
    <row r="4" spans="1:7" x14ac:dyDescent="0.25">
      <c r="B4" s="5" t="s">
        <v>277</v>
      </c>
      <c r="C4" s="5"/>
      <c r="D4" s="5"/>
      <c r="E4" s="5"/>
      <c r="F4" s="5"/>
    </row>
    <row r="5" spans="1:7" ht="16.5" thickBot="1" x14ac:dyDescent="0.3">
      <c r="B5" s="5"/>
      <c r="C5" s="5"/>
      <c r="D5" s="5"/>
      <c r="E5" s="5"/>
      <c r="F5" s="5"/>
    </row>
    <row r="6" spans="1:7" x14ac:dyDescent="0.25">
      <c r="A6" s="595" t="s">
        <v>8</v>
      </c>
      <c r="B6" s="986" t="s">
        <v>173</v>
      </c>
      <c r="C6" s="596" t="s">
        <v>278</v>
      </c>
      <c r="D6" s="597" t="s">
        <v>279</v>
      </c>
      <c r="E6" s="596" t="s">
        <v>280</v>
      </c>
      <c r="F6" s="598"/>
      <c r="G6" s="557" t="s">
        <v>8</v>
      </c>
    </row>
    <row r="7" spans="1:7" ht="16.5" thickBot="1" x14ac:dyDescent="0.3">
      <c r="A7" s="181" t="s">
        <v>11</v>
      </c>
      <c r="B7" s="991"/>
      <c r="C7" s="591" t="s">
        <v>228</v>
      </c>
      <c r="D7" s="582" t="s">
        <v>229</v>
      </c>
      <c r="E7" s="591" t="s">
        <v>281</v>
      </c>
      <c r="F7" s="591" t="s">
        <v>16</v>
      </c>
      <c r="G7" s="568" t="s">
        <v>11</v>
      </c>
    </row>
    <row r="8" spans="1:7" x14ac:dyDescent="0.25">
      <c r="A8" s="246"/>
      <c r="C8" s="166"/>
      <c r="D8" s="183"/>
      <c r="E8" s="166"/>
      <c r="F8" s="249"/>
      <c r="G8" s="123"/>
    </row>
    <row r="9" spans="1:7" ht="16.5" thickBot="1" x14ac:dyDescent="0.3">
      <c r="A9" s="120">
        <v>1</v>
      </c>
      <c r="B9" s="50" t="s">
        <v>282</v>
      </c>
      <c r="C9" s="17"/>
      <c r="D9" s="815"/>
      <c r="E9" s="232">
        <v>-15948492</v>
      </c>
      <c r="F9" s="33" t="s">
        <v>203</v>
      </c>
      <c r="G9" s="349">
        <v>1</v>
      </c>
    </row>
    <row r="10" spans="1:7" ht="16.5" thickTop="1" x14ac:dyDescent="0.25">
      <c r="A10" s="120">
        <f>A9+1</f>
        <v>2</v>
      </c>
      <c r="C10" s="17"/>
      <c r="E10" s="17"/>
      <c r="F10" s="91"/>
      <c r="G10" s="349">
        <f>G9+1</f>
        <v>2</v>
      </c>
    </row>
    <row r="11" spans="1:7" x14ac:dyDescent="0.25">
      <c r="A11" s="120">
        <f t="shared" ref="A11:A15" si="0">A10+1</f>
        <v>3</v>
      </c>
      <c r="B11" s="50" t="s">
        <v>524</v>
      </c>
      <c r="C11" s="141">
        <f>'Stmnt BK2 - TRBAA'!C13</f>
        <v>493162962.94898325</v>
      </c>
      <c r="D11" s="327">
        <f>'Stmnt BK2 - TRBAA'!D13</f>
        <v>519265174.11431122</v>
      </c>
      <c r="E11" s="141">
        <f>SUM(C11:D11)</f>
        <v>1012428137.0632944</v>
      </c>
      <c r="F11" s="509" t="s">
        <v>283</v>
      </c>
      <c r="G11" s="349">
        <f t="shared" ref="G11:G15" si="1">G10+1</f>
        <v>3</v>
      </c>
    </row>
    <row r="12" spans="1:7" x14ac:dyDescent="0.25">
      <c r="A12" s="120">
        <f t="shared" si="0"/>
        <v>4</v>
      </c>
      <c r="C12" s="19"/>
      <c r="D12" s="28"/>
      <c r="E12" s="19"/>
      <c r="F12" s="33"/>
      <c r="G12" s="349">
        <f t="shared" si="1"/>
        <v>4</v>
      </c>
    </row>
    <row r="13" spans="1:7" x14ac:dyDescent="0.25">
      <c r="A13" s="120">
        <f t="shared" si="0"/>
        <v>5</v>
      </c>
      <c r="B13" s="50" t="s">
        <v>284</v>
      </c>
      <c r="C13" s="740">
        <f>C11/$E11</f>
        <v>0.48710910423675036</v>
      </c>
      <c r="D13" s="956">
        <f>D11/$E11</f>
        <v>0.51289089576324975</v>
      </c>
      <c r="E13" s="740">
        <f>SUM(C13:D13)</f>
        <v>1</v>
      </c>
      <c r="F13" s="33" t="s">
        <v>285</v>
      </c>
      <c r="G13" s="349">
        <f t="shared" si="1"/>
        <v>5</v>
      </c>
    </row>
    <row r="14" spans="1:7" x14ac:dyDescent="0.25">
      <c r="A14" s="120">
        <f t="shared" si="0"/>
        <v>6</v>
      </c>
      <c r="B14" s="508"/>
      <c r="C14" s="31"/>
      <c r="D14" s="54"/>
      <c r="E14" s="19"/>
      <c r="F14" s="33"/>
      <c r="G14" s="349">
        <f t="shared" si="1"/>
        <v>6</v>
      </c>
    </row>
    <row r="15" spans="1:7" ht="16.5" thickBot="1" x14ac:dyDescent="0.3">
      <c r="A15" s="120">
        <f t="shared" si="0"/>
        <v>7</v>
      </c>
      <c r="B15" s="50" t="s">
        <v>286</v>
      </c>
      <c r="C15" s="232">
        <f>ROUND($E$9*C13,0)</f>
        <v>-7768656</v>
      </c>
      <c r="D15" s="520">
        <f>ROUND($E$9*D13,0)</f>
        <v>-8179836</v>
      </c>
      <c r="E15" s="232">
        <f>SUM(C15:D15)</f>
        <v>-15948492</v>
      </c>
      <c r="F15" s="33" t="s">
        <v>287</v>
      </c>
      <c r="G15" s="349">
        <f t="shared" si="1"/>
        <v>7</v>
      </c>
    </row>
    <row r="16" spans="1:7" ht="17.25" thickTop="1" thickBot="1" x14ac:dyDescent="0.3">
      <c r="A16" s="121"/>
      <c r="B16" s="76"/>
      <c r="C16" s="81"/>
      <c r="D16" s="80"/>
      <c r="E16" s="81"/>
      <c r="F16" s="77"/>
      <c r="G16" s="301"/>
    </row>
    <row r="17" spans="1:7" x14ac:dyDescent="0.25">
      <c r="A17" s="37"/>
      <c r="B17" s="92"/>
      <c r="G17" s="37"/>
    </row>
    <row r="18" spans="1:7" ht="18.75" x14ac:dyDescent="0.25">
      <c r="A18" s="83">
        <v>1</v>
      </c>
      <c r="B18" s="50" t="s">
        <v>520</v>
      </c>
    </row>
    <row r="19" spans="1:7" ht="18.75" x14ac:dyDescent="0.25">
      <c r="A19" s="83">
        <v>2</v>
      </c>
      <c r="B19" s="50" t="s">
        <v>521</v>
      </c>
    </row>
    <row r="22" spans="1:7" x14ac:dyDescent="0.25">
      <c r="C22" s="853"/>
      <c r="D22" s="853"/>
      <c r="E22" s="854"/>
    </row>
    <row r="24" spans="1:7" x14ac:dyDescent="0.25">
      <c r="C24" s="143"/>
      <c r="D24" s="143"/>
      <c r="E24" s="143"/>
    </row>
    <row r="26" spans="1:7" x14ac:dyDescent="0.25">
      <c r="C26" s="143"/>
      <c r="D26" s="143"/>
      <c r="E26" s="143"/>
    </row>
  </sheetData>
  <mergeCells count="1">
    <mergeCell ref="B6:B7"/>
  </mergeCells>
  <printOptions horizontalCentered="1"/>
  <pageMargins left="0.5" right="0.5" top="0.5" bottom="0.5" header="0.25" footer="0.25"/>
  <pageSetup scale="77" orientation="landscape" r:id="rId1"/>
  <headerFooter alignWithMargins="0">
    <oddFooter>&amp;L&amp;"Times New Roman,Regular"&amp;12&amp;F&amp;C&amp;"Times New Roman,Regular"&amp;12Page 3.1&amp;R&amp;"Times New Roman,Regular"&amp;12&amp;A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2"/>
  <sheetViews>
    <sheetView zoomScale="80" zoomScaleNormal="80" workbookViewId="0">
      <pane xSplit="2" ySplit="5" topLeftCell="J6" activePane="bottomRight" state="frozen"/>
      <selection pane="topRight"/>
      <selection pane="bottomLeft"/>
      <selection pane="bottomRight"/>
    </sheetView>
  </sheetViews>
  <sheetFormatPr defaultColWidth="9.28515625" defaultRowHeight="12.75" x14ac:dyDescent="0.2"/>
  <cols>
    <col min="1" max="1" width="5.5703125" style="242" customWidth="1"/>
    <col min="2" max="2" width="66.5703125" style="242" customWidth="1"/>
    <col min="3" max="4" width="16.5703125" style="242" customWidth="1"/>
    <col min="5" max="5" width="17.28515625" style="242" customWidth="1"/>
    <col min="6" max="7" width="16.5703125" style="242" customWidth="1"/>
    <col min="8" max="8" width="17.5703125" style="242" customWidth="1"/>
    <col min="9" max="11" width="16.5703125" style="242" customWidth="1"/>
    <col min="12" max="12" width="15.5703125" style="242" bestFit="1" customWidth="1"/>
    <col min="13" max="15" width="16.5703125" style="242" customWidth="1"/>
    <col min="16" max="16" width="37.42578125" style="242" bestFit="1" customWidth="1"/>
    <col min="17" max="17" width="5.5703125" style="242" customWidth="1"/>
    <col min="18" max="18" width="9.28515625" style="242"/>
    <col min="19" max="19" width="2.5703125" style="242" bestFit="1" customWidth="1"/>
    <col min="20" max="16384" width="9.28515625" style="242"/>
  </cols>
  <sheetData>
    <row r="1" spans="1:17" ht="15.75" x14ac:dyDescent="0.25">
      <c r="A1" s="22"/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2"/>
    </row>
    <row r="2" spans="1:17" ht="16.5" thickBot="1" x14ac:dyDescent="0.3">
      <c r="A2" s="22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2"/>
    </row>
    <row r="3" spans="1:17" ht="15.75" x14ac:dyDescent="0.25">
      <c r="A3" s="599"/>
      <c r="B3" s="599"/>
      <c r="C3" s="286"/>
      <c r="D3" s="544"/>
      <c r="E3" s="601"/>
      <c r="F3" s="702"/>
      <c r="G3" s="286"/>
      <c r="H3" s="544"/>
      <c r="I3" s="601"/>
      <c r="J3" s="546"/>
      <c r="K3" s="286"/>
      <c r="L3" s="601"/>
      <c r="M3" s="544"/>
      <c r="N3" s="557"/>
      <c r="O3" s="600"/>
      <c r="P3" s="599"/>
      <c r="Q3" s="702"/>
    </row>
    <row r="4" spans="1:17" ht="15.75" x14ac:dyDescent="0.25">
      <c r="A4" s="186" t="s">
        <v>8</v>
      </c>
      <c r="B4" s="353"/>
      <c r="C4" s="549" t="s">
        <v>288</v>
      </c>
      <c r="D4" s="75" t="s">
        <v>289</v>
      </c>
      <c r="E4" s="576" t="s">
        <v>290</v>
      </c>
      <c r="F4" s="703" t="s">
        <v>291</v>
      </c>
      <c r="G4" s="549" t="s">
        <v>292</v>
      </c>
      <c r="H4" s="75" t="s">
        <v>293</v>
      </c>
      <c r="I4" s="576" t="s">
        <v>294</v>
      </c>
      <c r="J4" s="550" t="s">
        <v>57</v>
      </c>
      <c r="K4" s="549" t="s">
        <v>58</v>
      </c>
      <c r="L4" s="576" t="s">
        <v>59</v>
      </c>
      <c r="M4" s="75" t="s">
        <v>295</v>
      </c>
      <c r="N4" s="550" t="s">
        <v>296</v>
      </c>
      <c r="O4" s="90"/>
      <c r="P4" s="186"/>
      <c r="Q4" s="703" t="s">
        <v>8</v>
      </c>
    </row>
    <row r="5" spans="1:17" ht="16.5" thickBot="1" x14ac:dyDescent="0.3">
      <c r="A5" s="181" t="s">
        <v>11</v>
      </c>
      <c r="B5" s="181" t="s">
        <v>70</v>
      </c>
      <c r="C5" s="567">
        <v>2023</v>
      </c>
      <c r="D5" s="153">
        <f>C5</f>
        <v>2023</v>
      </c>
      <c r="E5" s="581">
        <f>C5</f>
        <v>2023</v>
      </c>
      <c r="F5" s="570">
        <f>E5+1</f>
        <v>2024</v>
      </c>
      <c r="G5" s="567">
        <f>$F$5</f>
        <v>2024</v>
      </c>
      <c r="H5" s="153">
        <f>$F$5</f>
        <v>2024</v>
      </c>
      <c r="I5" s="581">
        <f t="shared" ref="I5:N5" si="0">$F$5</f>
        <v>2024</v>
      </c>
      <c r="J5" s="568">
        <f t="shared" si="0"/>
        <v>2024</v>
      </c>
      <c r="K5" s="567">
        <f t="shared" si="0"/>
        <v>2024</v>
      </c>
      <c r="L5" s="581">
        <f t="shared" si="0"/>
        <v>2024</v>
      </c>
      <c r="M5" s="153">
        <f t="shared" si="0"/>
        <v>2024</v>
      </c>
      <c r="N5" s="568">
        <f t="shared" si="0"/>
        <v>2024</v>
      </c>
      <c r="O5" s="602" t="s">
        <v>18</v>
      </c>
      <c r="P5" s="181" t="s">
        <v>16</v>
      </c>
      <c r="Q5" s="570" t="s">
        <v>11</v>
      </c>
    </row>
    <row r="6" spans="1:17" ht="15.75" x14ac:dyDescent="0.25">
      <c r="A6" s="125"/>
      <c r="B6" s="800"/>
      <c r="C6" s="549"/>
      <c r="D6" s="75"/>
      <c r="E6" s="576"/>
      <c r="F6" s="703"/>
      <c r="G6" s="549"/>
      <c r="H6" s="75"/>
      <c r="I6" s="576"/>
      <c r="J6" s="550"/>
      <c r="K6" s="549"/>
      <c r="L6" s="576"/>
      <c r="M6" s="75"/>
      <c r="N6" s="550"/>
      <c r="O6" s="90"/>
      <c r="P6" s="595"/>
      <c r="Q6" s="123"/>
    </row>
    <row r="7" spans="1:17" ht="15.75" x14ac:dyDescent="0.25">
      <c r="A7" s="120">
        <v>1</v>
      </c>
      <c r="B7" s="125" t="s">
        <v>297</v>
      </c>
      <c r="C7" s="265">
        <v>-13199640.970000006</v>
      </c>
      <c r="D7" s="19">
        <f t="shared" ref="D7:K7" si="1">C38</f>
        <v>-11290300.747932294</v>
      </c>
      <c r="E7" s="239">
        <f t="shared" si="1"/>
        <v>-11607083.964265937</v>
      </c>
      <c r="F7" s="704">
        <f t="shared" si="1"/>
        <v>-10142817.352943711</v>
      </c>
      <c r="G7" s="265">
        <f t="shared" si="1"/>
        <v>-7304591.7551774355</v>
      </c>
      <c r="H7" s="19">
        <f t="shared" si="1"/>
        <v>-6873025.8663341179</v>
      </c>
      <c r="I7" s="239">
        <f t="shared" si="1"/>
        <v>-5012425.4646706637</v>
      </c>
      <c r="J7" s="277">
        <f t="shared" si="1"/>
        <v>-4184024.1284431955</v>
      </c>
      <c r="K7" s="280">
        <f t="shared" si="1"/>
        <v>-3304822.1096820324</v>
      </c>
      <c r="L7" s="239">
        <f>K38</f>
        <v>-3211647.3021597937</v>
      </c>
      <c r="M7" s="19">
        <f>L38</f>
        <v>-2813147.6188336979</v>
      </c>
      <c r="N7" s="277">
        <f>M38</f>
        <v>-3936601.8036772385</v>
      </c>
      <c r="O7" s="28">
        <f>C7</f>
        <v>-13199640.970000006</v>
      </c>
      <c r="P7" s="878" t="s">
        <v>298</v>
      </c>
      <c r="Q7" s="349">
        <v>1</v>
      </c>
    </row>
    <row r="8" spans="1:17" ht="15.75" x14ac:dyDescent="0.25">
      <c r="A8" s="120">
        <f>A7+1</f>
        <v>2</v>
      </c>
      <c r="B8" s="125"/>
      <c r="C8" s="267"/>
      <c r="D8" s="79"/>
      <c r="E8" s="251"/>
      <c r="F8" s="705"/>
      <c r="G8" s="267"/>
      <c r="H8" s="79"/>
      <c r="I8" s="251"/>
      <c r="J8" s="287"/>
      <c r="K8" s="267"/>
      <c r="L8" s="251"/>
      <c r="M8" s="79"/>
      <c r="N8" s="287"/>
      <c r="O8" s="865"/>
      <c r="P8" s="879"/>
      <c r="Q8" s="349">
        <f>Q7+1</f>
        <v>2</v>
      </c>
    </row>
    <row r="9" spans="1:17" ht="15.75" x14ac:dyDescent="0.25">
      <c r="A9" s="120">
        <f t="shared" ref="A9:A44" si="2">A8+1</f>
        <v>3</v>
      </c>
      <c r="B9" s="125" t="s">
        <v>299</v>
      </c>
      <c r="C9" s="267"/>
      <c r="D9" s="79"/>
      <c r="E9" s="251"/>
      <c r="F9" s="705"/>
      <c r="G9" s="267"/>
      <c r="H9" s="79"/>
      <c r="I9" s="251"/>
      <c r="J9" s="287"/>
      <c r="K9" s="267"/>
      <c r="L9" s="251"/>
      <c r="M9" s="79"/>
      <c r="N9" s="287"/>
      <c r="O9" s="865"/>
      <c r="P9" s="879"/>
      <c r="Q9" s="349">
        <f t="shared" ref="Q9:Q37" si="3">Q8+1</f>
        <v>3</v>
      </c>
    </row>
    <row r="10" spans="1:17" ht="15.75" x14ac:dyDescent="0.25">
      <c r="A10" s="120">
        <f t="shared" si="2"/>
        <v>4</v>
      </c>
      <c r="B10" s="125" t="s">
        <v>300</v>
      </c>
      <c r="C10" s="267">
        <f>'WP 1.1 Recorded Sales'!C41</f>
        <v>1548822472</v>
      </c>
      <c r="D10" s="79">
        <f>'WP 1.1 Recorded Sales'!D41</f>
        <v>1358619168</v>
      </c>
      <c r="E10" s="251">
        <f>'WP 1.1 Recorded Sales'!E41</f>
        <v>1292855556</v>
      </c>
      <c r="F10" s="287">
        <f>'WP 1.1 Recorded Sales'!F41</f>
        <v>1540855662</v>
      </c>
      <c r="G10" s="267">
        <f>'WP 1.1 Recorded Sales'!G41</f>
        <v>1309660127</v>
      </c>
      <c r="H10" s="79">
        <f>'WP 1.1 Recorded Sales'!H41</f>
        <v>1253606183</v>
      </c>
      <c r="I10" s="79">
        <f>'WP 1.1 Recorded Sales'!I41</f>
        <v>1211937757</v>
      </c>
      <c r="J10" s="287">
        <f>'WP 1.1 Recorded Sales'!J41</f>
        <v>1184160535</v>
      </c>
      <c r="K10" s="267">
        <f>'WP 1.1 Recorded Sales'!K41</f>
        <v>1155522847</v>
      </c>
      <c r="L10" s="79">
        <f>'WP 1.1 Recorded Sales'!L41</f>
        <v>1539049540</v>
      </c>
      <c r="M10" s="79">
        <f>'WP 1.1 Recorded Sales'!M41</f>
        <v>1635243692</v>
      </c>
      <c r="N10" s="287">
        <f>'WP 1.1 Recorded Sales'!N41</f>
        <v>1645136928</v>
      </c>
      <c r="O10" s="54">
        <f>SUM(C10:N10)</f>
        <v>16675470467</v>
      </c>
      <c r="P10" s="878" t="s">
        <v>301</v>
      </c>
      <c r="Q10" s="349">
        <f t="shared" si="3"/>
        <v>4</v>
      </c>
    </row>
    <row r="11" spans="1:17" ht="32.85" customHeight="1" x14ac:dyDescent="0.25">
      <c r="A11" s="120">
        <f t="shared" si="2"/>
        <v>5</v>
      </c>
      <c r="B11" s="125" t="s">
        <v>302</v>
      </c>
      <c r="C11" s="270">
        <f>C48</f>
        <v>-2.4199999999999998E-3</v>
      </c>
      <c r="D11" s="102">
        <f>C11</f>
        <v>-2.4199999999999998E-3</v>
      </c>
      <c r="E11" s="307">
        <f>D11</f>
        <v>-2.4199999999999998E-3</v>
      </c>
      <c r="F11" s="960">
        <f>C51</f>
        <v>-2.6550000000000002E-3</v>
      </c>
      <c r="G11" s="270">
        <f>C49</f>
        <v>-2.8900000000000002E-3</v>
      </c>
      <c r="H11" s="102">
        <f>C49</f>
        <v>-2.8900000000000002E-3</v>
      </c>
      <c r="I11" s="307">
        <f t="shared" ref="I11:N11" si="4">H11</f>
        <v>-2.8900000000000002E-3</v>
      </c>
      <c r="J11" s="271">
        <f t="shared" si="4"/>
        <v>-2.8900000000000002E-3</v>
      </c>
      <c r="K11" s="270">
        <f t="shared" si="4"/>
        <v>-2.8900000000000002E-3</v>
      </c>
      <c r="L11" s="307">
        <f t="shared" si="4"/>
        <v>-2.8900000000000002E-3</v>
      </c>
      <c r="M11" s="102">
        <f t="shared" si="4"/>
        <v>-2.8900000000000002E-3</v>
      </c>
      <c r="N11" s="271">
        <f t="shared" si="4"/>
        <v>-2.8900000000000002E-3</v>
      </c>
      <c r="O11" s="866"/>
      <c r="P11" s="961" t="s">
        <v>512</v>
      </c>
      <c r="Q11" s="349">
        <f t="shared" si="3"/>
        <v>5</v>
      </c>
    </row>
    <row r="12" spans="1:17" ht="15.75" x14ac:dyDescent="0.25">
      <c r="A12" s="120">
        <f t="shared" si="2"/>
        <v>6</v>
      </c>
      <c r="B12" s="125" t="s">
        <v>303</v>
      </c>
      <c r="C12" s="272">
        <f>C10*C11</f>
        <v>-3748150.3822399997</v>
      </c>
      <c r="D12" s="21">
        <f t="shared" ref="D12:M12" si="5">D10*D11</f>
        <v>-3287858.38656</v>
      </c>
      <c r="E12" s="134">
        <f t="shared" si="5"/>
        <v>-3128710.4455199996</v>
      </c>
      <c r="F12" s="706">
        <f t="shared" si="5"/>
        <v>-4090971.7826100006</v>
      </c>
      <c r="G12" s="272">
        <f t="shared" si="5"/>
        <v>-3784917.7670300002</v>
      </c>
      <c r="H12" s="21">
        <f t="shared" si="5"/>
        <v>-3622921.8688700004</v>
      </c>
      <c r="I12" s="134">
        <f t="shared" si="5"/>
        <v>-3502500.1177300001</v>
      </c>
      <c r="J12" s="288">
        <f t="shared" si="5"/>
        <v>-3422223.9461500002</v>
      </c>
      <c r="K12" s="690">
        <f t="shared" si="5"/>
        <v>-3339461.02783</v>
      </c>
      <c r="L12" s="134">
        <f t="shared" si="5"/>
        <v>-4447853.1706000008</v>
      </c>
      <c r="M12" s="21">
        <f t="shared" si="5"/>
        <v>-4725854.2698800005</v>
      </c>
      <c r="N12" s="288">
        <f>(N10*N11)</f>
        <v>-4754445.7219200004</v>
      </c>
      <c r="O12" s="867">
        <f>SUM(C12:N12)</f>
        <v>-45855868.886940002</v>
      </c>
      <c r="P12" s="878" t="s">
        <v>304</v>
      </c>
      <c r="Q12" s="349">
        <f t="shared" si="3"/>
        <v>6</v>
      </c>
    </row>
    <row r="13" spans="1:17" ht="15.75" x14ac:dyDescent="0.25">
      <c r="A13" s="120">
        <f t="shared" si="2"/>
        <v>7</v>
      </c>
      <c r="B13" s="125" t="s">
        <v>305</v>
      </c>
      <c r="C13" s="604">
        <f>(+C12/(1+C44)*C$44)</f>
        <v>-44462.769787492347</v>
      </c>
      <c r="D13" s="603">
        <f t="shared" ref="D13:M13" si="6">(+D12/(1+D44)*D$44)</f>
        <v>-39002.514741184874</v>
      </c>
      <c r="E13" s="881">
        <f t="shared" si="6"/>
        <v>-37114.608029078503</v>
      </c>
      <c r="F13" s="605">
        <f t="shared" si="6"/>
        <v>-48529.519370193877</v>
      </c>
      <c r="G13" s="604">
        <f t="shared" si="6"/>
        <v>-44898.926184352007</v>
      </c>
      <c r="H13" s="603">
        <f t="shared" si="6"/>
        <v>-42977.23532569933</v>
      </c>
      <c r="I13" s="603">
        <f t="shared" si="6"/>
        <v>-41548.721511601871</v>
      </c>
      <c r="J13" s="605">
        <f t="shared" si="6"/>
        <v>-40596.438232549001</v>
      </c>
      <c r="K13" s="604">
        <f t="shared" si="6"/>
        <v>-39614.65569745125</v>
      </c>
      <c r="L13" s="603">
        <f t="shared" si="6"/>
        <v>-52763.056815977201</v>
      </c>
      <c r="M13" s="603">
        <f t="shared" si="6"/>
        <v>-56060.869768340475</v>
      </c>
      <c r="N13" s="691">
        <f>(+N12/(1+N44)*N$44)</f>
        <v>-56400.038430293927</v>
      </c>
      <c r="O13" s="331">
        <f>SUM(C13:N13)</f>
        <v>-543969.35389421473</v>
      </c>
      <c r="P13" s="878" t="s">
        <v>306</v>
      </c>
      <c r="Q13" s="349">
        <f t="shared" si="3"/>
        <v>7</v>
      </c>
    </row>
    <row r="14" spans="1:17" ht="15.75" x14ac:dyDescent="0.25">
      <c r="A14" s="120">
        <f t="shared" si="2"/>
        <v>8</v>
      </c>
      <c r="B14" s="125" t="s">
        <v>307</v>
      </c>
      <c r="C14" s="274">
        <f t="shared" ref="C14:N14" si="7">C12-C13</f>
        <v>-3703687.6124525075</v>
      </c>
      <c r="D14" s="97">
        <f t="shared" si="7"/>
        <v>-3248855.8718188154</v>
      </c>
      <c r="E14" s="253">
        <f t="shared" si="7"/>
        <v>-3091595.8374909209</v>
      </c>
      <c r="F14" s="707">
        <f t="shared" si="7"/>
        <v>-4042442.2632398065</v>
      </c>
      <c r="G14" s="274">
        <f t="shared" si="7"/>
        <v>-3740018.8408456482</v>
      </c>
      <c r="H14" s="97">
        <f t="shared" si="7"/>
        <v>-3579944.6335443011</v>
      </c>
      <c r="I14" s="253">
        <f t="shared" si="7"/>
        <v>-3460951.3962183981</v>
      </c>
      <c r="J14" s="275">
        <f t="shared" si="7"/>
        <v>-3381627.5079174512</v>
      </c>
      <c r="K14" s="274">
        <f t="shared" si="7"/>
        <v>-3299846.3721325486</v>
      </c>
      <c r="L14" s="253">
        <f t="shared" si="7"/>
        <v>-4395090.1137840236</v>
      </c>
      <c r="M14" s="97">
        <f t="shared" si="7"/>
        <v>-4669793.4001116604</v>
      </c>
      <c r="N14" s="275">
        <f t="shared" si="7"/>
        <v>-4698045.6834897064</v>
      </c>
      <c r="O14" s="868">
        <f>SUM(C14:N14)</f>
        <v>-45311899.533045784</v>
      </c>
      <c r="P14" s="878" t="s">
        <v>308</v>
      </c>
      <c r="Q14" s="349">
        <f t="shared" si="3"/>
        <v>8</v>
      </c>
    </row>
    <row r="15" spans="1:17" ht="15.75" x14ac:dyDescent="0.25">
      <c r="A15" s="120">
        <f t="shared" si="2"/>
        <v>9</v>
      </c>
      <c r="B15" s="125"/>
      <c r="C15" s="267"/>
      <c r="D15" s="79"/>
      <c r="E15" s="251"/>
      <c r="F15" s="705"/>
      <c r="G15" s="267"/>
      <c r="H15" s="79"/>
      <c r="I15" s="251"/>
      <c r="J15" s="287"/>
      <c r="K15" s="267"/>
      <c r="L15" s="251"/>
      <c r="M15" s="79"/>
      <c r="N15" s="344"/>
      <c r="O15" s="865"/>
      <c r="P15" s="879"/>
      <c r="Q15" s="349">
        <f t="shared" si="3"/>
        <v>9</v>
      </c>
    </row>
    <row r="16" spans="1:17" ht="15.75" x14ac:dyDescent="0.25">
      <c r="A16" s="120">
        <f t="shared" si="2"/>
        <v>10</v>
      </c>
      <c r="B16" s="125" t="s">
        <v>309</v>
      </c>
      <c r="C16" s="267"/>
      <c r="D16" s="79"/>
      <c r="E16" s="251"/>
      <c r="F16" s="705"/>
      <c r="G16" s="267"/>
      <c r="H16" s="79"/>
      <c r="I16" s="251"/>
      <c r="J16" s="287"/>
      <c r="K16" s="267"/>
      <c r="L16" s="251"/>
      <c r="M16" s="79"/>
      <c r="N16" s="287"/>
      <c r="O16" s="865"/>
      <c r="P16" s="879"/>
      <c r="Q16" s="349">
        <f t="shared" si="3"/>
        <v>10</v>
      </c>
    </row>
    <row r="17" spans="1:17" ht="15.75" x14ac:dyDescent="0.25">
      <c r="A17" s="120">
        <f t="shared" si="2"/>
        <v>11</v>
      </c>
      <c r="B17" s="125" t="s">
        <v>310</v>
      </c>
      <c r="C17" s="268">
        <f>'WP 5 CAISO Charges'!C10</f>
        <v>-1673908.7700000003</v>
      </c>
      <c r="D17" s="31">
        <f>'WP 5 CAISO Charges'!D10</f>
        <v>-3291851.96</v>
      </c>
      <c r="E17" s="238">
        <f>'WP 5 CAISO Charges'!E10</f>
        <v>-1457031.11</v>
      </c>
      <c r="F17" s="118">
        <f>'WP 5 CAISO Charges'!F10</f>
        <v>-1068615.77</v>
      </c>
      <c r="G17" s="268">
        <f>'WP 5 CAISO Charges'!G10</f>
        <v>-3199081.73</v>
      </c>
      <c r="H17" s="31">
        <f>'WP 5 CAISO Charges'!H10</f>
        <v>-1687268.23</v>
      </c>
      <c r="I17" s="238">
        <f>'WP 5 CAISO Charges'!I10</f>
        <v>-2603786.13</v>
      </c>
      <c r="J17" s="269">
        <f>'WP 5 CAISO Charges'!J10</f>
        <v>-2466218.89</v>
      </c>
      <c r="K17" s="268">
        <f>'WP 5 CAISO Charges'!K10</f>
        <v>-3160328.21</v>
      </c>
      <c r="L17" s="238">
        <f>'WP 5 CAISO Charges'!L10</f>
        <v>-4140121.7199999997</v>
      </c>
      <c r="M17" s="31">
        <f>'WP 5 CAISO Charges'!M10</f>
        <v>-5952536.1200000001</v>
      </c>
      <c r="N17" s="269">
        <f>'WP 5 CAISO Charges'!N10</f>
        <v>-4300602.4400000004</v>
      </c>
      <c r="O17" s="54">
        <f>SUM(C17:N17)</f>
        <v>-35001351.080000006</v>
      </c>
      <c r="P17" s="878" t="s">
        <v>311</v>
      </c>
      <c r="Q17" s="349">
        <f t="shared" si="3"/>
        <v>11</v>
      </c>
    </row>
    <row r="18" spans="1:17" ht="15.75" x14ac:dyDescent="0.25">
      <c r="A18" s="120">
        <f t="shared" si="2"/>
        <v>12</v>
      </c>
      <c r="B18" s="125" t="s">
        <v>312</v>
      </c>
      <c r="C18" s="268">
        <f>'WP 5 CAISO Charges'!C13</f>
        <v>1500</v>
      </c>
      <c r="D18" s="31">
        <f>'WP 5 CAISO Charges'!D13</f>
        <v>1500</v>
      </c>
      <c r="E18" s="238">
        <f>'WP 5 CAISO Charges'!E13</f>
        <v>1500</v>
      </c>
      <c r="F18" s="118">
        <f>'WP 5 CAISO Charges'!F13</f>
        <v>1500</v>
      </c>
      <c r="G18" s="268">
        <f>'WP 5 CAISO Charges'!G13</f>
        <v>1500</v>
      </c>
      <c r="H18" s="31">
        <f>'WP 5 CAISO Charges'!H13</f>
        <v>1500</v>
      </c>
      <c r="I18" s="238">
        <f>'WP 5 CAISO Charges'!I13</f>
        <v>1500</v>
      </c>
      <c r="J18" s="269">
        <f>'WP 5 CAISO Charges'!J13</f>
        <v>1500</v>
      </c>
      <c r="K18" s="268">
        <f>'WP 5 CAISO Charges'!K13</f>
        <v>1500</v>
      </c>
      <c r="L18" s="238">
        <f>'WP 5 CAISO Charges'!L13</f>
        <v>1500</v>
      </c>
      <c r="M18" s="31">
        <f>'WP 5 CAISO Charges'!M13</f>
        <v>750</v>
      </c>
      <c r="N18" s="269">
        <f>'WP 5 CAISO Charges'!N13</f>
        <v>2250</v>
      </c>
      <c r="O18" s="54">
        <f>SUM(C18:N18)</f>
        <v>18000</v>
      </c>
      <c r="P18" s="878" t="s">
        <v>313</v>
      </c>
      <c r="Q18" s="349">
        <f t="shared" si="3"/>
        <v>12</v>
      </c>
    </row>
    <row r="19" spans="1:17" ht="15.75" x14ac:dyDescent="0.25">
      <c r="A19" s="120">
        <f>A18+1</f>
        <v>13</v>
      </c>
      <c r="B19" s="125" t="s">
        <v>314</v>
      </c>
      <c r="C19" s="116">
        <f>'WP 5 CAISO Charges'!C16</f>
        <v>-49870.430000000008</v>
      </c>
      <c r="D19" s="31">
        <f>'WP 5 CAISO Charges'!D16</f>
        <v>-195533.86000000007</v>
      </c>
      <c r="E19" s="238">
        <f>'WP 5 CAISO Charges'!E16</f>
        <v>-48369.76999999999</v>
      </c>
      <c r="F19" s="118">
        <f>'WP 5 CAISO Charges'!F16</f>
        <v>-58168.59</v>
      </c>
      <c r="G19" s="268">
        <f>'WP 5 CAISO Charges'!G16</f>
        <v>-55169.139999999992</v>
      </c>
      <c r="H19" s="238">
        <f>'WP 5 CAISO Charges'!H16</f>
        <v>22315.189999999991</v>
      </c>
      <c r="I19" s="54">
        <f>'WP 5 CAISO Charges'!I16</f>
        <v>23102.301760000002</v>
      </c>
      <c r="J19" s="269">
        <f>'WP 5 CAISO Charges'!J16</f>
        <v>20153.409120000008</v>
      </c>
      <c r="K19" s="268">
        <f>'WP 5 CAISO Charges'!K16</f>
        <v>55969.450000000004</v>
      </c>
      <c r="L19" s="54">
        <f>'WP 5 CAISO Charges'!L16</f>
        <v>-19240.010000000009</v>
      </c>
      <c r="M19" s="31">
        <f>'WP 5 CAISO Charges'!M16</f>
        <v>-45628.80000000001</v>
      </c>
      <c r="N19" s="118">
        <f>'WP 5 CAISO Charges'!N16</f>
        <v>59000.945699999982</v>
      </c>
      <c r="O19" s="54">
        <f>SUM(C19:N19)</f>
        <v>-291439.30342000001</v>
      </c>
      <c r="P19" s="878" t="s">
        <v>315</v>
      </c>
      <c r="Q19" s="349">
        <f>Q18+1</f>
        <v>13</v>
      </c>
    </row>
    <row r="20" spans="1:17" ht="15.75" x14ac:dyDescent="0.25">
      <c r="A20" s="120">
        <f t="shared" ref="A20:A21" si="8">A19+1</f>
        <v>14</v>
      </c>
      <c r="B20" s="125" t="s">
        <v>316</v>
      </c>
      <c r="C20" s="329">
        <f>'WP 5 CAISO Charges'!C19</f>
        <v>14563.56</v>
      </c>
      <c r="D20" s="38">
        <f>'WP 5 CAISO Charges'!D19</f>
        <v>-1028.8900000000003</v>
      </c>
      <c r="E20" s="252">
        <f>'WP 5 CAISO Charges'!E19</f>
        <v>-46489.33</v>
      </c>
      <c r="F20" s="330">
        <f>'WP 5 CAISO Charges'!F19</f>
        <v>-16346.94</v>
      </c>
      <c r="G20" s="273">
        <f>'WP 5 CAISO Charges'!G19</f>
        <v>-7661.5199999999995</v>
      </c>
      <c r="H20" s="252">
        <f>'WP 5 CAISO Charges'!H19</f>
        <v>-13257.05</v>
      </c>
      <c r="I20" s="331">
        <f>'WP 5 CAISO Charges'!I19</f>
        <v>-21290.921760000001</v>
      </c>
      <c r="J20" s="276">
        <f>'WP 5 CAISO Charges'!J19</f>
        <v>-30996.869119999999</v>
      </c>
      <c r="K20" s="273">
        <f>'WP 5 CAISO Charges'!K19</f>
        <v>-81084.709999999992</v>
      </c>
      <c r="L20" s="331">
        <f>'WP 5 CAISO Charges'!L19</f>
        <v>182882.75999999998</v>
      </c>
      <c r="M20" s="38">
        <f>'WP 5 CAISO Charges'!M19</f>
        <v>228379.27</v>
      </c>
      <c r="N20" s="330">
        <f>'WP 5 CAISO Charges'!N19</f>
        <v>-881406.70570000005</v>
      </c>
      <c r="O20" s="331">
        <f>SUM(C20:N20)</f>
        <v>-673737.34658000013</v>
      </c>
      <c r="P20" s="878" t="s">
        <v>317</v>
      </c>
      <c r="Q20" s="349">
        <f t="shared" ref="Q20:Q22" si="9">Q19+1</f>
        <v>14</v>
      </c>
    </row>
    <row r="21" spans="1:17" ht="15.75" x14ac:dyDescent="0.25">
      <c r="A21" s="120">
        <f t="shared" si="8"/>
        <v>15</v>
      </c>
      <c r="B21" s="149" t="s">
        <v>318</v>
      </c>
      <c r="C21" s="265">
        <f t="shared" ref="C21:O21" si="10">SUM(C17:C20)</f>
        <v>-1707715.6400000001</v>
      </c>
      <c r="D21" s="19">
        <f t="shared" si="10"/>
        <v>-3486914.71</v>
      </c>
      <c r="E21" s="239">
        <f t="shared" si="10"/>
        <v>-1550390.2100000002</v>
      </c>
      <c r="F21" s="704">
        <f t="shared" si="10"/>
        <v>-1141631.3</v>
      </c>
      <c r="G21" s="265">
        <f t="shared" si="10"/>
        <v>-3260412.39</v>
      </c>
      <c r="H21" s="19">
        <f t="shared" si="10"/>
        <v>-1676710.09</v>
      </c>
      <c r="I21" s="239">
        <f t="shared" si="10"/>
        <v>-2600474.7499999995</v>
      </c>
      <c r="J21" s="277">
        <f t="shared" si="10"/>
        <v>-2475562.35</v>
      </c>
      <c r="K21" s="265">
        <f t="shared" si="10"/>
        <v>-3183943.4699999997</v>
      </c>
      <c r="L21" s="239">
        <f t="shared" si="10"/>
        <v>-3974978.9699999997</v>
      </c>
      <c r="M21" s="19">
        <f t="shared" si="10"/>
        <v>-5769035.6500000004</v>
      </c>
      <c r="N21" s="277">
        <f t="shared" si="10"/>
        <v>-5120758.2</v>
      </c>
      <c r="O21" s="28">
        <f t="shared" si="10"/>
        <v>-35948527.730000004</v>
      </c>
      <c r="P21" s="878" t="s">
        <v>319</v>
      </c>
      <c r="Q21" s="349">
        <f t="shared" si="9"/>
        <v>15</v>
      </c>
    </row>
    <row r="22" spans="1:17" ht="15.75" x14ac:dyDescent="0.25">
      <c r="A22" s="120">
        <f t="shared" si="2"/>
        <v>16</v>
      </c>
      <c r="B22" s="149"/>
      <c r="C22" s="268"/>
      <c r="D22" s="31"/>
      <c r="E22" s="238"/>
      <c r="F22" s="118"/>
      <c r="G22" s="268"/>
      <c r="H22" s="31"/>
      <c r="I22" s="238"/>
      <c r="J22" s="269"/>
      <c r="K22" s="289"/>
      <c r="L22" s="238"/>
      <c r="M22" s="31"/>
      <c r="N22" s="269"/>
      <c r="O22" s="54"/>
      <c r="P22" s="878"/>
      <c r="Q22" s="349">
        <f t="shared" si="9"/>
        <v>16</v>
      </c>
    </row>
    <row r="23" spans="1:17" ht="15.75" x14ac:dyDescent="0.25">
      <c r="A23" s="120">
        <f t="shared" si="2"/>
        <v>17</v>
      </c>
      <c r="B23" s="149" t="s">
        <v>320</v>
      </c>
      <c r="C23" s="289">
        <v>0</v>
      </c>
      <c r="D23" s="31">
        <v>0</v>
      </c>
      <c r="E23" s="238">
        <v>0</v>
      </c>
      <c r="F23" s="118">
        <v>0</v>
      </c>
      <c r="G23" s="379">
        <v>0</v>
      </c>
      <c r="H23" s="163">
        <v>0</v>
      </c>
      <c r="I23" s="238">
        <v>0</v>
      </c>
      <c r="J23" s="269">
        <v>0</v>
      </c>
      <c r="K23" s="289">
        <v>0</v>
      </c>
      <c r="L23" s="238">
        <v>0</v>
      </c>
      <c r="M23" s="31">
        <v>0</v>
      </c>
      <c r="N23" s="276">
        <v>0</v>
      </c>
      <c r="O23" s="54">
        <f>SUM(C23:N23)</f>
        <v>0</v>
      </c>
      <c r="P23" s="878" t="str">
        <f>B23</f>
        <v>Other CAISO Adjustment</v>
      </c>
      <c r="Q23" s="349">
        <f t="shared" si="3"/>
        <v>17</v>
      </c>
    </row>
    <row r="24" spans="1:17" ht="15.75" x14ac:dyDescent="0.25">
      <c r="A24" s="120">
        <f t="shared" si="2"/>
        <v>18</v>
      </c>
      <c r="B24" s="125" t="s">
        <v>321</v>
      </c>
      <c r="C24" s="274">
        <f t="shared" ref="C24:O24" si="11">SUM(C23:C23)</f>
        <v>0</v>
      </c>
      <c r="D24" s="97">
        <f>SUM(D23:D23)</f>
        <v>0</v>
      </c>
      <c r="E24" s="253">
        <f t="shared" si="11"/>
        <v>0</v>
      </c>
      <c r="F24" s="707">
        <f t="shared" si="11"/>
        <v>0</v>
      </c>
      <c r="G24" s="274">
        <f t="shared" si="11"/>
        <v>0</v>
      </c>
      <c r="H24" s="97">
        <f t="shared" si="11"/>
        <v>0</v>
      </c>
      <c r="I24" s="253">
        <f t="shared" si="11"/>
        <v>0</v>
      </c>
      <c r="J24" s="275">
        <f t="shared" si="11"/>
        <v>0</v>
      </c>
      <c r="K24" s="274">
        <f t="shared" si="11"/>
        <v>0</v>
      </c>
      <c r="L24" s="253">
        <f t="shared" si="11"/>
        <v>0</v>
      </c>
      <c r="M24" s="97">
        <f t="shared" si="11"/>
        <v>0</v>
      </c>
      <c r="N24" s="275">
        <f t="shared" si="11"/>
        <v>0</v>
      </c>
      <c r="O24" s="868">
        <f t="shared" si="11"/>
        <v>0</v>
      </c>
      <c r="P24" s="878" t="s">
        <v>322</v>
      </c>
      <c r="Q24" s="349">
        <f t="shared" si="3"/>
        <v>18</v>
      </c>
    </row>
    <row r="25" spans="1:17" ht="15.75" x14ac:dyDescent="0.25">
      <c r="A25" s="120">
        <f t="shared" si="2"/>
        <v>19</v>
      </c>
      <c r="B25" s="149" t="s">
        <v>323</v>
      </c>
      <c r="C25" s="274">
        <f>C21+C24</f>
        <v>-1707715.6400000001</v>
      </c>
      <c r="D25" s="97">
        <f>D21+D24</f>
        <v>-3486914.71</v>
      </c>
      <c r="E25" s="253">
        <f t="shared" ref="E25:N25" si="12">E21+E24</f>
        <v>-1550390.2100000002</v>
      </c>
      <c r="F25" s="707">
        <f t="shared" si="12"/>
        <v>-1141631.3</v>
      </c>
      <c r="G25" s="274">
        <f t="shared" si="12"/>
        <v>-3260412.39</v>
      </c>
      <c r="H25" s="97">
        <f t="shared" si="12"/>
        <v>-1676710.09</v>
      </c>
      <c r="I25" s="253">
        <f t="shared" si="12"/>
        <v>-2600474.7499999995</v>
      </c>
      <c r="J25" s="275">
        <f t="shared" si="12"/>
        <v>-2475562.35</v>
      </c>
      <c r="K25" s="274">
        <f t="shared" si="12"/>
        <v>-3183943.4699999997</v>
      </c>
      <c r="L25" s="253">
        <f t="shared" si="12"/>
        <v>-3974978.9699999997</v>
      </c>
      <c r="M25" s="97">
        <f t="shared" si="12"/>
        <v>-5769035.6500000004</v>
      </c>
      <c r="N25" s="275">
        <f t="shared" si="12"/>
        <v>-5120758.2</v>
      </c>
      <c r="O25" s="868">
        <f>O24+O21</f>
        <v>-35948527.730000004</v>
      </c>
      <c r="P25" s="878" t="s">
        <v>324</v>
      </c>
      <c r="Q25" s="349">
        <f t="shared" si="3"/>
        <v>19</v>
      </c>
    </row>
    <row r="26" spans="1:17" ht="15.75" x14ac:dyDescent="0.25">
      <c r="A26" s="120">
        <f t="shared" si="2"/>
        <v>20</v>
      </c>
      <c r="B26" s="149"/>
      <c r="C26" s="265"/>
      <c r="D26" s="19"/>
      <c r="E26" s="239"/>
      <c r="F26" s="704"/>
      <c r="G26" s="265"/>
      <c r="H26" s="19"/>
      <c r="I26" s="239"/>
      <c r="J26" s="277"/>
      <c r="K26" s="280"/>
      <c r="L26" s="239"/>
      <c r="M26" s="19"/>
      <c r="N26" s="277"/>
      <c r="O26" s="28"/>
      <c r="P26" s="878"/>
      <c r="Q26" s="349">
        <f t="shared" si="3"/>
        <v>20</v>
      </c>
    </row>
    <row r="27" spans="1:17" ht="15.75" x14ac:dyDescent="0.25">
      <c r="A27" s="120">
        <f t="shared" si="2"/>
        <v>21</v>
      </c>
      <c r="B27" s="149" t="s">
        <v>325</v>
      </c>
      <c r="C27" s="278">
        <f t="shared" ref="C27:O27" si="13">-C14+C25</f>
        <v>1995971.9724525074</v>
      </c>
      <c r="D27" s="14">
        <f t="shared" si="13"/>
        <v>-238058.8381811846</v>
      </c>
      <c r="E27" s="254">
        <f t="shared" si="13"/>
        <v>1541205.6274909207</v>
      </c>
      <c r="F27" s="708">
        <f t="shared" si="13"/>
        <v>2900810.9632398067</v>
      </c>
      <c r="G27" s="278">
        <f t="shared" si="13"/>
        <v>479606.45084564807</v>
      </c>
      <c r="H27" s="14">
        <f t="shared" si="13"/>
        <v>1903234.5435443011</v>
      </c>
      <c r="I27" s="254">
        <f t="shared" si="13"/>
        <v>860476.64621839859</v>
      </c>
      <c r="J27" s="290">
        <f t="shared" si="13"/>
        <v>906065.15791745111</v>
      </c>
      <c r="K27" s="692">
        <f t="shared" si="13"/>
        <v>115902.90213254886</v>
      </c>
      <c r="L27" s="254">
        <f t="shared" si="13"/>
        <v>420111.14378402382</v>
      </c>
      <c r="M27" s="14">
        <f t="shared" si="13"/>
        <v>-1099242.24988834</v>
      </c>
      <c r="N27" s="290">
        <f t="shared" si="13"/>
        <v>-422712.51651029382</v>
      </c>
      <c r="O27" s="869">
        <f t="shared" si="13"/>
        <v>9363371.8030457795</v>
      </c>
      <c r="P27" s="878" t="s">
        <v>476</v>
      </c>
      <c r="Q27" s="349">
        <f t="shared" si="3"/>
        <v>21</v>
      </c>
    </row>
    <row r="28" spans="1:17" ht="15.75" x14ac:dyDescent="0.25">
      <c r="A28" s="120">
        <f t="shared" si="2"/>
        <v>22</v>
      </c>
      <c r="B28" s="125"/>
      <c r="C28" s="279"/>
      <c r="D28" s="95"/>
      <c r="E28" s="255"/>
      <c r="F28" s="709"/>
      <c r="G28" s="279"/>
      <c r="H28" s="95"/>
      <c r="I28" s="255"/>
      <c r="J28" s="291"/>
      <c r="K28" s="279"/>
      <c r="L28" s="255"/>
      <c r="M28" s="95"/>
      <c r="N28" s="291"/>
      <c r="O28" s="870"/>
      <c r="P28" s="880"/>
      <c r="Q28" s="349">
        <f t="shared" si="3"/>
        <v>22</v>
      </c>
    </row>
    <row r="29" spans="1:17" ht="15.75" x14ac:dyDescent="0.25">
      <c r="A29" s="120">
        <f t="shared" si="2"/>
        <v>23</v>
      </c>
      <c r="B29" s="125" t="s">
        <v>326</v>
      </c>
      <c r="C29" s="279"/>
      <c r="D29" s="95"/>
      <c r="E29" s="255"/>
      <c r="F29" s="709"/>
      <c r="G29" s="279"/>
      <c r="H29" s="95"/>
      <c r="I29" s="255"/>
      <c r="J29" s="291"/>
      <c r="K29" s="279"/>
      <c r="L29" s="255"/>
      <c r="M29" s="95"/>
      <c r="N29" s="291"/>
      <c r="O29" s="870"/>
      <c r="P29" s="880"/>
      <c r="Q29" s="349">
        <f t="shared" si="3"/>
        <v>23</v>
      </c>
    </row>
    <row r="30" spans="1:17" ht="15.75" x14ac:dyDescent="0.25">
      <c r="A30" s="120">
        <f t="shared" si="2"/>
        <v>24</v>
      </c>
      <c r="B30" s="125" t="s">
        <v>327</v>
      </c>
      <c r="C30" s="280">
        <f>C7</f>
        <v>-13199640.970000006</v>
      </c>
      <c r="D30" s="141">
        <f>D7</f>
        <v>-11290300.747932294</v>
      </c>
      <c r="E30" s="256">
        <f>E7</f>
        <v>-11607083.964265937</v>
      </c>
      <c r="F30" s="328">
        <f>F7</f>
        <v>-10142817.352943711</v>
      </c>
      <c r="G30" s="280">
        <f t="shared" ref="G30:N30" si="14">G7</f>
        <v>-7304591.7551774355</v>
      </c>
      <c r="H30" s="141">
        <f t="shared" si="14"/>
        <v>-6873025.8663341179</v>
      </c>
      <c r="I30" s="256">
        <f t="shared" si="14"/>
        <v>-5012425.4646706637</v>
      </c>
      <c r="J30" s="266">
        <f t="shared" si="14"/>
        <v>-4184024.1284431955</v>
      </c>
      <c r="K30" s="280">
        <f t="shared" si="14"/>
        <v>-3304822.1096820324</v>
      </c>
      <c r="L30" s="256">
        <f t="shared" si="14"/>
        <v>-3211647.3021597937</v>
      </c>
      <c r="M30" s="141">
        <f t="shared" si="14"/>
        <v>-2813147.6188336979</v>
      </c>
      <c r="N30" s="266">
        <f t="shared" si="14"/>
        <v>-3936601.8036772385</v>
      </c>
      <c r="O30" s="870"/>
      <c r="P30" s="880" t="s">
        <v>475</v>
      </c>
      <c r="Q30" s="349">
        <f t="shared" si="3"/>
        <v>24</v>
      </c>
    </row>
    <row r="31" spans="1:17" ht="15.75" x14ac:dyDescent="0.25">
      <c r="A31" s="120">
        <f t="shared" si="2"/>
        <v>25</v>
      </c>
      <c r="B31" s="125" t="s">
        <v>328</v>
      </c>
      <c r="C31" s="281">
        <f>C27/2</f>
        <v>997985.98622625368</v>
      </c>
      <c r="D31" s="96">
        <f>D27/2</f>
        <v>-119029.4190905923</v>
      </c>
      <c r="E31" s="257">
        <f>E27/2</f>
        <v>770602.81374546036</v>
      </c>
      <c r="F31" s="710">
        <f t="shared" ref="F31:N31" si="15">F27/2</f>
        <v>1450405.4816199034</v>
      </c>
      <c r="G31" s="281">
        <f t="shared" si="15"/>
        <v>239803.22542282403</v>
      </c>
      <c r="H31" s="96">
        <f t="shared" si="15"/>
        <v>951617.27177215053</v>
      </c>
      <c r="I31" s="257">
        <f t="shared" si="15"/>
        <v>430238.32310919929</v>
      </c>
      <c r="J31" s="282">
        <f t="shared" si="15"/>
        <v>453032.57895872556</v>
      </c>
      <c r="K31" s="281">
        <f t="shared" si="15"/>
        <v>57951.451066274429</v>
      </c>
      <c r="L31" s="257">
        <f t="shared" si="15"/>
        <v>210055.57189201191</v>
      </c>
      <c r="M31" s="96">
        <f t="shared" si="15"/>
        <v>-549621.12494417001</v>
      </c>
      <c r="N31" s="282">
        <f t="shared" si="15"/>
        <v>-211356.25825514691</v>
      </c>
      <c r="O31" s="870"/>
      <c r="P31" s="880" t="s">
        <v>329</v>
      </c>
      <c r="Q31" s="349">
        <f t="shared" si="3"/>
        <v>25</v>
      </c>
    </row>
    <row r="32" spans="1:17" ht="15.75" x14ac:dyDescent="0.25">
      <c r="A32" s="120">
        <f t="shared" si="2"/>
        <v>26</v>
      </c>
      <c r="B32" s="125" t="s">
        <v>330</v>
      </c>
      <c r="C32" s="279">
        <f t="shared" ref="C32:L32" si="16">C30+C31</f>
        <v>-12201654.983773753</v>
      </c>
      <c r="D32" s="95">
        <f t="shared" si="16"/>
        <v>-11409330.167022888</v>
      </c>
      <c r="E32" s="255">
        <f t="shared" si="16"/>
        <v>-10836481.150520477</v>
      </c>
      <c r="F32" s="709">
        <f t="shared" si="16"/>
        <v>-8692411.8713238072</v>
      </c>
      <c r="G32" s="279">
        <f t="shared" si="16"/>
        <v>-7064788.5297546117</v>
      </c>
      <c r="H32" s="95">
        <f t="shared" si="16"/>
        <v>-5921408.5945619671</v>
      </c>
      <c r="I32" s="255">
        <f>I30+I31</f>
        <v>-4582187.1415614644</v>
      </c>
      <c r="J32" s="291">
        <f t="shared" si="16"/>
        <v>-3730991.5494844699</v>
      </c>
      <c r="K32" s="279">
        <f t="shared" si="16"/>
        <v>-3246870.6586157577</v>
      </c>
      <c r="L32" s="255">
        <f t="shared" si="16"/>
        <v>-3001591.7302677818</v>
      </c>
      <c r="M32" s="95">
        <f>M30+M31</f>
        <v>-3362768.7437778679</v>
      </c>
      <c r="N32" s="291">
        <f>N30+N31</f>
        <v>-4147958.0619323854</v>
      </c>
      <c r="O32" s="870"/>
      <c r="P32" s="880" t="s">
        <v>331</v>
      </c>
      <c r="Q32" s="349">
        <f t="shared" si="3"/>
        <v>26</v>
      </c>
    </row>
    <row r="33" spans="1:17" ht="15.75" x14ac:dyDescent="0.25">
      <c r="A33" s="120">
        <f t="shared" si="2"/>
        <v>27</v>
      </c>
      <c r="B33" s="125" t="s">
        <v>332</v>
      </c>
      <c r="C33" s="283">
        <f>C62</f>
        <v>7.1000000000000004E-3</v>
      </c>
      <c r="D33" s="152">
        <f t="shared" ref="D33:N33" si="17">D62</f>
        <v>6.8999999999999999E-3</v>
      </c>
      <c r="E33" s="258">
        <f t="shared" si="17"/>
        <v>7.1000000000000004E-3</v>
      </c>
      <c r="F33" s="711">
        <f t="shared" si="17"/>
        <v>7.1999999999999998E-3</v>
      </c>
      <c r="G33" s="283">
        <f t="shared" si="17"/>
        <v>6.7999999999999996E-3</v>
      </c>
      <c r="H33" s="152">
        <f t="shared" si="17"/>
        <v>7.1999999999999998E-3</v>
      </c>
      <c r="I33" s="258">
        <f t="shared" si="17"/>
        <v>7.0000000000000001E-3</v>
      </c>
      <c r="J33" s="284">
        <f t="shared" si="17"/>
        <v>7.1999999999999998E-3</v>
      </c>
      <c r="K33" s="283">
        <f t="shared" si="17"/>
        <v>7.0000000000000001E-3</v>
      </c>
      <c r="L33" s="258">
        <f t="shared" si="17"/>
        <v>7.1999999999999998E-3</v>
      </c>
      <c r="M33" s="152">
        <f t="shared" si="17"/>
        <v>7.1999999999999998E-3</v>
      </c>
      <c r="N33" s="284">
        <f t="shared" si="17"/>
        <v>7.0000000000000001E-3</v>
      </c>
      <c r="O33" s="871"/>
      <c r="P33" s="880" t="s">
        <v>333</v>
      </c>
      <c r="Q33" s="349">
        <f t="shared" si="3"/>
        <v>27</v>
      </c>
    </row>
    <row r="34" spans="1:17" ht="15.75" x14ac:dyDescent="0.25">
      <c r="A34" s="120">
        <f t="shared" si="2"/>
        <v>28</v>
      </c>
      <c r="B34" s="125" t="s">
        <v>334</v>
      </c>
      <c r="C34" s="274">
        <f>C32*C33</f>
        <v>-86631.750384793646</v>
      </c>
      <c r="D34" s="97">
        <f t="shared" ref="D34:M34" si="18">D32*D33</f>
        <v>-78724.378152457924</v>
      </c>
      <c r="E34" s="253">
        <f t="shared" si="18"/>
        <v>-76939.016168695394</v>
      </c>
      <c r="F34" s="712">
        <f t="shared" si="18"/>
        <v>-62585.365473531412</v>
      </c>
      <c r="G34" s="274">
        <f t="shared" si="18"/>
        <v>-48040.562002331353</v>
      </c>
      <c r="H34" s="97">
        <f t="shared" si="18"/>
        <v>-42634.14188084616</v>
      </c>
      <c r="I34" s="522">
        <f t="shared" si="18"/>
        <v>-32075.309990930251</v>
      </c>
      <c r="J34" s="523">
        <f t="shared" si="18"/>
        <v>-26863.139156288184</v>
      </c>
      <c r="K34" s="693">
        <f t="shared" si="18"/>
        <v>-22728.094610310305</v>
      </c>
      <c r="L34" s="522">
        <f t="shared" si="18"/>
        <v>-21611.460457928028</v>
      </c>
      <c r="M34" s="97">
        <f t="shared" si="18"/>
        <v>-24211.93495520065</v>
      </c>
      <c r="N34" s="275">
        <f>N32*N33</f>
        <v>-29035.706433526699</v>
      </c>
      <c r="O34" s="868">
        <f>SUM(C34:N34)</f>
        <v>-552080.85966684006</v>
      </c>
      <c r="P34" s="880" t="s">
        <v>335</v>
      </c>
      <c r="Q34" s="349">
        <f t="shared" si="3"/>
        <v>28</v>
      </c>
    </row>
    <row r="35" spans="1:17" ht="18.75" x14ac:dyDescent="0.25">
      <c r="A35" s="120">
        <f t="shared" si="2"/>
        <v>29</v>
      </c>
      <c r="B35" s="125"/>
      <c r="C35" s="265"/>
      <c r="D35" s="19"/>
      <c r="E35" s="239"/>
      <c r="F35" s="328"/>
      <c r="G35" s="265"/>
      <c r="H35" s="19"/>
      <c r="I35" s="256"/>
      <c r="J35" s="266"/>
      <c r="K35" s="280"/>
      <c r="L35" s="256"/>
      <c r="M35" s="19"/>
      <c r="N35" s="950"/>
      <c r="O35" s="28"/>
      <c r="P35" s="880"/>
      <c r="Q35" s="349">
        <f t="shared" si="3"/>
        <v>29</v>
      </c>
    </row>
    <row r="36" spans="1:17" ht="15.75" x14ac:dyDescent="0.25">
      <c r="A36" s="120">
        <f t="shared" si="2"/>
        <v>30</v>
      </c>
      <c r="B36" s="149" t="s">
        <v>336</v>
      </c>
      <c r="C36" s="278"/>
      <c r="D36" s="14"/>
      <c r="E36" s="252">
        <v>0</v>
      </c>
      <c r="F36" s="708">
        <v>0</v>
      </c>
      <c r="G36" s="278">
        <v>0</v>
      </c>
      <c r="H36" s="191">
        <v>0</v>
      </c>
      <c r="I36" s="259"/>
      <c r="J36" s="325">
        <v>0</v>
      </c>
      <c r="K36" s="694">
        <v>0</v>
      </c>
      <c r="L36" s="259"/>
      <c r="M36" s="103"/>
      <c r="N36" s="325"/>
      <c r="O36" s="331">
        <f>SUM(C36:N36)</f>
        <v>0</v>
      </c>
      <c r="P36" s="878"/>
      <c r="Q36" s="349">
        <f t="shared" si="3"/>
        <v>30</v>
      </c>
    </row>
    <row r="37" spans="1:17" ht="15.75" x14ac:dyDescent="0.25">
      <c r="A37" s="120">
        <f t="shared" si="2"/>
        <v>31</v>
      </c>
      <c r="B37" s="125"/>
      <c r="C37" s="265"/>
      <c r="D37" s="19"/>
      <c r="E37" s="239"/>
      <c r="F37" s="704"/>
      <c r="G37" s="265"/>
      <c r="H37" s="19"/>
      <c r="I37" s="239"/>
      <c r="J37" s="277"/>
      <c r="K37" s="280"/>
      <c r="L37" s="239"/>
      <c r="M37" s="19"/>
      <c r="N37" s="277"/>
      <c r="O37" s="28"/>
      <c r="P37" s="880"/>
      <c r="Q37" s="349">
        <f t="shared" si="3"/>
        <v>31</v>
      </c>
    </row>
    <row r="38" spans="1:17" ht="16.5" thickBot="1" x14ac:dyDescent="0.3">
      <c r="A38" s="120">
        <f t="shared" si="2"/>
        <v>32</v>
      </c>
      <c r="B38" s="353" t="s">
        <v>337</v>
      </c>
      <c r="C38" s="514">
        <f>C7+C27+C34+C36</f>
        <v>-11290300.747932294</v>
      </c>
      <c r="D38" s="73">
        <f>D7+D27+D34+D36</f>
        <v>-11607083.964265937</v>
      </c>
      <c r="E38" s="717">
        <f>E7+E27+E34+E36</f>
        <v>-10142817.352943711</v>
      </c>
      <c r="F38" s="713">
        <f t="shared" ref="F38:I38" si="19">F7+F27+F34+F36</f>
        <v>-7304591.7551774355</v>
      </c>
      <c r="G38" s="514">
        <f>G7+G27+G34+G36</f>
        <v>-6873025.8663341179</v>
      </c>
      <c r="H38" s="192">
        <f t="shared" si="19"/>
        <v>-5012425.4646706637</v>
      </c>
      <c r="I38" s="527">
        <f t="shared" si="19"/>
        <v>-4184024.1284431955</v>
      </c>
      <c r="J38" s="531">
        <f t="shared" ref="J38:M38" si="20">J7+J27+J34+J36</f>
        <v>-3304822.1096820324</v>
      </c>
      <c r="K38" s="514">
        <f t="shared" si="20"/>
        <v>-3211647.3021597937</v>
      </c>
      <c r="L38" s="527">
        <f t="shared" si="20"/>
        <v>-2813147.6188336979</v>
      </c>
      <c r="M38" s="73">
        <f t="shared" si="20"/>
        <v>-3936601.8036772385</v>
      </c>
      <c r="N38" s="538">
        <f>N7+N27+N34+N36</f>
        <v>-4388350.0266210586</v>
      </c>
      <c r="O38" s="485">
        <f>O7+O27+O34+O36</f>
        <v>-4388350.026621067</v>
      </c>
      <c r="P38" s="878" t="s">
        <v>338</v>
      </c>
      <c r="Q38" s="349">
        <f>Q37+1</f>
        <v>32</v>
      </c>
    </row>
    <row r="39" spans="1:17" ht="18.75" thickTop="1" thickBot="1" x14ac:dyDescent="0.35">
      <c r="A39" s="120">
        <f>A38+1</f>
        <v>33</v>
      </c>
      <c r="B39" s="354"/>
      <c r="C39" s="292"/>
      <c r="D39" s="100"/>
      <c r="E39" s="260"/>
      <c r="F39" s="714"/>
      <c r="G39" s="292"/>
      <c r="H39" s="100"/>
      <c r="I39" s="260"/>
      <c r="J39" s="293"/>
      <c r="K39" s="695"/>
      <c r="L39" s="100"/>
      <c r="M39" s="100"/>
      <c r="N39" s="293"/>
      <c r="O39" s="864"/>
      <c r="P39" s="126"/>
      <c r="Q39" s="463">
        <f>Q38+1</f>
        <v>33</v>
      </c>
    </row>
    <row r="40" spans="1:17" ht="17.25" x14ac:dyDescent="0.3">
      <c r="A40" s="150">
        <f t="shared" si="2"/>
        <v>34</v>
      </c>
      <c r="B40" s="490"/>
      <c r="C40" s="294"/>
      <c r="D40" s="243"/>
      <c r="E40" s="342"/>
      <c r="F40" s="697"/>
      <c r="G40" s="346"/>
      <c r="H40" s="342"/>
      <c r="I40" s="340"/>
      <c r="J40" s="347"/>
      <c r="K40" s="696"/>
      <c r="L40" s="244"/>
      <c r="M40" s="245"/>
      <c r="N40" s="697"/>
      <c r="O40" s="872"/>
      <c r="P40" s="246"/>
      <c r="Q40" s="459">
        <f>Q39+1</f>
        <v>34</v>
      </c>
    </row>
    <row r="41" spans="1:17" ht="15.75" x14ac:dyDescent="0.25">
      <c r="A41" s="120">
        <f t="shared" si="2"/>
        <v>35</v>
      </c>
      <c r="B41" s="218" t="s">
        <v>339</v>
      </c>
      <c r="C41" s="285"/>
      <c r="D41" s="114"/>
      <c r="E41" s="91"/>
      <c r="F41" s="715"/>
      <c r="G41" s="332"/>
      <c r="H41" s="91"/>
      <c r="I41" s="22"/>
      <c r="J41" s="348"/>
      <c r="K41" s="219"/>
      <c r="L41" s="94"/>
      <c r="M41" s="91"/>
      <c r="N41" s="123"/>
      <c r="O41" s="22"/>
      <c r="P41" s="125"/>
      <c r="Q41" s="349">
        <f t="shared" ref="Q41:Q44" si="21">Q40+1</f>
        <v>35</v>
      </c>
    </row>
    <row r="42" spans="1:17" ht="15.75" x14ac:dyDescent="0.25">
      <c r="A42" s="120">
        <f t="shared" si="2"/>
        <v>36</v>
      </c>
      <c r="B42" s="125" t="s">
        <v>340</v>
      </c>
      <c r="C42" s="801">
        <f>I48</f>
        <v>1.0274999999999999E-2</v>
      </c>
      <c r="D42" s="421">
        <f>$C$42</f>
        <v>1.0274999999999999E-2</v>
      </c>
      <c r="E42" s="422">
        <f t="shared" ref="E42" si="22">$C$42</f>
        <v>1.0274999999999999E-2</v>
      </c>
      <c r="F42" s="699">
        <f>F48</f>
        <v>1.0274999999999999E-2</v>
      </c>
      <c r="G42" s="295">
        <f>$F$42</f>
        <v>1.0274999999999999E-2</v>
      </c>
      <c r="H42" s="341">
        <f t="shared" ref="H42:N42" si="23">$F$42</f>
        <v>1.0274999999999999E-2</v>
      </c>
      <c r="I42" s="345">
        <f t="shared" si="23"/>
        <v>1.0274999999999999E-2</v>
      </c>
      <c r="J42" s="296">
        <f t="shared" si="23"/>
        <v>1.0274999999999999E-2</v>
      </c>
      <c r="K42" s="698">
        <f t="shared" si="23"/>
        <v>1.0274999999999999E-2</v>
      </c>
      <c r="L42" s="115">
        <f t="shared" si="23"/>
        <v>1.0274999999999999E-2</v>
      </c>
      <c r="M42" s="341">
        <f t="shared" si="23"/>
        <v>1.0274999999999999E-2</v>
      </c>
      <c r="N42" s="699">
        <f t="shared" si="23"/>
        <v>1.0274999999999999E-2</v>
      </c>
      <c r="O42" s="22"/>
      <c r="P42" s="120" t="s">
        <v>340</v>
      </c>
      <c r="Q42" s="349">
        <f t="shared" si="21"/>
        <v>36</v>
      </c>
    </row>
    <row r="43" spans="1:17" ht="15.75" x14ac:dyDescent="0.25">
      <c r="A43" s="120">
        <f t="shared" si="2"/>
        <v>37</v>
      </c>
      <c r="B43" s="125" t="s">
        <v>341</v>
      </c>
      <c r="C43" s="802">
        <f>I49</f>
        <v>1.73E-3</v>
      </c>
      <c r="D43" s="423">
        <f>$C$43</f>
        <v>1.73E-3</v>
      </c>
      <c r="E43" s="424">
        <f t="shared" ref="E43" si="24">$C$43</f>
        <v>1.73E-3</v>
      </c>
      <c r="F43" s="701">
        <f>F49</f>
        <v>1.73E-3</v>
      </c>
      <c r="G43" s="426">
        <f>F43</f>
        <v>1.73E-3</v>
      </c>
      <c r="H43" s="427">
        <f t="shared" ref="H43" si="25">$G$43</f>
        <v>1.73E-3</v>
      </c>
      <c r="I43" s="425">
        <f t="shared" ref="I43:N43" si="26">$F$43</f>
        <v>1.73E-3</v>
      </c>
      <c r="J43" s="428">
        <f t="shared" si="26"/>
        <v>1.73E-3</v>
      </c>
      <c r="K43" s="700">
        <f t="shared" si="26"/>
        <v>1.73E-3</v>
      </c>
      <c r="L43" s="429">
        <f t="shared" si="26"/>
        <v>1.73E-3</v>
      </c>
      <c r="M43" s="427">
        <f t="shared" si="26"/>
        <v>1.73E-3</v>
      </c>
      <c r="N43" s="701">
        <f t="shared" si="26"/>
        <v>1.73E-3</v>
      </c>
      <c r="O43" s="22"/>
      <c r="P43" s="120" t="s">
        <v>341</v>
      </c>
      <c r="Q43" s="349">
        <f t="shared" si="21"/>
        <v>37</v>
      </c>
    </row>
    <row r="44" spans="1:17" ht="16.5" thickBot="1" x14ac:dyDescent="0.3">
      <c r="A44" s="121">
        <f t="shared" si="2"/>
        <v>38</v>
      </c>
      <c r="B44" s="126" t="s">
        <v>342</v>
      </c>
      <c r="C44" s="607">
        <f t="shared" ref="C44:N44" si="27">C42+C43</f>
        <v>1.2005E-2</v>
      </c>
      <c r="D44" s="608">
        <f t="shared" si="27"/>
        <v>1.2005E-2</v>
      </c>
      <c r="E44" s="609">
        <f t="shared" si="27"/>
        <v>1.2005E-2</v>
      </c>
      <c r="F44" s="716">
        <f t="shared" si="27"/>
        <v>1.2005E-2</v>
      </c>
      <c r="G44" s="611">
        <f t="shared" si="27"/>
        <v>1.2005E-2</v>
      </c>
      <c r="H44" s="608">
        <f t="shared" si="27"/>
        <v>1.2005E-2</v>
      </c>
      <c r="I44" s="610">
        <f t="shared" si="27"/>
        <v>1.2005E-2</v>
      </c>
      <c r="J44" s="612">
        <f t="shared" si="27"/>
        <v>1.2005E-2</v>
      </c>
      <c r="K44" s="607">
        <f t="shared" si="27"/>
        <v>1.2005E-2</v>
      </c>
      <c r="L44" s="608">
        <f t="shared" si="27"/>
        <v>1.2005E-2</v>
      </c>
      <c r="M44" s="608">
        <f t="shared" si="27"/>
        <v>1.2005E-2</v>
      </c>
      <c r="N44" s="612">
        <f t="shared" si="27"/>
        <v>1.2005E-2</v>
      </c>
      <c r="O44" s="80"/>
      <c r="P44" s="121" t="s">
        <v>343</v>
      </c>
      <c r="Q44" s="463">
        <f t="shared" si="21"/>
        <v>38</v>
      </c>
    </row>
    <row r="45" spans="1:17" ht="15.75" x14ac:dyDescent="0.25">
      <c r="A45" s="22"/>
      <c r="B45" s="343"/>
      <c r="C45" s="606"/>
      <c r="D45" s="19"/>
      <c r="E45" s="28"/>
      <c r="F45" s="704"/>
      <c r="G45" s="858"/>
      <c r="H45" s="28"/>
      <c r="I45" s="28"/>
      <c r="J45" s="704"/>
      <c r="K45" s="858"/>
      <c r="L45" s="345"/>
      <c r="M45" s="28"/>
      <c r="N45" s="704"/>
      <c r="O45" s="22"/>
      <c r="P45" s="120"/>
      <c r="Q45" s="33"/>
    </row>
    <row r="46" spans="1:17" ht="16.5" thickBot="1" x14ac:dyDescent="0.3">
      <c r="A46" s="80"/>
      <c r="B46" s="731"/>
      <c r="C46" s="606"/>
      <c r="D46" s="19"/>
      <c r="E46" s="28"/>
      <c r="F46" s="704"/>
      <c r="G46" s="858"/>
      <c r="H46" s="28"/>
      <c r="I46" s="28"/>
      <c r="J46" s="704"/>
      <c r="K46" s="858"/>
      <c r="L46" s="28"/>
      <c r="M46" s="28"/>
      <c r="N46" s="704"/>
      <c r="O46" s="22"/>
      <c r="P46" s="120"/>
      <c r="Q46" s="33"/>
    </row>
    <row r="47" spans="1:17" ht="19.5" x14ac:dyDescent="0.25">
      <c r="A47" s="168"/>
      <c r="B47" s="730" t="s">
        <v>501</v>
      </c>
      <c r="C47" s="171"/>
      <c r="D47" s="114"/>
      <c r="E47" s="390" t="s">
        <v>484</v>
      </c>
      <c r="F47" s="123"/>
      <c r="G47" s="219"/>
      <c r="H47" s="390" t="s">
        <v>505</v>
      </c>
      <c r="I47" s="390"/>
      <c r="J47" s="123"/>
      <c r="K47" s="219"/>
      <c r="L47" s="22"/>
      <c r="M47" s="951"/>
      <c r="N47" s="123"/>
      <c r="O47" s="22"/>
      <c r="P47" s="125"/>
      <c r="Q47" s="91"/>
    </row>
    <row r="48" spans="1:17" ht="15.75" x14ac:dyDescent="0.25">
      <c r="A48" s="66"/>
      <c r="B48" s="146" t="s">
        <v>502</v>
      </c>
      <c r="C48" s="803">
        <v>-2.4199999999999998E-3</v>
      </c>
      <c r="D48" s="114"/>
      <c r="E48" s="22" t="s">
        <v>344</v>
      </c>
      <c r="F48" s="699">
        <v>1.0274999999999999E-2</v>
      </c>
      <c r="G48" s="219"/>
      <c r="H48" s="22" t="s">
        <v>344</v>
      </c>
      <c r="I48" s="959">
        <v>1.0274999999999999E-2</v>
      </c>
      <c r="J48" s="123"/>
      <c r="K48" s="219"/>
      <c r="L48" s="22"/>
      <c r="M48" s="22"/>
      <c r="N48" s="123"/>
      <c r="O48" s="22"/>
      <c r="P48" s="125"/>
      <c r="Q48" s="91"/>
    </row>
    <row r="49" spans="1:17" ht="15.75" x14ac:dyDescent="0.25">
      <c r="A49" s="66"/>
      <c r="B49" s="146" t="s">
        <v>503</v>
      </c>
      <c r="C49" s="803">
        <v>-2.8900000000000002E-3</v>
      </c>
      <c r="D49" s="114"/>
      <c r="E49" s="22" t="s">
        <v>345</v>
      </c>
      <c r="F49" s="699">
        <v>1.73E-3</v>
      </c>
      <c r="G49" s="921"/>
      <c r="H49" s="22" t="s">
        <v>345</v>
      </c>
      <c r="I49" s="959">
        <v>1.73E-3</v>
      </c>
      <c r="J49" s="921"/>
      <c r="K49" s="219"/>
      <c r="L49" s="22"/>
      <c r="M49" s="22"/>
      <c r="N49" s="123"/>
      <c r="O49" s="22"/>
      <c r="P49" s="125"/>
      <c r="Q49" s="91"/>
    </row>
    <row r="50" spans="1:17" ht="16.5" thickBot="1" x14ac:dyDescent="0.3">
      <c r="A50" s="66"/>
      <c r="B50" s="146" t="s">
        <v>346</v>
      </c>
      <c r="C50" s="172">
        <f>C48+C49</f>
        <v>-5.3100000000000005E-3</v>
      </c>
      <c r="D50" s="114"/>
      <c r="E50" s="22" t="s">
        <v>347</v>
      </c>
      <c r="F50" s="859">
        <f>SUM(F48:F49)</f>
        <v>1.2005E-2</v>
      </c>
      <c r="G50" s="219"/>
      <c r="H50" s="22" t="s">
        <v>347</v>
      </c>
      <c r="I50" s="885">
        <f>SUM(I48:I49)</f>
        <v>1.2005E-2</v>
      </c>
      <c r="J50" s="123"/>
      <c r="K50" s="219"/>
      <c r="L50" s="22"/>
      <c r="M50" s="22"/>
      <c r="N50" s="123"/>
      <c r="O50" s="22"/>
      <c r="P50" s="125"/>
      <c r="Q50" s="91"/>
    </row>
    <row r="51" spans="1:17" ht="17.25" thickTop="1" thickBot="1" x14ac:dyDescent="0.3">
      <c r="A51" s="66"/>
      <c r="B51" s="146" t="s">
        <v>504</v>
      </c>
      <c r="C51" s="906">
        <f>C50/2</f>
        <v>-2.6550000000000002E-3</v>
      </c>
      <c r="D51" s="114"/>
      <c r="E51" s="22"/>
      <c r="F51" s="123"/>
      <c r="G51" s="219"/>
      <c r="H51" s="22"/>
      <c r="I51" s="22"/>
      <c r="J51" s="123"/>
      <c r="K51" s="219"/>
      <c r="L51" s="22"/>
      <c r="M51" s="22"/>
      <c r="N51" s="123"/>
      <c r="O51" s="22"/>
      <c r="P51" s="125"/>
      <c r="Q51" s="91"/>
    </row>
    <row r="52" spans="1:17" ht="16.5" thickTop="1" x14ac:dyDescent="0.25">
      <c r="A52" s="27"/>
      <c r="B52" s="169"/>
      <c r="C52" s="173"/>
      <c r="D52" s="922"/>
      <c r="E52" s="22"/>
      <c r="F52" s="123"/>
      <c r="G52" s="219"/>
      <c r="H52" s="22"/>
      <c r="I52" s="22"/>
      <c r="J52" s="123"/>
      <c r="K52" s="219"/>
      <c r="L52" s="22"/>
      <c r="M52" s="22"/>
      <c r="N52" s="123"/>
      <c r="O52" s="22"/>
      <c r="P52" s="125"/>
      <c r="Q52" s="91"/>
    </row>
    <row r="53" spans="1:17" ht="20.25" thickBot="1" x14ac:dyDescent="0.3">
      <c r="A53" s="167"/>
      <c r="B53" s="147"/>
      <c r="C53" s="174"/>
      <c r="D53" s="882"/>
      <c r="E53" s="80"/>
      <c r="F53" s="124"/>
      <c r="G53" s="212"/>
      <c r="H53" s="80"/>
      <c r="I53" s="80"/>
      <c r="J53" s="124"/>
      <c r="K53" s="212"/>
      <c r="L53" s="80"/>
      <c r="M53" s="80"/>
      <c r="N53" s="124"/>
      <c r="O53" s="80"/>
      <c r="P53" s="126"/>
      <c r="Q53" s="554"/>
    </row>
    <row r="54" spans="1:17" ht="15.75" x14ac:dyDescent="0.25">
      <c r="A54" s="66"/>
      <c r="B54" s="146"/>
      <c r="C54" s="175"/>
      <c r="D54" s="17"/>
      <c r="E54" s="249"/>
      <c r="F54" s="122"/>
      <c r="G54" s="324"/>
      <c r="H54" s="166"/>
      <c r="I54" s="249"/>
      <c r="J54" s="261"/>
      <c r="K54" s="324"/>
      <c r="L54" s="249"/>
      <c r="M54" s="166"/>
      <c r="N54" s="261"/>
      <c r="O54" s="183"/>
      <c r="P54" s="125"/>
      <c r="Q54" s="122"/>
    </row>
    <row r="55" spans="1:17" ht="15.75" x14ac:dyDescent="0.25">
      <c r="A55" s="32"/>
      <c r="B55" s="170"/>
      <c r="C55" s="135" t="s">
        <v>288</v>
      </c>
      <c r="D55" s="10" t="s">
        <v>289</v>
      </c>
      <c r="E55" s="33" t="s">
        <v>290</v>
      </c>
      <c r="F55" s="349" t="s">
        <v>291</v>
      </c>
      <c r="G55" s="262" t="s">
        <v>292</v>
      </c>
      <c r="H55" s="10" t="s">
        <v>293</v>
      </c>
      <c r="I55" s="33" t="s">
        <v>294</v>
      </c>
      <c r="J55" s="263" t="s">
        <v>57</v>
      </c>
      <c r="K55" s="262" t="s">
        <v>58</v>
      </c>
      <c r="L55" s="33" t="s">
        <v>59</v>
      </c>
      <c r="M55" s="10" t="s">
        <v>295</v>
      </c>
      <c r="N55" s="263" t="s">
        <v>296</v>
      </c>
      <c r="O55" s="37"/>
      <c r="P55" s="120"/>
      <c r="Q55" s="349" t="s">
        <v>8</v>
      </c>
    </row>
    <row r="56" spans="1:17" ht="19.5" x14ac:dyDescent="0.25">
      <c r="A56" s="168"/>
      <c r="B56" s="139" t="s">
        <v>348</v>
      </c>
      <c r="C56" s="136">
        <f>C5</f>
        <v>2023</v>
      </c>
      <c r="D56" s="13">
        <f t="shared" ref="D56:N56" si="28">D5</f>
        <v>2023</v>
      </c>
      <c r="E56" s="64">
        <f t="shared" si="28"/>
        <v>2023</v>
      </c>
      <c r="F56" s="857">
        <f t="shared" si="28"/>
        <v>2024</v>
      </c>
      <c r="G56" s="308">
        <f t="shared" si="28"/>
        <v>2024</v>
      </c>
      <c r="H56" s="13">
        <f t="shared" si="28"/>
        <v>2024</v>
      </c>
      <c r="I56" s="64">
        <f t="shared" si="28"/>
        <v>2024</v>
      </c>
      <c r="J56" s="264">
        <f t="shared" si="28"/>
        <v>2024</v>
      </c>
      <c r="K56" s="308">
        <f t="shared" si="28"/>
        <v>2024</v>
      </c>
      <c r="L56" s="64">
        <f t="shared" si="28"/>
        <v>2024</v>
      </c>
      <c r="M56" s="13">
        <f t="shared" si="28"/>
        <v>2024</v>
      </c>
      <c r="N56" s="264">
        <f t="shared" si="28"/>
        <v>2024</v>
      </c>
      <c r="O56" s="176" t="s">
        <v>18</v>
      </c>
      <c r="P56" s="250" t="s">
        <v>16</v>
      </c>
      <c r="Q56" s="857" t="s">
        <v>11</v>
      </c>
    </row>
    <row r="57" spans="1:17" ht="15.75" x14ac:dyDescent="0.25">
      <c r="A57" s="66"/>
      <c r="B57" s="146"/>
      <c r="C57" s="137"/>
      <c r="D57" s="7"/>
      <c r="E57" s="60"/>
      <c r="F57" s="860"/>
      <c r="G57" s="351"/>
      <c r="H57" s="7"/>
      <c r="I57" s="60"/>
      <c r="J57" s="352"/>
      <c r="K57" s="351"/>
      <c r="L57" s="60"/>
      <c r="M57" s="7"/>
      <c r="N57" s="352"/>
      <c r="O57" s="87"/>
      <c r="P57" s="326"/>
      <c r="Q57" s="860"/>
    </row>
    <row r="58" spans="1:17" ht="15.75" x14ac:dyDescent="0.25">
      <c r="A58" s="66"/>
      <c r="B58" s="146" t="s">
        <v>349</v>
      </c>
      <c r="C58" s="532">
        <v>8.3500000000000005E-2</v>
      </c>
      <c r="D58" s="25">
        <f>C58</f>
        <v>8.3500000000000005E-2</v>
      </c>
      <c r="E58" s="521">
        <f>C58</f>
        <v>8.3500000000000005E-2</v>
      </c>
      <c r="F58" s="861">
        <v>8.5000000000000006E-2</v>
      </c>
      <c r="G58" s="435">
        <f>F58</f>
        <v>8.5000000000000006E-2</v>
      </c>
      <c r="H58" s="25">
        <f>F58</f>
        <v>8.5000000000000006E-2</v>
      </c>
      <c r="I58" s="521">
        <v>8.5000000000000006E-2</v>
      </c>
      <c r="J58" s="432">
        <f>I58</f>
        <v>8.5000000000000006E-2</v>
      </c>
      <c r="K58" s="433">
        <f>I58</f>
        <v>8.5000000000000006E-2</v>
      </c>
      <c r="L58" s="804">
        <v>8.5000000000000006E-2</v>
      </c>
      <c r="M58" s="436">
        <f>L58</f>
        <v>8.5000000000000006E-2</v>
      </c>
      <c r="N58" s="437">
        <f>L58</f>
        <v>8.5000000000000006E-2</v>
      </c>
      <c r="O58" s="22"/>
      <c r="P58" s="125"/>
      <c r="Q58" s="123"/>
    </row>
    <row r="59" spans="1:17" ht="15.75" x14ac:dyDescent="0.25">
      <c r="A59" s="66"/>
      <c r="B59" s="146" t="s">
        <v>350</v>
      </c>
      <c r="C59" s="805">
        <v>365</v>
      </c>
      <c r="D59" s="17">
        <f>C59</f>
        <v>365</v>
      </c>
      <c r="E59" s="91">
        <f>C59</f>
        <v>365</v>
      </c>
      <c r="F59" s="123">
        <v>366</v>
      </c>
      <c r="G59" s="332">
        <f>F59</f>
        <v>366</v>
      </c>
      <c r="H59" s="17">
        <f>F59</f>
        <v>366</v>
      </c>
      <c r="I59" s="91">
        <f>F59</f>
        <v>366</v>
      </c>
      <c r="J59" s="348">
        <f>F59</f>
        <v>366</v>
      </c>
      <c r="K59" s="332">
        <f>F59</f>
        <v>366</v>
      </c>
      <c r="L59" s="91">
        <f>G59</f>
        <v>366</v>
      </c>
      <c r="M59" s="17">
        <f>F59</f>
        <v>366</v>
      </c>
      <c r="N59" s="348">
        <f>F59</f>
        <v>366</v>
      </c>
      <c r="O59" s="22">
        <f>N59</f>
        <v>366</v>
      </c>
      <c r="P59" s="125"/>
      <c r="Q59" s="123"/>
    </row>
    <row r="60" spans="1:17" ht="15.75" x14ac:dyDescent="0.25">
      <c r="A60" s="66"/>
      <c r="B60" s="146" t="s">
        <v>351</v>
      </c>
      <c r="C60" s="805">
        <v>31</v>
      </c>
      <c r="D60" s="17">
        <v>30</v>
      </c>
      <c r="E60" s="91">
        <v>31</v>
      </c>
      <c r="F60" s="123">
        <v>31</v>
      </c>
      <c r="G60" s="332">
        <v>29</v>
      </c>
      <c r="H60" s="17">
        <v>31</v>
      </c>
      <c r="I60" s="91">
        <v>30</v>
      </c>
      <c r="J60" s="348">
        <v>31</v>
      </c>
      <c r="K60" s="332">
        <v>30</v>
      </c>
      <c r="L60" s="91">
        <v>31</v>
      </c>
      <c r="M60" s="17">
        <v>31</v>
      </c>
      <c r="N60" s="348">
        <v>30</v>
      </c>
      <c r="O60" s="22">
        <f>SUM(C60:N60)</f>
        <v>366</v>
      </c>
      <c r="P60" s="125"/>
      <c r="Q60" s="123"/>
    </row>
    <row r="61" spans="1:17" ht="15.75" x14ac:dyDescent="0.25">
      <c r="A61" s="66"/>
      <c r="B61" s="146" t="s">
        <v>352</v>
      </c>
      <c r="C61" s="532">
        <f>(C58/C59)*C60</f>
        <v>7.0917808219178088E-3</v>
      </c>
      <c r="D61" s="25">
        <f t="shared" ref="D61:N61" si="29">(D58/D59)*D60</f>
        <v>6.8630136986301375E-3</v>
      </c>
      <c r="E61" s="521">
        <f t="shared" si="29"/>
        <v>7.0917808219178088E-3</v>
      </c>
      <c r="F61" s="861">
        <f t="shared" si="29"/>
        <v>7.1994535519125692E-3</v>
      </c>
      <c r="G61" s="435">
        <f t="shared" si="29"/>
        <v>6.7349726775956294E-3</v>
      </c>
      <c r="H61" s="25">
        <f t="shared" si="29"/>
        <v>7.1994535519125692E-3</v>
      </c>
      <c r="I61" s="521">
        <f t="shared" si="29"/>
        <v>6.9672131147540993E-3</v>
      </c>
      <c r="J61" s="432">
        <f t="shared" si="29"/>
        <v>7.1994535519125692E-3</v>
      </c>
      <c r="K61" s="433">
        <f t="shared" si="29"/>
        <v>6.9672131147540993E-3</v>
      </c>
      <c r="L61" s="521">
        <f t="shared" si="29"/>
        <v>7.1994535519125692E-3</v>
      </c>
      <c r="M61" s="25">
        <f t="shared" si="29"/>
        <v>7.1994535519125692E-3</v>
      </c>
      <c r="N61" s="432">
        <f t="shared" si="29"/>
        <v>6.9672131147540993E-3</v>
      </c>
      <c r="O61" s="873">
        <f>SUM(C61:N61)</f>
        <v>8.4680455123886514E-2</v>
      </c>
      <c r="P61" s="125"/>
      <c r="Q61" s="123"/>
    </row>
    <row r="62" spans="1:17" ht="15.75" x14ac:dyDescent="0.25">
      <c r="A62" s="806"/>
      <c r="B62" s="146" t="s">
        <v>353</v>
      </c>
      <c r="C62" s="807">
        <v>7.1000000000000004E-3</v>
      </c>
      <c r="D62" s="740">
        <v>6.8999999999999999E-3</v>
      </c>
      <c r="E62" s="809">
        <v>7.1000000000000004E-3</v>
      </c>
      <c r="F62" s="862">
        <v>7.1999999999999998E-3</v>
      </c>
      <c r="G62" s="808">
        <v>6.7999999999999996E-3</v>
      </c>
      <c r="H62" s="740">
        <v>7.1999999999999998E-3</v>
      </c>
      <c r="I62" s="809">
        <v>7.0000000000000001E-3</v>
      </c>
      <c r="J62" s="810">
        <v>7.1999999999999998E-3</v>
      </c>
      <c r="K62" s="811">
        <v>7.0000000000000001E-3</v>
      </c>
      <c r="L62" s="809">
        <v>7.1999999999999998E-3</v>
      </c>
      <c r="M62" s="740">
        <v>7.1999999999999998E-3</v>
      </c>
      <c r="N62" s="810">
        <v>7.0000000000000001E-3</v>
      </c>
      <c r="O62" s="874">
        <f>SUM(C62:N62)</f>
        <v>8.4900000000000003E-2</v>
      </c>
      <c r="P62" s="812"/>
      <c r="Q62" s="876"/>
    </row>
    <row r="63" spans="1:17" ht="16.5" thickBot="1" x14ac:dyDescent="0.3">
      <c r="A63" s="813"/>
      <c r="B63" s="147" t="s">
        <v>75</v>
      </c>
      <c r="C63" s="533">
        <f>C61-C62</f>
        <v>-8.219178082191636E-6</v>
      </c>
      <c r="D63" s="534">
        <f t="shared" ref="D63:N63" si="30">D61-D62</f>
        <v>-3.6986301369862362E-5</v>
      </c>
      <c r="E63" s="536">
        <f t="shared" si="30"/>
        <v>-8.219178082191636E-6</v>
      </c>
      <c r="F63" s="863">
        <f t="shared" si="30"/>
        <v>-5.464480874305816E-7</v>
      </c>
      <c r="G63" s="535">
        <f t="shared" si="30"/>
        <v>-6.5027322404370182E-5</v>
      </c>
      <c r="H63" s="534">
        <f t="shared" si="30"/>
        <v>-5.464480874305816E-7</v>
      </c>
      <c r="I63" s="536">
        <f t="shared" si="30"/>
        <v>-3.2786885245900815E-5</v>
      </c>
      <c r="J63" s="537">
        <f t="shared" si="30"/>
        <v>-5.464480874305816E-7</v>
      </c>
      <c r="K63" s="535">
        <f t="shared" si="30"/>
        <v>-3.2786885245900815E-5</v>
      </c>
      <c r="L63" s="536">
        <f t="shared" si="30"/>
        <v>-5.464480874305816E-7</v>
      </c>
      <c r="M63" s="534">
        <f t="shared" si="30"/>
        <v>-5.464480874305816E-7</v>
      </c>
      <c r="N63" s="537">
        <f t="shared" si="30"/>
        <v>-3.2786885245900815E-5</v>
      </c>
      <c r="O63" s="875">
        <f>SUM(C63:N63)</f>
        <v>-2.1954487611347117E-4</v>
      </c>
      <c r="P63" s="814"/>
      <c r="Q63" s="877"/>
    </row>
    <row r="65" spans="1:17" ht="15.75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143"/>
      <c r="L65" s="22"/>
      <c r="M65" s="22"/>
      <c r="N65" s="22"/>
      <c r="O65" s="22"/>
      <c r="P65" s="22"/>
      <c r="Q65" s="22"/>
    </row>
    <row r="66" spans="1:17" ht="15.75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ht="15.75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5.75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5.75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5.75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5.75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5.75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</sheetData>
  <printOptions horizontalCentered="1"/>
  <pageMargins left="0" right="0" top="1" bottom="0.5" header="0.5" footer="0.25"/>
  <pageSetup scale="73" orientation="portrait" r:id="rId1"/>
  <headerFooter alignWithMargins="0">
    <oddHeader>&amp;C&amp;"Times New Roman,Bold"&amp;14San Diego Gas &amp; Electric Co.
TRBAA Monthly Activities Applicable to BK1 and BK2 
For the 12-Month Period Ending September 30,&amp;KFF0000 &amp;K0000002024
2025 Annual TRBAA Rate Filing</oddHeader>
    <oddFooter>&amp;L&amp;"Times New Roman,Regular"&amp;12&amp;F&amp;C&amp;"Times New Roman,Regular"&amp;12Page 4.&amp;P&amp;R&amp;"Times New Roman,Regular"&amp;12&amp;A</oddFooter>
  </headerFooter>
  <colBreaks count="3" manualBreakCount="3">
    <brk id="6" max="43" man="1"/>
    <brk id="10" max="43" man="1"/>
    <brk id="14" max="4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12"/>
  <sheetViews>
    <sheetView zoomScale="80" zoomScaleNormal="80" workbookViewId="0"/>
  </sheetViews>
  <sheetFormatPr defaultColWidth="9.28515625" defaultRowHeight="12.75" x14ac:dyDescent="0.2"/>
  <cols>
    <col min="1" max="1" width="5.5703125" style="784" bestFit="1" customWidth="1"/>
    <col min="2" max="2" width="135.5703125" style="242" customWidth="1"/>
    <col min="3" max="3" width="5.5703125" style="784" customWidth="1"/>
    <col min="4" max="4" width="5.5703125" style="242" hidden="1" customWidth="1"/>
    <col min="5" max="5" width="11.5703125" style="242" customWidth="1"/>
    <col min="6" max="7" width="9.28515625" style="242"/>
    <col min="8" max="8" width="12.5703125" style="242" bestFit="1" customWidth="1"/>
    <col min="9" max="16384" width="9.28515625" style="242"/>
  </cols>
  <sheetData>
    <row r="1" spans="1:4" ht="16.5" thickBot="1" x14ac:dyDescent="0.3">
      <c r="A1" s="371"/>
      <c r="B1" s="88"/>
      <c r="C1" s="466"/>
      <c r="D1" s="22"/>
    </row>
    <row r="2" spans="1:4" ht="15.75" x14ac:dyDescent="0.25">
      <c r="A2" s="618" t="s">
        <v>8</v>
      </c>
      <c r="B2" s="613"/>
      <c r="C2" s="619" t="s">
        <v>8</v>
      </c>
      <c r="D2" s="59"/>
    </row>
    <row r="3" spans="1:4" ht="16.5" x14ac:dyDescent="0.25">
      <c r="A3" s="620" t="s">
        <v>11</v>
      </c>
      <c r="B3" s="622" t="s">
        <v>354</v>
      </c>
      <c r="C3" s="621" t="s">
        <v>11</v>
      </c>
      <c r="D3" s="64"/>
    </row>
    <row r="4" spans="1:4" ht="22.5" x14ac:dyDescent="0.3">
      <c r="A4" s="614"/>
      <c r="B4" s="145"/>
      <c r="C4" s="615"/>
      <c r="D4" s="144"/>
    </row>
    <row r="5" spans="1:4" ht="35.25" x14ac:dyDescent="0.3">
      <c r="A5" s="355">
        <v>1</v>
      </c>
      <c r="B5" s="886" t="s">
        <v>355</v>
      </c>
      <c r="C5" s="359">
        <v>1</v>
      </c>
      <c r="D5" s="144"/>
    </row>
    <row r="6" spans="1:4" ht="22.5" x14ac:dyDescent="0.3">
      <c r="A6" s="355">
        <f>A5+1</f>
        <v>2</v>
      </c>
      <c r="B6" s="145"/>
      <c r="C6" s="359">
        <f>C5+1</f>
        <v>2</v>
      </c>
      <c r="D6" s="144"/>
    </row>
    <row r="7" spans="1:4" ht="35.25" x14ac:dyDescent="0.3">
      <c r="A7" s="355">
        <f t="shared" ref="A7:A9" si="0">A6+1</f>
        <v>3</v>
      </c>
      <c r="B7" s="886" t="s">
        <v>356</v>
      </c>
      <c r="C7" s="359">
        <f t="shared" ref="C7" si="1">C6+1</f>
        <v>3</v>
      </c>
      <c r="D7" s="144"/>
    </row>
    <row r="8" spans="1:4" ht="22.5" x14ac:dyDescent="0.3">
      <c r="A8" s="355">
        <f t="shared" si="0"/>
        <v>4</v>
      </c>
      <c r="B8" s="22"/>
      <c r="C8" s="359">
        <f t="shared" ref="C8:C9" si="2">C7+1</f>
        <v>4</v>
      </c>
      <c r="D8" s="144"/>
    </row>
    <row r="9" spans="1:4" ht="50.25" x14ac:dyDescent="0.3">
      <c r="A9" s="355">
        <f t="shared" si="0"/>
        <v>5</v>
      </c>
      <c r="B9" s="887" t="s">
        <v>357</v>
      </c>
      <c r="C9" s="359">
        <f t="shared" si="2"/>
        <v>5</v>
      </c>
      <c r="D9" s="144"/>
    </row>
    <row r="10" spans="1:4" ht="16.5" thickBot="1" x14ac:dyDescent="0.25">
      <c r="A10" s="616"/>
      <c r="B10" s="55"/>
      <c r="C10" s="617"/>
      <c r="D10" s="142"/>
    </row>
    <row r="11" spans="1:4" x14ac:dyDescent="0.2">
      <c r="A11" s="360"/>
      <c r="B11" s="1"/>
      <c r="C11" s="360"/>
      <c r="D11" s="1"/>
    </row>
    <row r="12" spans="1:4" x14ac:dyDescent="0.2">
      <c r="A12" s="360"/>
      <c r="B12" s="1"/>
      <c r="C12" s="360"/>
      <c r="D12" s="1"/>
    </row>
  </sheetData>
  <phoneticPr fontId="15" type="noConversion"/>
  <printOptions horizontalCentered="1"/>
  <pageMargins left="0.5" right="0.5" top="1.25" bottom="0.5" header="0.5" footer="0.25"/>
  <pageSetup scale="88" orientation="landscape" r:id="rId1"/>
  <headerFooter alignWithMargins="0">
    <oddHeader xml:space="preserve">&amp;C&amp;"Times New Roman,Bold"&amp;14San Diego Gas &amp;&amp; Electric Co.
2025 &amp;K000000TRBAA Rate Filing
Monthly TRBAA Details for Period Ending September 30, 2024
</oddHeader>
    <oddFooter>&amp;L&amp;"Times New Roman,Regular"&amp;11&amp;F&amp;C&amp;"Times New Roman,Regular"&amp;11Page 4.5&amp;R&amp;"Times New Roman,Regular"&amp;11&amp;A</oddFooter>
  </headerFooter>
  <colBreaks count="1" manualBreakCount="1">
    <brk id="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S52"/>
  <sheetViews>
    <sheetView zoomScale="80" zoomScaleNormal="8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5.75" x14ac:dyDescent="0.25"/>
  <cols>
    <col min="1" max="1" width="5.5703125" style="22" customWidth="1"/>
    <col min="2" max="2" width="65.5703125" style="22" customWidth="1"/>
    <col min="3" max="15" width="15.5703125" style="22" customWidth="1"/>
    <col min="16" max="16" width="40.5703125" style="22" customWidth="1"/>
    <col min="17" max="17" width="5.5703125" style="22" customWidth="1"/>
    <col min="18" max="18" width="8.7109375" style="22"/>
    <col min="19" max="19" width="14.42578125" style="22" bestFit="1" customWidth="1"/>
    <col min="20" max="16384" width="8.7109375" style="22"/>
  </cols>
  <sheetData>
    <row r="2" spans="1:19" ht="16.5" thickBot="1" x14ac:dyDescent="0.3">
      <c r="C2" s="3"/>
    </row>
    <row r="3" spans="1:19" x14ac:dyDescent="0.25">
      <c r="A3" s="286"/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6"/>
    </row>
    <row r="4" spans="1:19" x14ac:dyDescent="0.25">
      <c r="A4" s="549" t="s">
        <v>8</v>
      </c>
      <c r="B4" s="94"/>
      <c r="C4" s="75" t="s">
        <v>288</v>
      </c>
      <c r="D4" s="75" t="s">
        <v>289</v>
      </c>
      <c r="E4" s="75" t="s">
        <v>290</v>
      </c>
      <c r="F4" s="75" t="s">
        <v>291</v>
      </c>
      <c r="G4" s="75" t="s">
        <v>292</v>
      </c>
      <c r="H4" s="75" t="s">
        <v>293</v>
      </c>
      <c r="I4" s="75" t="s">
        <v>294</v>
      </c>
      <c r="J4" s="75" t="s">
        <v>57</v>
      </c>
      <c r="K4" s="75" t="s">
        <v>58</v>
      </c>
      <c r="L4" s="75" t="s">
        <v>59</v>
      </c>
      <c r="M4" s="75" t="s">
        <v>295</v>
      </c>
      <c r="N4" s="75" t="s">
        <v>296</v>
      </c>
      <c r="O4" s="75"/>
      <c r="P4" s="75"/>
      <c r="Q4" s="550" t="s">
        <v>8</v>
      </c>
    </row>
    <row r="5" spans="1:19" ht="16.5" thickBot="1" x14ac:dyDescent="0.3">
      <c r="A5" s="567" t="s">
        <v>11</v>
      </c>
      <c r="B5" s="153" t="s">
        <v>70</v>
      </c>
      <c r="C5" s="153">
        <v>2023</v>
      </c>
      <c r="D5" s="153">
        <f>C5</f>
        <v>2023</v>
      </c>
      <c r="E5" s="153">
        <f>C5</f>
        <v>2023</v>
      </c>
      <c r="F5" s="153">
        <f>$C5+1</f>
        <v>2024</v>
      </c>
      <c r="G5" s="153">
        <f t="shared" ref="G5:N5" si="0">$C5+1</f>
        <v>2024</v>
      </c>
      <c r="H5" s="153">
        <f t="shared" si="0"/>
        <v>2024</v>
      </c>
      <c r="I5" s="153">
        <f t="shared" si="0"/>
        <v>2024</v>
      </c>
      <c r="J5" s="153">
        <f t="shared" si="0"/>
        <v>2024</v>
      </c>
      <c r="K5" s="153">
        <f t="shared" si="0"/>
        <v>2024</v>
      </c>
      <c r="L5" s="153">
        <f t="shared" si="0"/>
        <v>2024</v>
      </c>
      <c r="M5" s="153">
        <f t="shared" si="0"/>
        <v>2024</v>
      </c>
      <c r="N5" s="153">
        <f t="shared" si="0"/>
        <v>2024</v>
      </c>
      <c r="O5" s="153" t="s">
        <v>18</v>
      </c>
      <c r="P5" s="153" t="s">
        <v>16</v>
      </c>
      <c r="Q5" s="568" t="s">
        <v>11</v>
      </c>
    </row>
    <row r="6" spans="1:19" x14ac:dyDescent="0.25">
      <c r="A6" s="332"/>
      <c r="B6" s="766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348"/>
    </row>
    <row r="7" spans="1:19" x14ac:dyDescent="0.25">
      <c r="A7" s="262">
        <v>1</v>
      </c>
      <c r="B7" s="94" t="s">
        <v>358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26"/>
      <c r="Q7" s="263">
        <v>1</v>
      </c>
      <c r="S7" s="468"/>
    </row>
    <row r="8" spans="1:19" x14ac:dyDescent="0.25">
      <c r="A8" s="262">
        <f t="shared" ref="A8:A14" si="1">A7+1</f>
        <v>2</v>
      </c>
      <c r="B8" s="17" t="s">
        <v>359</v>
      </c>
      <c r="C8" s="141">
        <v>-1675932.4000000001</v>
      </c>
      <c r="D8" s="141">
        <v>-3291859.36</v>
      </c>
      <c r="E8" s="327">
        <v>-1457043.56</v>
      </c>
      <c r="F8" s="141">
        <v>-1068615.77</v>
      </c>
      <c r="G8" s="327">
        <v>-3199084.04</v>
      </c>
      <c r="H8" s="141">
        <v>-1687269.4</v>
      </c>
      <c r="I8" s="327">
        <v>-2603789.83</v>
      </c>
      <c r="J8" s="141">
        <v>-2466218.89</v>
      </c>
      <c r="K8" s="327">
        <v>-3160620.55</v>
      </c>
      <c r="L8" s="141">
        <v>-4153621.21</v>
      </c>
      <c r="M8" s="327">
        <v>-5952536.1200000001</v>
      </c>
      <c r="N8" s="141">
        <v>-4330843.62</v>
      </c>
      <c r="O8" s="256">
        <f>SUM(C8:N8)</f>
        <v>-35047434.75</v>
      </c>
      <c r="P8" s="33" t="s">
        <v>360</v>
      </c>
      <c r="Q8" s="263">
        <f t="shared" ref="Q8:Q14" si="2">Q7+1</f>
        <v>2</v>
      </c>
      <c r="S8" s="469"/>
    </row>
    <row r="9" spans="1:19" x14ac:dyDescent="0.25">
      <c r="A9" s="262">
        <f t="shared" si="1"/>
        <v>3</v>
      </c>
      <c r="B9" s="17" t="s">
        <v>361</v>
      </c>
      <c r="C9" s="44">
        <v>2023.63</v>
      </c>
      <c r="D9" s="44">
        <v>7.4</v>
      </c>
      <c r="E9" s="44">
        <v>12.45</v>
      </c>
      <c r="F9" s="44">
        <v>0</v>
      </c>
      <c r="G9" s="44">
        <v>2.31</v>
      </c>
      <c r="H9" s="44">
        <v>1.17</v>
      </c>
      <c r="I9" s="44">
        <v>3.7</v>
      </c>
      <c r="J9" s="44">
        <v>0</v>
      </c>
      <c r="K9" s="44">
        <v>292.34000000000003</v>
      </c>
      <c r="L9" s="44">
        <v>13499.49</v>
      </c>
      <c r="M9" s="44">
        <v>0</v>
      </c>
      <c r="N9" s="44">
        <v>30241.18</v>
      </c>
      <c r="O9" s="44">
        <f>SUM(C9:N9)</f>
        <v>46083.67</v>
      </c>
      <c r="P9" s="33" t="s">
        <v>362</v>
      </c>
      <c r="Q9" s="263">
        <f t="shared" si="2"/>
        <v>3</v>
      </c>
      <c r="S9" s="469"/>
    </row>
    <row r="10" spans="1:19" s="470" customFormat="1" x14ac:dyDescent="0.25">
      <c r="A10" s="623">
        <f t="shared" si="1"/>
        <v>4</v>
      </c>
      <c r="B10" s="17" t="s">
        <v>363</v>
      </c>
      <c r="C10" s="467">
        <f t="shared" ref="C10:N10" si="3">SUM(C8:C9)</f>
        <v>-1673908.7700000003</v>
      </c>
      <c r="D10" s="467">
        <f t="shared" si="3"/>
        <v>-3291851.96</v>
      </c>
      <c r="E10" s="467">
        <f>SUM(E8:E9)</f>
        <v>-1457031.11</v>
      </c>
      <c r="F10" s="467">
        <f t="shared" si="3"/>
        <v>-1068615.77</v>
      </c>
      <c r="G10" s="467">
        <f t="shared" si="3"/>
        <v>-3199081.73</v>
      </c>
      <c r="H10" s="467">
        <f t="shared" si="3"/>
        <v>-1687268.23</v>
      </c>
      <c r="I10" s="467">
        <f t="shared" si="3"/>
        <v>-2603786.13</v>
      </c>
      <c r="J10" s="467">
        <f t="shared" si="3"/>
        <v>-2466218.89</v>
      </c>
      <c r="K10" s="467">
        <f t="shared" si="3"/>
        <v>-3160328.21</v>
      </c>
      <c r="L10" s="467">
        <f t="shared" si="3"/>
        <v>-4140121.7199999997</v>
      </c>
      <c r="M10" s="467">
        <f t="shared" si="3"/>
        <v>-5952536.1200000001</v>
      </c>
      <c r="N10" s="467">
        <f t="shared" si="3"/>
        <v>-4300602.4400000004</v>
      </c>
      <c r="O10" s="473">
        <f>SUM(O8:O9)</f>
        <v>-35001351.079999998</v>
      </c>
      <c r="P10" s="10"/>
      <c r="Q10" s="263">
        <f t="shared" si="2"/>
        <v>4</v>
      </c>
    </row>
    <row r="11" spans="1:19" ht="16.5" thickBot="1" x14ac:dyDescent="0.3">
      <c r="A11" s="300">
        <f>A10+1</f>
        <v>5</v>
      </c>
      <c r="B11" s="99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412"/>
      <c r="P11" s="57"/>
      <c r="Q11" s="301">
        <f>Q10+1</f>
        <v>5</v>
      </c>
    </row>
    <row r="12" spans="1:19" x14ac:dyDescent="0.25">
      <c r="A12" s="262">
        <f t="shared" si="1"/>
        <v>6</v>
      </c>
      <c r="B12" s="98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228"/>
      <c r="P12" s="26"/>
      <c r="Q12" s="263">
        <f t="shared" si="2"/>
        <v>6</v>
      </c>
    </row>
    <row r="13" spans="1:19" ht="16.5" thickBot="1" x14ac:dyDescent="0.3">
      <c r="A13" s="262">
        <f>A12+1</f>
        <v>7</v>
      </c>
      <c r="B13" s="94" t="s">
        <v>364</v>
      </c>
      <c r="C13" s="232">
        <v>1500</v>
      </c>
      <c r="D13" s="232">
        <v>1500</v>
      </c>
      <c r="E13" s="232">
        <v>1500</v>
      </c>
      <c r="F13" s="232">
        <v>1500</v>
      </c>
      <c r="G13" s="232">
        <v>1500</v>
      </c>
      <c r="H13" s="232">
        <v>1500</v>
      </c>
      <c r="I13" s="232">
        <v>1500</v>
      </c>
      <c r="J13" s="232">
        <v>1500</v>
      </c>
      <c r="K13" s="232">
        <v>1500</v>
      </c>
      <c r="L13" s="232">
        <v>1500</v>
      </c>
      <c r="M13" s="232">
        <v>750</v>
      </c>
      <c r="N13" s="232">
        <v>2250</v>
      </c>
      <c r="O13" s="192">
        <f>SUM(C13:N13)</f>
        <v>18000</v>
      </c>
      <c r="P13" s="10" t="s">
        <v>365</v>
      </c>
      <c r="Q13" s="263">
        <f>Q12+1</f>
        <v>7</v>
      </c>
    </row>
    <row r="14" spans="1:19" ht="17.25" thickTop="1" thickBot="1" x14ac:dyDescent="0.3">
      <c r="A14" s="300">
        <f t="shared" si="1"/>
        <v>8</v>
      </c>
      <c r="B14" s="81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412"/>
      <c r="P14" s="57"/>
      <c r="Q14" s="301">
        <f t="shared" si="2"/>
        <v>8</v>
      </c>
    </row>
    <row r="15" spans="1:19" x14ac:dyDescent="0.25">
      <c r="A15" s="262">
        <f>A14+1</f>
        <v>9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28"/>
      <c r="P15" s="10"/>
      <c r="Q15" s="263">
        <f t="shared" ref="Q15:Q20" si="4">Q14+1</f>
        <v>9</v>
      </c>
    </row>
    <row r="16" spans="1:19" ht="16.5" thickBot="1" x14ac:dyDescent="0.3">
      <c r="A16" s="262">
        <f>A15+1</f>
        <v>10</v>
      </c>
      <c r="B16" s="74" t="s">
        <v>366</v>
      </c>
      <c r="C16" s="232">
        <f>'WP 10 ETC Costs'!D48</f>
        <v>-49870.430000000008</v>
      </c>
      <c r="D16" s="232">
        <f>'WP 10 ETC Costs'!E48</f>
        <v>-195533.86000000007</v>
      </c>
      <c r="E16" s="232">
        <f>'WP 10 ETC Costs'!F48</f>
        <v>-48369.76999999999</v>
      </c>
      <c r="F16" s="232">
        <f>'WP 10 ETC Costs'!G48</f>
        <v>-58168.59</v>
      </c>
      <c r="G16" s="232">
        <f>'WP 10 ETC Costs'!H48</f>
        <v>-55169.139999999992</v>
      </c>
      <c r="H16" s="232">
        <f>'WP 10 ETC Costs'!I48</f>
        <v>22315.189999999991</v>
      </c>
      <c r="I16" s="232">
        <f>'WP 10 ETC Costs'!J48</f>
        <v>23102.301760000002</v>
      </c>
      <c r="J16" s="232">
        <f>'WP 10 ETC Costs'!K48</f>
        <v>20153.409120000008</v>
      </c>
      <c r="K16" s="232">
        <f>'WP 10 ETC Costs'!L48</f>
        <v>55969.450000000004</v>
      </c>
      <c r="L16" s="232">
        <f>'WP 10 ETC Costs'!M48</f>
        <v>-19240.010000000009</v>
      </c>
      <c r="M16" s="232">
        <f>'WP 10 ETC Costs'!N48</f>
        <v>-45628.80000000001</v>
      </c>
      <c r="N16" s="232">
        <f>'WP 10 ETC Costs'!O48</f>
        <v>59000.945699999982</v>
      </c>
      <c r="O16" s="192">
        <f>SUM(C16:N16)</f>
        <v>-291439.30342000001</v>
      </c>
      <c r="P16" s="10" t="s">
        <v>525</v>
      </c>
      <c r="Q16" s="263">
        <f t="shared" si="4"/>
        <v>10</v>
      </c>
    </row>
    <row r="17" spans="1:17" ht="17.25" thickTop="1" thickBot="1" x14ac:dyDescent="0.3">
      <c r="A17" s="300">
        <f>A16+1</f>
        <v>11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471"/>
      <c r="P17" s="57"/>
      <c r="Q17" s="301">
        <f t="shared" si="4"/>
        <v>11</v>
      </c>
    </row>
    <row r="18" spans="1:17" x14ac:dyDescent="0.25">
      <c r="A18" s="262">
        <f>A17+1</f>
        <v>12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28"/>
      <c r="P18" s="10"/>
      <c r="Q18" s="263">
        <f t="shared" si="4"/>
        <v>12</v>
      </c>
    </row>
    <row r="19" spans="1:17" ht="16.5" thickBot="1" x14ac:dyDescent="0.3">
      <c r="A19" s="262">
        <f t="shared" ref="A19:A20" si="5">A18+1</f>
        <v>13</v>
      </c>
      <c r="B19" s="94" t="s">
        <v>367</v>
      </c>
      <c r="C19" s="232">
        <f>'WP 12 PTO'!D17</f>
        <v>14563.56</v>
      </c>
      <c r="D19" s="232">
        <f>'WP 12 PTO'!E17</f>
        <v>-1028.8900000000003</v>
      </c>
      <c r="E19" s="232">
        <f>'WP 12 PTO'!F17</f>
        <v>-46489.33</v>
      </c>
      <c r="F19" s="232">
        <f>'WP 12 PTO'!G17</f>
        <v>-16346.94</v>
      </c>
      <c r="G19" s="232">
        <f>'WP 12 PTO'!H17</f>
        <v>-7661.5199999999995</v>
      </c>
      <c r="H19" s="232">
        <f>'WP 12 PTO'!I17</f>
        <v>-13257.05</v>
      </c>
      <c r="I19" s="232">
        <f>'WP 12 PTO'!J17</f>
        <v>-21290.921760000001</v>
      </c>
      <c r="J19" s="232">
        <f>'WP 12 PTO'!K17</f>
        <v>-30996.869119999999</v>
      </c>
      <c r="K19" s="232">
        <f>'WP 12 PTO'!L17</f>
        <v>-81084.709999999992</v>
      </c>
      <c r="L19" s="232">
        <f>'WP 12 PTO'!M17</f>
        <v>182882.75999999998</v>
      </c>
      <c r="M19" s="232">
        <f>'WP 12 PTO'!N17</f>
        <v>228379.27</v>
      </c>
      <c r="N19" s="232">
        <f>'WP 12 PTO'!O17</f>
        <v>-881406.70570000005</v>
      </c>
      <c r="O19" s="192">
        <f>SUM(C19:N19)</f>
        <v>-673737.34658000013</v>
      </c>
      <c r="P19" s="10" t="s">
        <v>478</v>
      </c>
      <c r="Q19" s="263">
        <f t="shared" si="4"/>
        <v>13</v>
      </c>
    </row>
    <row r="20" spans="1:17" ht="17.25" thickTop="1" thickBot="1" x14ac:dyDescent="0.3">
      <c r="A20" s="300">
        <f t="shared" si="5"/>
        <v>14</v>
      </c>
      <c r="B20" s="81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3"/>
      <c r="P20" s="57"/>
      <c r="Q20" s="301">
        <f t="shared" si="4"/>
        <v>14</v>
      </c>
    </row>
    <row r="22" spans="1:17" x14ac:dyDescent="0.25">
      <c r="A22" s="37"/>
    </row>
    <row r="23" spans="1:17" x14ac:dyDescent="0.25">
      <c r="A23" s="37"/>
      <c r="B23" s="22" t="s">
        <v>368</v>
      </c>
    </row>
    <row r="24" spans="1:17" ht="18.75" x14ac:dyDescent="0.25">
      <c r="A24" s="510"/>
      <c r="B24" s="91" t="s">
        <v>18</v>
      </c>
      <c r="C24" s="143">
        <f>C10+C13+C16+C19</f>
        <v>-1707715.6400000001</v>
      </c>
      <c r="D24" s="143">
        <f t="shared" ref="D24:N24" si="6">D10+D13+D16+D19</f>
        <v>-3486914.71</v>
      </c>
      <c r="E24" s="143">
        <f t="shared" si="6"/>
        <v>-1550390.2100000002</v>
      </c>
      <c r="F24" s="143">
        <f t="shared" si="6"/>
        <v>-1141631.3</v>
      </c>
      <c r="G24" s="143">
        <f t="shared" si="6"/>
        <v>-3260412.39</v>
      </c>
      <c r="H24" s="143">
        <f t="shared" si="6"/>
        <v>-1676710.09</v>
      </c>
      <c r="I24" s="143">
        <f t="shared" si="6"/>
        <v>-2600474.7499999995</v>
      </c>
      <c r="J24" s="143">
        <f t="shared" si="6"/>
        <v>-2475562.35</v>
      </c>
      <c r="K24" s="143">
        <f t="shared" si="6"/>
        <v>-3183943.4699999997</v>
      </c>
      <c r="L24" s="143">
        <f t="shared" si="6"/>
        <v>-3974978.9699999997</v>
      </c>
      <c r="M24" s="143">
        <f t="shared" si="6"/>
        <v>-5769035.6500000004</v>
      </c>
      <c r="N24" s="143">
        <f t="shared" si="6"/>
        <v>-5120758.2</v>
      </c>
      <c r="O24" s="143">
        <f>SUM(C24:N24)</f>
        <v>-35948527.730000004</v>
      </c>
    </row>
    <row r="25" spans="1:17" ht="18.75" x14ac:dyDescent="0.25">
      <c r="A25" s="510"/>
      <c r="B25" s="91" t="s">
        <v>369</v>
      </c>
      <c r="C25" s="143">
        <f>'WP 4 Monthly TRBAA '!C21</f>
        <v>-1707715.6400000001</v>
      </c>
      <c r="D25" s="143">
        <f>'WP 4 Monthly TRBAA '!D21</f>
        <v>-3486914.71</v>
      </c>
      <c r="E25" s="143">
        <f>'WP 4 Monthly TRBAA '!E21</f>
        <v>-1550390.2100000002</v>
      </c>
      <c r="F25" s="143">
        <f>'WP 4 Monthly TRBAA '!F21</f>
        <v>-1141631.3</v>
      </c>
      <c r="G25" s="143">
        <f>'WP 4 Monthly TRBAA '!G21</f>
        <v>-3260412.39</v>
      </c>
      <c r="H25" s="143">
        <f>'WP 4 Monthly TRBAA '!H21</f>
        <v>-1676710.09</v>
      </c>
      <c r="I25" s="143">
        <f>'WP 4 Monthly TRBAA '!I21</f>
        <v>-2600474.7499999995</v>
      </c>
      <c r="J25" s="143">
        <f>'WP 4 Monthly TRBAA '!J21</f>
        <v>-2475562.35</v>
      </c>
      <c r="K25" s="143">
        <f>'WP 4 Monthly TRBAA '!K21</f>
        <v>-3183943.4699999997</v>
      </c>
      <c r="L25" s="143">
        <f>'WP 4 Monthly TRBAA '!L21</f>
        <v>-3974978.9699999997</v>
      </c>
      <c r="M25" s="143">
        <f>'WP 4 Monthly TRBAA '!M21</f>
        <v>-5769035.6500000004</v>
      </c>
      <c r="N25" s="143">
        <f>'WP 4 Monthly TRBAA '!N21</f>
        <v>-5120758.2</v>
      </c>
      <c r="O25" s="143">
        <f>SUM(C25:N25)</f>
        <v>-35948527.730000004</v>
      </c>
    </row>
    <row r="26" spans="1:17" ht="19.5" thickBot="1" x14ac:dyDescent="0.3">
      <c r="A26" s="510"/>
      <c r="B26" s="22" t="s">
        <v>75</v>
      </c>
      <c r="C26" s="511">
        <f>C24-C25</f>
        <v>0</v>
      </c>
      <c r="D26" s="511">
        <f t="shared" ref="D26:O26" si="7">D24-D25</f>
        <v>0</v>
      </c>
      <c r="E26" s="511">
        <f t="shared" si="7"/>
        <v>0</v>
      </c>
      <c r="F26" s="511">
        <f t="shared" si="7"/>
        <v>0</v>
      </c>
      <c r="G26" s="511">
        <f t="shared" si="7"/>
        <v>0</v>
      </c>
      <c r="H26" s="511">
        <f t="shared" si="7"/>
        <v>0</v>
      </c>
      <c r="I26" s="511">
        <f t="shared" si="7"/>
        <v>0</v>
      </c>
      <c r="J26" s="511">
        <f t="shared" si="7"/>
        <v>0</v>
      </c>
      <c r="K26" s="511">
        <f t="shared" si="7"/>
        <v>0</v>
      </c>
      <c r="L26" s="511">
        <f t="shared" si="7"/>
        <v>0</v>
      </c>
      <c r="M26" s="511">
        <f t="shared" si="7"/>
        <v>0</v>
      </c>
      <c r="N26" s="511">
        <f>N24-N25</f>
        <v>0</v>
      </c>
      <c r="O26" s="511">
        <f t="shared" si="7"/>
        <v>0</v>
      </c>
    </row>
    <row r="27" spans="1:17" ht="19.5" thickTop="1" x14ac:dyDescent="0.25">
      <c r="A27" s="67"/>
      <c r="C27" s="67"/>
    </row>
    <row r="28" spans="1:17" ht="18.75" x14ac:dyDescent="0.25">
      <c r="A28" s="67"/>
      <c r="C28" s="143"/>
      <c r="O28" s="472"/>
    </row>
    <row r="29" spans="1:17" x14ac:dyDescent="0.25">
      <c r="A29" s="37"/>
    </row>
    <row r="30" spans="1:17" x14ac:dyDescent="0.25">
      <c r="A30" s="37"/>
    </row>
    <row r="31" spans="1:17" x14ac:dyDescent="0.25">
      <c r="A31" s="37"/>
    </row>
    <row r="32" spans="1:17" x14ac:dyDescent="0.25">
      <c r="A32" s="37"/>
    </row>
    <row r="33" spans="1:1" x14ac:dyDescent="0.25">
      <c r="A33" s="37"/>
    </row>
    <row r="34" spans="1:1" x14ac:dyDescent="0.25">
      <c r="A34" s="37"/>
    </row>
    <row r="35" spans="1:1" x14ac:dyDescent="0.25">
      <c r="A35" s="37"/>
    </row>
    <row r="36" spans="1:1" x14ac:dyDescent="0.25">
      <c r="A36" s="37"/>
    </row>
    <row r="37" spans="1:1" x14ac:dyDescent="0.25">
      <c r="A37" s="37"/>
    </row>
    <row r="38" spans="1:1" x14ac:dyDescent="0.25">
      <c r="A38" s="37"/>
    </row>
    <row r="39" spans="1:1" x14ac:dyDescent="0.25">
      <c r="A39" s="37"/>
    </row>
    <row r="40" spans="1:1" x14ac:dyDescent="0.25">
      <c r="A40" s="37"/>
    </row>
    <row r="41" spans="1:1" x14ac:dyDescent="0.25">
      <c r="A41" s="37"/>
    </row>
    <row r="42" spans="1:1" x14ac:dyDescent="0.25">
      <c r="A42" s="37"/>
    </row>
    <row r="43" spans="1:1" x14ac:dyDescent="0.25">
      <c r="A43" s="37"/>
    </row>
    <row r="44" spans="1:1" x14ac:dyDescent="0.25">
      <c r="A44" s="37"/>
    </row>
    <row r="45" spans="1:1" x14ac:dyDescent="0.25">
      <c r="A45" s="37"/>
    </row>
    <row r="46" spans="1:1" x14ac:dyDescent="0.25">
      <c r="A46" s="37"/>
    </row>
    <row r="47" spans="1:1" x14ac:dyDescent="0.25">
      <c r="A47" s="37"/>
    </row>
    <row r="48" spans="1:1" x14ac:dyDescent="0.25">
      <c r="A48" s="37"/>
    </row>
    <row r="49" spans="1:1" x14ac:dyDescent="0.25">
      <c r="A49" s="37"/>
    </row>
    <row r="50" spans="1:1" x14ac:dyDescent="0.25">
      <c r="A50" s="37"/>
    </row>
    <row r="51" spans="1:1" x14ac:dyDescent="0.25">
      <c r="A51" s="37"/>
    </row>
    <row r="52" spans="1:1" x14ac:dyDescent="0.25">
      <c r="A52" s="37"/>
    </row>
  </sheetData>
  <phoneticPr fontId="15" type="noConversion"/>
  <printOptions horizontalCentered="1"/>
  <pageMargins left="0" right="0" top="1" bottom="0.25" header="0.5" footer="0.25"/>
  <pageSetup scale="68" orientation="landscape" r:id="rId1"/>
  <headerFooter alignWithMargins="0">
    <oddHeader xml:space="preserve">&amp;C&amp;"Times New Roman,Bold"&amp;14San Diego Gas &amp;&amp; Electric Company
2025 TRBAA Rate Filing
CAISO Charges Oct. 2023 - Sept. 2024&amp;"Times New Roman,Regular"&amp;K000000
</oddHeader>
    <oddFooter>&amp;L&amp;"Times New Roman,Regular"&amp;12&amp;F&amp;C&amp;"Times New Roman,Regular"&amp;12Page 5.&amp;P&amp;R&amp;"Times New Roman,Regular"&amp;12WP 5  Summary of Monthly CAISO Charges</oddFooter>
  </headerFooter>
  <colBreaks count="1" manualBreakCount="1">
    <brk id="10" max="1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B551-5630-48E8-85A2-2286413BBC13}">
  <sheetPr>
    <pageSetUpPr fitToPage="1"/>
  </sheetPr>
  <dimension ref="A1:M58"/>
  <sheetViews>
    <sheetView zoomScale="80" zoomScaleNormal="80" workbookViewId="0">
      <selection activeCell="J47" sqref="J47"/>
    </sheetView>
  </sheetViews>
  <sheetFormatPr defaultColWidth="8.5703125" defaultRowHeight="12.75" x14ac:dyDescent="0.2"/>
  <cols>
    <col min="1" max="1" width="5.5703125" style="1" customWidth="1"/>
    <col min="2" max="2" width="81.42578125" style="2" customWidth="1"/>
    <col min="3" max="5" width="18.5703125" style="1" customWidth="1"/>
    <col min="6" max="6" width="59.5703125" style="1" bestFit="1" customWidth="1"/>
    <col min="7" max="7" width="5.5703125" style="1" customWidth="1"/>
    <col min="8" max="16384" width="8.5703125" style="1"/>
  </cols>
  <sheetData>
    <row r="1" spans="1:13" x14ac:dyDescent="0.2">
      <c r="H1" s="299"/>
      <c r="I1" s="299"/>
      <c r="J1" s="299"/>
      <c r="K1" s="299"/>
      <c r="L1" s="299"/>
      <c r="M1" s="299"/>
    </row>
    <row r="2" spans="1:13" ht="15.75" x14ac:dyDescent="0.2">
      <c r="A2" s="5" t="s">
        <v>1</v>
      </c>
      <c r="B2" s="624"/>
      <c r="C2" s="624"/>
      <c r="D2" s="624"/>
      <c r="E2" s="624"/>
      <c r="F2" s="624"/>
      <c r="G2" s="624"/>
    </row>
    <row r="3" spans="1:13" ht="15.75" x14ac:dyDescent="0.2">
      <c r="A3" s="976" t="str">
        <f>'WP 7 Wheeling Revenues'!A3:G3</f>
        <v>2025 - TRBAA Rate Filing</v>
      </c>
      <c r="B3" s="976"/>
      <c r="C3" s="976"/>
      <c r="D3" s="976"/>
      <c r="E3" s="976"/>
      <c r="F3" s="976"/>
      <c r="G3" s="976"/>
    </row>
    <row r="4" spans="1:13" ht="15.75" x14ac:dyDescent="0.2">
      <c r="A4" s="5" t="s">
        <v>370</v>
      </c>
      <c r="B4" s="624"/>
      <c r="C4" s="624"/>
      <c r="D4" s="624"/>
      <c r="E4" s="624"/>
      <c r="F4" s="624"/>
      <c r="G4" s="624"/>
    </row>
    <row r="5" spans="1:13" ht="13.5" thickBot="1" x14ac:dyDescent="0.25"/>
    <row r="6" spans="1:13" ht="15.75" x14ac:dyDescent="0.25">
      <c r="A6" s="555" t="s">
        <v>8</v>
      </c>
      <c r="B6" s="625"/>
      <c r="C6" s="625"/>
      <c r="D6" s="625"/>
      <c r="E6" s="626"/>
      <c r="F6" s="457"/>
      <c r="G6" s="557" t="s">
        <v>8</v>
      </c>
    </row>
    <row r="7" spans="1:13" ht="16.5" thickBot="1" x14ac:dyDescent="0.3">
      <c r="A7" s="567" t="s">
        <v>11</v>
      </c>
      <c r="B7" s="627"/>
      <c r="C7" s="627"/>
      <c r="D7" s="627"/>
      <c r="E7" s="628"/>
      <c r="F7" s="153" t="s">
        <v>16</v>
      </c>
      <c r="G7" s="568" t="s">
        <v>11</v>
      </c>
    </row>
    <row r="8" spans="1:13" ht="15.75" x14ac:dyDescent="0.25">
      <c r="A8" s="262">
        <v>1</v>
      </c>
      <c r="B8" s="156" t="s">
        <v>371</v>
      </c>
      <c r="C8" s="629" t="s">
        <v>3</v>
      </c>
      <c r="D8" s="165" t="s">
        <v>4</v>
      </c>
      <c r="E8" s="165" t="s">
        <v>195</v>
      </c>
      <c r="F8" s="36"/>
      <c r="G8" s="263">
        <v>1</v>
      </c>
    </row>
    <row r="9" spans="1:13" ht="15.75" x14ac:dyDescent="0.25">
      <c r="A9" s="262">
        <f t="shared" ref="A9:A27" si="0">A8+1</f>
        <v>2</v>
      </c>
      <c r="B9" s="156"/>
      <c r="C9" s="158"/>
      <c r="D9" s="158"/>
      <c r="E9" s="158"/>
      <c r="F9" s="36"/>
      <c r="G9" s="263">
        <f>A9</f>
        <v>2</v>
      </c>
    </row>
    <row r="10" spans="1:13" ht="16.5" thickBot="1" x14ac:dyDescent="0.3">
      <c r="A10" s="262">
        <f t="shared" si="0"/>
        <v>3</v>
      </c>
      <c r="B10" s="156" t="s">
        <v>372</v>
      </c>
      <c r="C10" s="153" t="s">
        <v>228</v>
      </c>
      <c r="D10" s="153" t="s">
        <v>229</v>
      </c>
      <c r="E10" s="153" t="s">
        <v>18</v>
      </c>
      <c r="F10" s="75"/>
      <c r="G10" s="263">
        <f t="shared" ref="G10:G18" si="1">A10</f>
        <v>3</v>
      </c>
    </row>
    <row r="11" spans="1:13" ht="15.75" x14ac:dyDescent="0.25">
      <c r="A11" s="262">
        <f t="shared" si="0"/>
        <v>4</v>
      </c>
      <c r="B11" s="792"/>
      <c r="C11" s="793"/>
      <c r="D11" s="75"/>
      <c r="E11" s="75"/>
      <c r="F11" s="90"/>
      <c r="G11" s="263">
        <f t="shared" si="1"/>
        <v>4</v>
      </c>
    </row>
    <row r="12" spans="1:13" ht="32.25" customHeight="1" x14ac:dyDescent="0.25">
      <c r="A12" s="355">
        <f t="shared" si="0"/>
        <v>5</v>
      </c>
      <c r="B12" s="356" t="s">
        <v>513</v>
      </c>
      <c r="C12" s="357">
        <v>4090818.3393105436</v>
      </c>
      <c r="D12" s="357">
        <v>4141581.3191741775</v>
      </c>
      <c r="E12" s="357">
        <f>SUM(C12:D12)</f>
        <v>8232399.6584847216</v>
      </c>
      <c r="F12" s="190" t="s">
        <v>517</v>
      </c>
      <c r="G12" s="263">
        <f t="shared" si="1"/>
        <v>5</v>
      </c>
    </row>
    <row r="13" spans="1:13" ht="15.75" x14ac:dyDescent="0.25">
      <c r="A13" s="262">
        <f t="shared" si="0"/>
        <v>6</v>
      </c>
      <c r="B13" s="68"/>
      <c r="C13" s="793"/>
      <c r="D13" s="75"/>
      <c r="E13" s="75"/>
      <c r="F13" s="90"/>
      <c r="G13" s="263">
        <f t="shared" si="1"/>
        <v>6</v>
      </c>
    </row>
    <row r="14" spans="1:13" ht="30" x14ac:dyDescent="0.25">
      <c r="A14" s="355">
        <f t="shared" si="0"/>
        <v>7</v>
      </c>
      <c r="B14" s="356" t="s">
        <v>514</v>
      </c>
      <c r="C14" s="358">
        <v>173489.41188700552</v>
      </c>
      <c r="D14" s="358">
        <v>363956.93756489758</v>
      </c>
      <c r="E14" s="358">
        <f>SUM(C14:D14)</f>
        <v>537446.34945190314</v>
      </c>
      <c r="F14" s="190" t="s">
        <v>518</v>
      </c>
      <c r="G14" s="263">
        <f t="shared" si="1"/>
        <v>7</v>
      </c>
    </row>
    <row r="15" spans="1:13" ht="15.75" x14ac:dyDescent="0.25">
      <c r="A15" s="262">
        <f t="shared" si="0"/>
        <v>8</v>
      </c>
      <c r="B15" s="68"/>
      <c r="C15" s="75"/>
      <c r="D15" s="75"/>
      <c r="E15" s="75"/>
      <c r="F15" s="90"/>
      <c r="G15" s="263">
        <f t="shared" si="1"/>
        <v>8</v>
      </c>
    </row>
    <row r="16" spans="1:13" ht="16.5" thickBot="1" x14ac:dyDescent="0.3">
      <c r="A16" s="262">
        <f t="shared" si="0"/>
        <v>9</v>
      </c>
      <c r="B16" s="302" t="s">
        <v>373</v>
      </c>
      <c r="C16" s="192">
        <f>C12+C14</f>
        <v>4264307.7511975495</v>
      </c>
      <c r="D16" s="192">
        <f t="shared" ref="D16:E16" si="2">D12+D14</f>
        <v>4505538.2567390753</v>
      </c>
      <c r="E16" s="192">
        <f t="shared" si="2"/>
        <v>8769846.0079366248</v>
      </c>
      <c r="F16" s="241" t="s">
        <v>374</v>
      </c>
      <c r="G16" s="263">
        <f t="shared" si="1"/>
        <v>9</v>
      </c>
    </row>
    <row r="17" spans="1:7" ht="16.5" thickTop="1" x14ac:dyDescent="0.25">
      <c r="A17" s="262">
        <f t="shared" si="0"/>
        <v>10</v>
      </c>
      <c r="B17" s="302"/>
      <c r="C17" s="228"/>
      <c r="D17" s="228"/>
      <c r="E17" s="228"/>
      <c r="F17" s="241"/>
      <c r="G17" s="263">
        <f t="shared" si="1"/>
        <v>10</v>
      </c>
    </row>
    <row r="18" spans="1:7" ht="16.5" thickBot="1" x14ac:dyDescent="0.3">
      <c r="A18" s="262">
        <f t="shared" si="0"/>
        <v>11</v>
      </c>
      <c r="B18" s="302" t="s">
        <v>375</v>
      </c>
      <c r="C18" s="229">
        <f>ROUND(C16/$E16,4)</f>
        <v>0.48620000000000002</v>
      </c>
      <c r="D18" s="229">
        <f>ROUND(D16/$E16,4)</f>
        <v>0.51380000000000003</v>
      </c>
      <c r="E18" s="229">
        <f>SUM(C18:D18)</f>
        <v>1</v>
      </c>
      <c r="F18" s="241" t="s">
        <v>376</v>
      </c>
      <c r="G18" s="263">
        <f t="shared" si="1"/>
        <v>11</v>
      </c>
    </row>
    <row r="19" spans="1:7" ht="17.25" thickTop="1" thickBot="1" x14ac:dyDescent="0.3">
      <c r="A19" s="300">
        <f t="shared" si="0"/>
        <v>12</v>
      </c>
      <c r="B19" s="230"/>
      <c r="C19" s="231"/>
      <c r="D19" s="231"/>
      <c r="E19" s="231"/>
      <c r="F19" s="77"/>
      <c r="G19" s="301">
        <f>A19</f>
        <v>12</v>
      </c>
    </row>
    <row r="20" spans="1:7" ht="18.75" x14ac:dyDescent="0.3">
      <c r="A20" s="262">
        <f t="shared" si="0"/>
        <v>13</v>
      </c>
      <c r="B20" s="156" t="s">
        <v>377</v>
      </c>
      <c r="C20" s="742"/>
      <c r="D20" s="742"/>
      <c r="E20" s="742"/>
      <c r="F20" s="36"/>
      <c r="G20" s="263">
        <f>A20</f>
        <v>13</v>
      </c>
    </row>
    <row r="21" spans="1:7" ht="18.75" x14ac:dyDescent="0.3">
      <c r="A21" s="262">
        <f t="shared" si="0"/>
        <v>14</v>
      </c>
      <c r="B21" s="68"/>
      <c r="C21" s="742"/>
      <c r="D21" s="742"/>
      <c r="E21" s="794"/>
      <c r="F21" s="36"/>
      <c r="G21" s="263">
        <f t="shared" ref="G21:G26" si="3">A21</f>
        <v>14</v>
      </c>
    </row>
    <row r="22" spans="1:7" ht="31.5" x14ac:dyDescent="0.25">
      <c r="A22" s="262">
        <f t="shared" si="0"/>
        <v>15</v>
      </c>
      <c r="B22" s="743" t="s">
        <v>506</v>
      </c>
      <c r="C22" s="744">
        <f>'WP 7 Wheeling Revenues'!C37</f>
        <v>-35001351.080000006</v>
      </c>
      <c r="D22" s="744">
        <f>'WP 7 Wheeling Revenues'!D37</f>
        <v>0</v>
      </c>
      <c r="E22" s="745">
        <f>SUM(C22:D22)</f>
        <v>-35001351.080000006</v>
      </c>
      <c r="F22" s="241" t="s">
        <v>378</v>
      </c>
      <c r="G22" s="263">
        <f t="shared" si="3"/>
        <v>15</v>
      </c>
    </row>
    <row r="23" spans="1:7" ht="15.75" x14ac:dyDescent="0.25">
      <c r="A23" s="262">
        <f t="shared" si="0"/>
        <v>16</v>
      </c>
      <c r="B23" s="302"/>
      <c r="C23" s="744"/>
      <c r="D23" s="744"/>
      <c r="E23" s="745"/>
      <c r="F23" s="241"/>
      <c r="G23" s="263">
        <f t="shared" si="3"/>
        <v>16</v>
      </c>
    </row>
    <row r="24" spans="1:7" ht="15.75" x14ac:dyDescent="0.25">
      <c r="A24" s="262">
        <f t="shared" si="0"/>
        <v>17</v>
      </c>
      <c r="B24" s="302" t="s">
        <v>379</v>
      </c>
      <c r="C24" s="746">
        <f>E18</f>
        <v>1</v>
      </c>
      <c r="D24" s="746">
        <v>0</v>
      </c>
      <c r="E24" s="746">
        <f>SUM(C24:D24)</f>
        <v>1</v>
      </c>
      <c r="F24" s="37" t="s">
        <v>380</v>
      </c>
      <c r="G24" s="263">
        <f t="shared" si="3"/>
        <v>17</v>
      </c>
    </row>
    <row r="25" spans="1:7" ht="15.75" x14ac:dyDescent="0.25">
      <c r="A25" s="262">
        <f t="shared" si="0"/>
        <v>18</v>
      </c>
      <c r="B25" s="302"/>
      <c r="C25" s="747"/>
      <c r="D25" s="747"/>
      <c r="E25" s="747"/>
      <c r="F25" s="241"/>
      <c r="G25" s="263">
        <f t="shared" si="3"/>
        <v>18</v>
      </c>
    </row>
    <row r="26" spans="1:7" ht="16.5" thickBot="1" x14ac:dyDescent="0.3">
      <c r="A26" s="262">
        <f>A25+1</f>
        <v>19</v>
      </c>
      <c r="B26" s="92" t="s">
        <v>381</v>
      </c>
      <c r="C26" s="748">
        <f>C22*C24</f>
        <v>-35001351.080000006</v>
      </c>
      <c r="D26" s="748">
        <f>D22*D24</f>
        <v>0</v>
      </c>
      <c r="E26" s="749">
        <f>SUM(C26:D26)</f>
        <v>-35001351.080000006</v>
      </c>
      <c r="F26" s="37" t="s">
        <v>382</v>
      </c>
      <c r="G26" s="263">
        <f t="shared" si="3"/>
        <v>19</v>
      </c>
    </row>
    <row r="27" spans="1:7" ht="17.25" thickTop="1" thickBot="1" x14ac:dyDescent="0.3">
      <c r="A27" s="300">
        <f t="shared" si="0"/>
        <v>20</v>
      </c>
      <c r="B27" s="750"/>
      <c r="C27" s="795"/>
      <c r="D27" s="751"/>
      <c r="E27" s="751"/>
      <c r="F27" s="752"/>
      <c r="G27" s="301">
        <f t="shared" ref="G27" si="4">G26+1</f>
        <v>20</v>
      </c>
    </row>
    <row r="28" spans="1:7" ht="15.75" x14ac:dyDescent="0.25">
      <c r="A28" s="298">
        <f>A27+1</f>
        <v>21</v>
      </c>
      <c r="B28" s="630" t="s">
        <v>383</v>
      </c>
      <c r="C28" s="631"/>
      <c r="D28" s="632"/>
      <c r="E28" s="631"/>
      <c r="F28" s="590"/>
      <c r="G28" s="459">
        <f>G27+1</f>
        <v>21</v>
      </c>
    </row>
    <row r="29" spans="1:7" ht="15.75" x14ac:dyDescent="0.25">
      <c r="A29" s="262">
        <f>A28+1</f>
        <v>22</v>
      </c>
      <c r="B29" s="385"/>
      <c r="C29" s="159"/>
      <c r="D29" s="36"/>
      <c r="E29" s="794"/>
      <c r="F29" s="633"/>
      <c r="G29" s="349">
        <f>G28+1</f>
        <v>22</v>
      </c>
    </row>
    <row r="30" spans="1:7" ht="31.5" thickBot="1" x14ac:dyDescent="0.35">
      <c r="A30" s="262">
        <f t="shared" ref="A30:A39" si="5">A29+1</f>
        <v>23</v>
      </c>
      <c r="B30" s="732" t="s">
        <v>507</v>
      </c>
      <c r="C30" s="634"/>
      <c r="D30" s="104"/>
      <c r="E30" s="227">
        <f>'WP 8 CT4575'!C34</f>
        <v>18000</v>
      </c>
      <c r="F30" s="71" t="s">
        <v>384</v>
      </c>
      <c r="G30" s="349">
        <f t="shared" ref="G30:G33" si="6">G29+1</f>
        <v>23</v>
      </c>
    </row>
    <row r="31" spans="1:7" ht="16.5" thickTop="1" x14ac:dyDescent="0.25">
      <c r="A31" s="262">
        <f t="shared" si="5"/>
        <v>24</v>
      </c>
      <c r="B31" s="85" t="s">
        <v>385</v>
      </c>
      <c r="C31" s="159"/>
      <c r="D31" s="36"/>
      <c r="E31" s="159"/>
      <c r="F31" s="33"/>
      <c r="G31" s="349">
        <f t="shared" si="6"/>
        <v>24</v>
      </c>
    </row>
    <row r="32" spans="1:7" ht="15.75" x14ac:dyDescent="0.25">
      <c r="A32" s="262">
        <f t="shared" si="5"/>
        <v>25</v>
      </c>
      <c r="B32" s="85"/>
      <c r="C32" s="159"/>
      <c r="D32" s="36"/>
      <c r="E32" s="159"/>
      <c r="F32" s="33"/>
      <c r="G32" s="349">
        <f t="shared" si="6"/>
        <v>25</v>
      </c>
    </row>
    <row r="33" spans="1:7" ht="16.5" thickBot="1" x14ac:dyDescent="0.3">
      <c r="A33" s="262">
        <f t="shared" si="5"/>
        <v>26</v>
      </c>
      <c r="B33" s="74" t="s">
        <v>386</v>
      </c>
      <c r="C33" s="192">
        <f>$E$30*$C$18</f>
        <v>8751.6</v>
      </c>
      <c r="D33" s="192">
        <f>$E$30*$D$18</f>
        <v>9248.4000000000015</v>
      </c>
      <c r="E33" s="192">
        <f>SUM(C33:D33)</f>
        <v>18000</v>
      </c>
      <c r="F33" s="33" t="s">
        <v>387</v>
      </c>
      <c r="G33" s="349">
        <f t="shared" si="6"/>
        <v>26</v>
      </c>
    </row>
    <row r="34" spans="1:7" ht="20.25" thickTop="1" thickBot="1" x14ac:dyDescent="0.35">
      <c r="A34" s="300">
        <f t="shared" si="5"/>
        <v>27</v>
      </c>
      <c r="B34" s="635"/>
      <c r="C34" s="795"/>
      <c r="D34" s="636"/>
      <c r="E34" s="105"/>
      <c r="F34" s="637"/>
      <c r="G34" s="463">
        <f>G33+1</f>
        <v>27</v>
      </c>
    </row>
    <row r="35" spans="1:7" ht="15.75" x14ac:dyDescent="0.25">
      <c r="A35" s="262">
        <f t="shared" si="5"/>
        <v>28</v>
      </c>
      <c r="B35" s="385" t="s">
        <v>388</v>
      </c>
      <c r="C35" s="101"/>
      <c r="D35" s="796"/>
      <c r="E35" s="631"/>
      <c r="F35" s="633"/>
      <c r="G35" s="349">
        <f>G34+1</f>
        <v>28</v>
      </c>
    </row>
    <row r="36" spans="1:7" ht="15.75" x14ac:dyDescent="0.25">
      <c r="A36" s="262">
        <f t="shared" si="5"/>
        <v>29</v>
      </c>
      <c r="B36" s="385"/>
      <c r="C36" s="101"/>
      <c r="D36" s="797"/>
      <c r="E36" s="794"/>
      <c r="F36" s="71"/>
      <c r="G36" s="349">
        <f t="shared" ref="G36:G39" si="7">G35+1</f>
        <v>29</v>
      </c>
    </row>
    <row r="37" spans="1:7" ht="30.75" thickBot="1" x14ac:dyDescent="0.3">
      <c r="A37" s="262">
        <f t="shared" si="5"/>
        <v>30</v>
      </c>
      <c r="B37" s="732" t="s">
        <v>508</v>
      </c>
      <c r="C37" s="101"/>
      <c r="D37" s="797"/>
      <c r="E37" s="73">
        <f>'WP 9 ETC Cost Diffs'!C34</f>
        <v>-291439.30342000001</v>
      </c>
      <c r="F37" s="71" t="s">
        <v>389</v>
      </c>
      <c r="G37" s="349">
        <f t="shared" si="7"/>
        <v>30</v>
      </c>
    </row>
    <row r="38" spans="1:7" ht="16.5" thickTop="1" x14ac:dyDescent="0.25">
      <c r="A38" s="262">
        <f t="shared" si="5"/>
        <v>31</v>
      </c>
      <c r="B38" s="385"/>
      <c r="C38" s="101"/>
      <c r="D38" s="797"/>
      <c r="E38" s="101"/>
      <c r="F38" s="71"/>
      <c r="G38" s="349">
        <f t="shared" si="7"/>
        <v>31</v>
      </c>
    </row>
    <row r="39" spans="1:7" ht="16.5" thickBot="1" x14ac:dyDescent="0.3">
      <c r="A39" s="262">
        <f t="shared" si="5"/>
        <v>32</v>
      </c>
      <c r="B39" s="74" t="s">
        <v>390</v>
      </c>
      <c r="C39" s="192">
        <f>$E$37*$C$18</f>
        <v>-141697.78932280402</v>
      </c>
      <c r="D39" s="192">
        <f>$E$37*$D$18</f>
        <v>-149741.51409719602</v>
      </c>
      <c r="E39" s="192">
        <f>SUM(C39:D39)</f>
        <v>-291439.30342000001</v>
      </c>
      <c r="F39" s="33" t="s">
        <v>391</v>
      </c>
      <c r="G39" s="349">
        <f t="shared" si="7"/>
        <v>32</v>
      </c>
    </row>
    <row r="40" spans="1:7" ht="17.25" thickTop="1" thickBot="1" x14ac:dyDescent="0.3">
      <c r="A40" s="300">
        <f>A39+1</f>
        <v>33</v>
      </c>
      <c r="B40" s="419"/>
      <c r="C40" s="795"/>
      <c r="D40" s="80"/>
      <c r="E40" s="81"/>
      <c r="F40" s="160"/>
      <c r="G40" s="463">
        <f>G39+1</f>
        <v>33</v>
      </c>
    </row>
    <row r="41" spans="1:7" ht="15.75" x14ac:dyDescent="0.25">
      <c r="A41" s="638">
        <f>A40+1</f>
        <v>34</v>
      </c>
      <c r="B41" s="630" t="s">
        <v>392</v>
      </c>
      <c r="C41" s="631"/>
      <c r="D41" s="632"/>
      <c r="E41" s="458"/>
      <c r="F41" s="455"/>
      <c r="G41" s="459">
        <f>G40+1</f>
        <v>34</v>
      </c>
    </row>
    <row r="42" spans="1:7" ht="15.75" x14ac:dyDescent="0.25">
      <c r="A42" s="187">
        <f>A41+1</f>
        <v>35</v>
      </c>
      <c r="B42" s="385"/>
      <c r="C42" s="159"/>
      <c r="D42" s="36"/>
      <c r="E42" s="456"/>
      <c r="F42" s="159"/>
      <c r="G42" s="349">
        <f>G41+1</f>
        <v>35</v>
      </c>
    </row>
    <row r="43" spans="1:7" ht="32.85" customHeight="1" thickBot="1" x14ac:dyDescent="0.35">
      <c r="A43" s="187">
        <f>A42+1</f>
        <v>36</v>
      </c>
      <c r="B43" s="732" t="s">
        <v>509</v>
      </c>
      <c r="C43" s="634"/>
      <c r="D43" s="798"/>
      <c r="E43" s="227">
        <f>'WP 12 PTO'!P17</f>
        <v>-673737.34658000001</v>
      </c>
      <c r="F43" s="71" t="s">
        <v>479</v>
      </c>
      <c r="G43" s="349">
        <f t="shared" ref="G43:G49" si="8">G42+1</f>
        <v>36</v>
      </c>
    </row>
    <row r="44" spans="1:7" ht="19.5" thickTop="1" x14ac:dyDescent="0.3">
      <c r="A44" s="187">
        <f t="shared" ref="A44:A48" si="9">A43+1</f>
        <v>37</v>
      </c>
      <c r="B44" s="732"/>
      <c r="C44" s="634"/>
      <c r="D44" s="798"/>
      <c r="E44" s="849"/>
      <c r="F44" s="71"/>
      <c r="G44" s="349">
        <f t="shared" si="8"/>
        <v>37</v>
      </c>
    </row>
    <row r="45" spans="1:7" ht="30" x14ac:dyDescent="0.25">
      <c r="A45" s="187">
        <f t="shared" si="9"/>
        <v>38</v>
      </c>
      <c r="B45" s="902" t="s">
        <v>393</v>
      </c>
      <c r="C45" s="16">
        <f>'WP 12 PTO'!P29</f>
        <v>-324866.67</v>
      </c>
      <c r="D45" s="851">
        <f>'WP 12 PTO'!P30</f>
        <v>-722543.75</v>
      </c>
      <c r="E45" s="16">
        <f>SUM(C45:D45)</f>
        <v>-1047410.4199999999</v>
      </c>
      <c r="F45" s="901" t="s">
        <v>394</v>
      </c>
      <c r="G45" s="349">
        <f t="shared" si="8"/>
        <v>38</v>
      </c>
    </row>
    <row r="46" spans="1:7" ht="18.75" x14ac:dyDescent="0.3">
      <c r="A46" s="187">
        <f t="shared" si="9"/>
        <v>39</v>
      </c>
      <c r="B46" s="85"/>
      <c r="C46" s="634"/>
      <c r="D46" s="798"/>
      <c r="E46" s="16"/>
      <c r="F46" s="71"/>
      <c r="G46" s="349">
        <f t="shared" si="8"/>
        <v>39</v>
      </c>
    </row>
    <row r="47" spans="1:7" ht="15.75" x14ac:dyDescent="0.25">
      <c r="A47" s="187">
        <f t="shared" si="9"/>
        <v>40</v>
      </c>
      <c r="B47" s="85" t="s">
        <v>395</v>
      </c>
      <c r="C47" s="850">
        <f>$E$47*$C$18</f>
        <v>181679.84829680398</v>
      </c>
      <c r="D47" s="850">
        <f>$E$47*$D$18</f>
        <v>191993.22512319597</v>
      </c>
      <c r="E47" s="850">
        <f>E43-E45</f>
        <v>373673.07341999991</v>
      </c>
      <c r="F47" s="84" t="s">
        <v>528</v>
      </c>
      <c r="G47" s="349">
        <f t="shared" si="8"/>
        <v>40</v>
      </c>
    </row>
    <row r="48" spans="1:7" ht="15.75" x14ac:dyDescent="0.25">
      <c r="A48" s="187">
        <f t="shared" si="9"/>
        <v>41</v>
      </c>
      <c r="B48" s="385"/>
      <c r="C48" s="228"/>
      <c r="D48" s="684"/>
      <c r="E48" s="685"/>
      <c r="F48" s="84"/>
      <c r="G48" s="349">
        <f t="shared" si="8"/>
        <v>41</v>
      </c>
    </row>
    <row r="49" spans="1:7" ht="16.5" thickBot="1" x14ac:dyDescent="0.3">
      <c r="A49" s="187">
        <f t="shared" ref="A49" si="10">A48+1</f>
        <v>42</v>
      </c>
      <c r="B49" s="74" t="s">
        <v>396</v>
      </c>
      <c r="C49" s="192">
        <f>C45+C47</f>
        <v>-143186.82170319601</v>
      </c>
      <c r="D49" s="192">
        <f t="shared" ref="D49" si="11">D45+D47</f>
        <v>-530550.52487680409</v>
      </c>
      <c r="E49" s="192">
        <f>SUM(C49:D49)</f>
        <v>-673737.34658000013</v>
      </c>
      <c r="F49" s="33" t="s">
        <v>397</v>
      </c>
      <c r="G49" s="349">
        <f t="shared" si="8"/>
        <v>42</v>
      </c>
    </row>
    <row r="50" spans="1:7" ht="20.25" thickTop="1" thickBot="1" x14ac:dyDescent="0.35">
      <c r="A50" s="640">
        <f>A49+1</f>
        <v>43</v>
      </c>
      <c r="B50" s="635"/>
      <c r="C50" s="795"/>
      <c r="D50" s="636"/>
      <c r="E50" s="641"/>
      <c r="F50" s="642"/>
      <c r="G50" s="463">
        <f>G49+1</f>
        <v>43</v>
      </c>
    </row>
    <row r="51" spans="1:7" ht="15.75" x14ac:dyDescent="0.25">
      <c r="A51" s="187"/>
      <c r="C51" s="799"/>
      <c r="F51" s="36"/>
      <c r="G51" s="37"/>
    </row>
    <row r="52" spans="1:7" ht="15.75" x14ac:dyDescent="0.25">
      <c r="A52" s="187"/>
      <c r="C52" s="799"/>
      <c r="F52" s="36"/>
      <c r="G52" s="37"/>
    </row>
    <row r="53" spans="1:7" ht="15.75" x14ac:dyDescent="0.25">
      <c r="A53" s="187"/>
      <c r="C53" s="799"/>
      <c r="F53" s="36"/>
      <c r="G53" s="37"/>
    </row>
    <row r="54" spans="1:7" ht="15.75" x14ac:dyDescent="0.25">
      <c r="A54" s="187"/>
      <c r="C54" s="799"/>
      <c r="F54" s="36"/>
      <c r="G54" s="37"/>
    </row>
    <row r="55" spans="1:7" x14ac:dyDescent="0.2">
      <c r="A55" s="643"/>
    </row>
    <row r="56" spans="1:7" ht="18.75" x14ac:dyDescent="0.25">
      <c r="A56" s="644"/>
      <c r="B56" s="50"/>
    </row>
    <row r="57" spans="1:7" ht="18.75" x14ac:dyDescent="0.25">
      <c r="A57" s="645"/>
      <c r="B57" s="50"/>
    </row>
    <row r="58" spans="1:7" x14ac:dyDescent="0.2">
      <c r="A58" s="646"/>
    </row>
  </sheetData>
  <mergeCells count="1">
    <mergeCell ref="A3:G3"/>
  </mergeCells>
  <printOptions horizontalCentered="1"/>
  <pageMargins left="0.25" right="0.25" top="0.5" bottom="0.5" header="0.25" footer="0.25"/>
  <pageSetup scale="61" orientation="landscape" r:id="rId1"/>
  <headerFooter alignWithMargins="0">
    <oddFooter>&amp;L&amp;"Times New Roman,Regular"&amp;14&amp;F&amp;C&amp;"Times New Roman,Regular"&amp;14Page 6.1&amp;R&amp;"Times New Roman,Regular"&amp;14&amp;A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5"/>
  <sheetViews>
    <sheetView zoomScale="80" zoomScaleNormal="80" workbookViewId="0"/>
  </sheetViews>
  <sheetFormatPr defaultColWidth="8.5703125" defaultRowHeight="15.75" x14ac:dyDescent="0.25"/>
  <cols>
    <col min="1" max="1" width="5.5703125" style="22" customWidth="1"/>
    <col min="2" max="2" width="40.5703125" style="50" customWidth="1"/>
    <col min="3" max="4" width="19.7109375" style="22" bestFit="1" customWidth="1"/>
    <col min="5" max="5" width="17.5703125" style="22" customWidth="1"/>
    <col min="6" max="6" width="41.5703125" style="22" bestFit="1" customWidth="1"/>
    <col min="7" max="7" width="5.5703125" style="22" customWidth="1"/>
    <col min="8" max="16384" width="8.5703125" style="22"/>
  </cols>
  <sheetData>
    <row r="1" spans="1:7" x14ac:dyDescent="0.25">
      <c r="A1" s="5"/>
      <c r="B1" s="41"/>
      <c r="C1" s="41"/>
      <c r="D1" s="41"/>
      <c r="E1" s="41"/>
      <c r="F1" s="41"/>
      <c r="G1" s="41"/>
    </row>
    <row r="2" spans="1:7" x14ac:dyDescent="0.25">
      <c r="A2" s="5" t="s">
        <v>1</v>
      </c>
      <c r="B2" s="41"/>
      <c r="C2" s="41"/>
      <c r="D2" s="41"/>
      <c r="E2" s="41"/>
      <c r="F2" s="41"/>
      <c r="G2" s="41"/>
    </row>
    <row r="3" spans="1:7" x14ac:dyDescent="0.25">
      <c r="A3" s="976" t="str">
        <f>'Stmnt BD - Recorded KWH'!$A$4</f>
        <v>2025 - TRBAA Rate Filing</v>
      </c>
      <c r="B3" s="976"/>
      <c r="C3" s="976"/>
      <c r="D3" s="976"/>
      <c r="E3" s="976"/>
      <c r="F3" s="976"/>
      <c r="G3" s="976"/>
    </row>
    <row r="4" spans="1:7" x14ac:dyDescent="0.25">
      <c r="A4" s="5" t="s">
        <v>398</v>
      </c>
      <c r="B4" s="41"/>
      <c r="C4" s="41"/>
      <c r="D4" s="41"/>
      <c r="E4" s="41"/>
      <c r="F4" s="41"/>
      <c r="G4" s="41"/>
    </row>
    <row r="5" spans="1:7" ht="16.5" thickBot="1" x14ac:dyDescent="0.3">
      <c r="A5" s="41"/>
      <c r="B5" s="41"/>
      <c r="C5" s="41"/>
      <c r="D5" s="41"/>
      <c r="E5" s="41"/>
      <c r="F5" s="41"/>
      <c r="G5" s="41"/>
    </row>
    <row r="6" spans="1:7" x14ac:dyDescent="0.25">
      <c r="A6" s="286"/>
      <c r="B6" s="587"/>
      <c r="C6" s="165" t="s">
        <v>3</v>
      </c>
      <c r="D6" s="165" t="s">
        <v>4</v>
      </c>
      <c r="E6" s="165" t="s">
        <v>113</v>
      </c>
      <c r="F6" s="165" t="s">
        <v>114</v>
      </c>
      <c r="G6" s="546"/>
    </row>
    <row r="7" spans="1:7" x14ac:dyDescent="0.25">
      <c r="A7" s="549"/>
      <c r="B7" s="74"/>
      <c r="C7" s="585" t="s">
        <v>399</v>
      </c>
      <c r="D7" s="585" t="s">
        <v>229</v>
      </c>
      <c r="E7" s="585"/>
      <c r="F7" s="585"/>
      <c r="G7" s="550"/>
    </row>
    <row r="8" spans="1:7" x14ac:dyDescent="0.25">
      <c r="A8" s="549" t="s">
        <v>8</v>
      </c>
      <c r="B8" s="75"/>
      <c r="C8" s="585" t="s">
        <v>400</v>
      </c>
      <c r="D8" s="585" t="s">
        <v>400</v>
      </c>
      <c r="E8" s="585"/>
      <c r="F8" s="585"/>
      <c r="G8" s="550" t="s">
        <v>8</v>
      </c>
    </row>
    <row r="9" spans="1:7" ht="16.5" thickBot="1" x14ac:dyDescent="0.3">
      <c r="A9" s="567" t="s">
        <v>401</v>
      </c>
      <c r="B9" s="337" t="s">
        <v>402</v>
      </c>
      <c r="C9" s="647" t="s">
        <v>403</v>
      </c>
      <c r="D9" s="647" t="s">
        <v>404</v>
      </c>
      <c r="E9" s="591" t="s">
        <v>18</v>
      </c>
      <c r="F9" s="591" t="s">
        <v>16</v>
      </c>
      <c r="G9" s="568" t="s">
        <v>401</v>
      </c>
    </row>
    <row r="10" spans="1:7" x14ac:dyDescent="0.25">
      <c r="A10" s="262"/>
      <c r="B10" s="766"/>
      <c r="C10" s="19"/>
      <c r="D10" s="19"/>
      <c r="E10" s="19"/>
      <c r="F10" s="19"/>
      <c r="G10" s="263"/>
    </row>
    <row r="11" spans="1:7" x14ac:dyDescent="0.25">
      <c r="A11" s="262">
        <v>1</v>
      </c>
      <c r="B11" s="477">
        <f>'Stmnt BD - Recorded KWH'!B12</f>
        <v>45200</v>
      </c>
      <c r="C11" s="19">
        <f>'WP 5 CAISO Charges'!C10</f>
        <v>-1673908.7700000003</v>
      </c>
      <c r="D11" s="19">
        <v>0</v>
      </c>
      <c r="E11" s="19">
        <f>C11+D11</f>
        <v>-1673908.7700000003</v>
      </c>
      <c r="F11" s="23" t="s">
        <v>405</v>
      </c>
      <c r="G11" s="263">
        <v>1</v>
      </c>
    </row>
    <row r="12" spans="1:7" x14ac:dyDescent="0.25">
      <c r="A12" s="262">
        <f>A11+1</f>
        <v>2</v>
      </c>
      <c r="B12" s="10"/>
      <c r="C12" s="19"/>
      <c r="D12" s="19"/>
      <c r="E12" s="19"/>
      <c r="F12" s="10"/>
      <c r="G12" s="263">
        <f>G11+1</f>
        <v>2</v>
      </c>
    </row>
    <row r="13" spans="1:7" x14ac:dyDescent="0.25">
      <c r="A13" s="262">
        <f t="shared" ref="A13:A37" si="0">A12+1</f>
        <v>3</v>
      </c>
      <c r="B13" s="477">
        <f>'Stmnt BD - Recorded KWH'!B13</f>
        <v>45231</v>
      </c>
      <c r="C13" s="31">
        <f>'WP 5 CAISO Charges'!D10</f>
        <v>-3291851.96</v>
      </c>
      <c r="D13" s="31">
        <v>0</v>
      </c>
      <c r="E13" s="31">
        <f t="shared" ref="E13:E33" si="1">C13+D13</f>
        <v>-3291851.96</v>
      </c>
      <c r="F13" s="23" t="str">
        <f>F11</f>
        <v>Work paper No. 5; Page 5.1 and 5.2; Line 4</v>
      </c>
      <c r="G13" s="263">
        <f t="shared" ref="G13:G37" si="2">G12+1</f>
        <v>3</v>
      </c>
    </row>
    <row r="14" spans="1:7" x14ac:dyDescent="0.25">
      <c r="A14" s="262">
        <f t="shared" si="0"/>
        <v>4</v>
      </c>
      <c r="B14" s="10"/>
      <c r="C14" s="31"/>
      <c r="D14" s="31"/>
      <c r="E14" s="31"/>
      <c r="F14" s="10"/>
      <c r="G14" s="263">
        <f t="shared" si="2"/>
        <v>4</v>
      </c>
    </row>
    <row r="15" spans="1:7" ht="16.5" thickBot="1" x14ac:dyDescent="0.3">
      <c r="A15" s="300">
        <f t="shared" si="0"/>
        <v>5</v>
      </c>
      <c r="B15" s="648">
        <f>'Stmnt BD - Recorded KWH'!B14</f>
        <v>45261</v>
      </c>
      <c r="C15" s="58">
        <f>'WP 5 CAISO Charges'!E10</f>
        <v>-1457031.11</v>
      </c>
      <c r="D15" s="58">
        <v>0</v>
      </c>
      <c r="E15" s="58">
        <f t="shared" si="1"/>
        <v>-1457031.11</v>
      </c>
      <c r="F15" s="649" t="str">
        <f>F11</f>
        <v>Work paper No. 5; Page 5.1 and 5.2; Line 4</v>
      </c>
      <c r="G15" s="301">
        <f t="shared" si="2"/>
        <v>5</v>
      </c>
    </row>
    <row r="16" spans="1:7" x14ac:dyDescent="0.25">
      <c r="A16" s="262">
        <f t="shared" si="0"/>
        <v>6</v>
      </c>
      <c r="B16" s="477"/>
      <c r="C16" s="31"/>
      <c r="D16" s="31"/>
      <c r="E16" s="31"/>
      <c r="F16" s="23"/>
      <c r="G16" s="263">
        <f t="shared" si="2"/>
        <v>6</v>
      </c>
    </row>
    <row r="17" spans="1:7" x14ac:dyDescent="0.25">
      <c r="A17" s="262">
        <f t="shared" si="0"/>
        <v>7</v>
      </c>
      <c r="B17" s="477">
        <f>'Stmnt BD - Recorded KWH'!B15</f>
        <v>45292</v>
      </c>
      <c r="C17" s="31">
        <f>'WP 5 CAISO Charges'!F10</f>
        <v>-1068615.77</v>
      </c>
      <c r="D17" s="31">
        <v>0</v>
      </c>
      <c r="E17" s="31">
        <f t="shared" si="1"/>
        <v>-1068615.77</v>
      </c>
      <c r="F17" s="23" t="str">
        <f>F11</f>
        <v>Work paper No. 5; Page 5.1 and 5.2; Line 4</v>
      </c>
      <c r="G17" s="263">
        <f t="shared" si="2"/>
        <v>7</v>
      </c>
    </row>
    <row r="18" spans="1:7" x14ac:dyDescent="0.25">
      <c r="A18" s="262">
        <f t="shared" si="0"/>
        <v>8</v>
      </c>
      <c r="B18" s="10"/>
      <c r="C18" s="19"/>
      <c r="D18" s="19"/>
      <c r="E18" s="31"/>
      <c r="F18" s="10"/>
      <c r="G18" s="263">
        <f t="shared" si="2"/>
        <v>8</v>
      </c>
    </row>
    <row r="19" spans="1:7" x14ac:dyDescent="0.25">
      <c r="A19" s="262">
        <f t="shared" si="0"/>
        <v>9</v>
      </c>
      <c r="B19" s="477">
        <f>'Stmnt BD - Recorded KWH'!B16</f>
        <v>45323</v>
      </c>
      <c r="C19" s="31">
        <f>'WP 5 CAISO Charges'!G10</f>
        <v>-3199081.73</v>
      </c>
      <c r="D19" s="31">
        <v>0</v>
      </c>
      <c r="E19" s="31">
        <f t="shared" si="1"/>
        <v>-3199081.73</v>
      </c>
      <c r="F19" s="23" t="str">
        <f>F11</f>
        <v>Work paper No. 5; Page 5.1 and 5.2; Line 4</v>
      </c>
      <c r="G19" s="263">
        <f t="shared" si="2"/>
        <v>9</v>
      </c>
    </row>
    <row r="20" spans="1:7" x14ac:dyDescent="0.25">
      <c r="A20" s="262">
        <f t="shared" si="0"/>
        <v>10</v>
      </c>
      <c r="B20" s="10"/>
      <c r="C20" s="31"/>
      <c r="D20" s="31"/>
      <c r="E20" s="31"/>
      <c r="F20" s="10"/>
      <c r="G20" s="263">
        <f t="shared" si="2"/>
        <v>10</v>
      </c>
    </row>
    <row r="21" spans="1:7" ht="16.5" thickBot="1" x14ac:dyDescent="0.3">
      <c r="A21" s="300">
        <f t="shared" si="0"/>
        <v>11</v>
      </c>
      <c r="B21" s="648">
        <f>'Stmnt BD - Recorded KWH'!B17</f>
        <v>45352</v>
      </c>
      <c r="C21" s="58">
        <f>'WP 5 CAISO Charges'!H10</f>
        <v>-1687268.23</v>
      </c>
      <c r="D21" s="58">
        <v>0</v>
      </c>
      <c r="E21" s="58">
        <f t="shared" si="1"/>
        <v>-1687268.23</v>
      </c>
      <c r="F21" s="649" t="str">
        <f>F11</f>
        <v>Work paper No. 5; Page 5.1 and 5.2; Line 4</v>
      </c>
      <c r="G21" s="301">
        <f t="shared" si="2"/>
        <v>11</v>
      </c>
    </row>
    <row r="22" spans="1:7" x14ac:dyDescent="0.25">
      <c r="A22" s="262">
        <f t="shared" si="0"/>
        <v>12</v>
      </c>
      <c r="B22" s="10"/>
      <c r="C22" s="31"/>
      <c r="D22" s="31"/>
      <c r="E22" s="31"/>
      <c r="F22" s="10"/>
      <c r="G22" s="263">
        <f t="shared" si="2"/>
        <v>12</v>
      </c>
    </row>
    <row r="23" spans="1:7" x14ac:dyDescent="0.25">
      <c r="A23" s="262">
        <f t="shared" si="0"/>
        <v>13</v>
      </c>
      <c r="B23" s="477">
        <f>'Stmnt BD - Recorded KWH'!B18</f>
        <v>45383</v>
      </c>
      <c r="C23" s="31">
        <f>'WP 5 CAISO Charges'!I10</f>
        <v>-2603786.13</v>
      </c>
      <c r="D23" s="31">
        <v>0</v>
      </c>
      <c r="E23" s="31">
        <f t="shared" si="1"/>
        <v>-2603786.13</v>
      </c>
      <c r="F23" s="23" t="str">
        <f>F11</f>
        <v>Work paper No. 5; Page 5.1 and 5.2; Line 4</v>
      </c>
      <c r="G23" s="263">
        <f t="shared" si="2"/>
        <v>13</v>
      </c>
    </row>
    <row r="24" spans="1:7" x14ac:dyDescent="0.25">
      <c r="A24" s="262">
        <f t="shared" si="0"/>
        <v>14</v>
      </c>
      <c r="B24" s="10"/>
      <c r="C24" s="19"/>
      <c r="D24" s="19"/>
      <c r="E24" s="31"/>
      <c r="F24" s="10"/>
      <c r="G24" s="263">
        <f t="shared" si="2"/>
        <v>14</v>
      </c>
    </row>
    <row r="25" spans="1:7" x14ac:dyDescent="0.25">
      <c r="A25" s="262">
        <f t="shared" si="0"/>
        <v>15</v>
      </c>
      <c r="B25" s="477">
        <f>'Stmnt BD - Recorded KWH'!B19</f>
        <v>45413</v>
      </c>
      <c r="C25" s="31">
        <f>'WP 5 CAISO Charges'!J10</f>
        <v>-2466218.89</v>
      </c>
      <c r="D25" s="31">
        <v>0</v>
      </c>
      <c r="E25" s="31">
        <f t="shared" si="1"/>
        <v>-2466218.89</v>
      </c>
      <c r="F25" s="23" t="str">
        <f>F11</f>
        <v>Work paper No. 5; Page 5.1 and 5.2; Line 4</v>
      </c>
      <c r="G25" s="263">
        <f t="shared" si="2"/>
        <v>15</v>
      </c>
    </row>
    <row r="26" spans="1:7" x14ac:dyDescent="0.25">
      <c r="A26" s="262">
        <f t="shared" si="0"/>
        <v>16</v>
      </c>
      <c r="B26" s="10"/>
      <c r="C26" s="31"/>
      <c r="D26" s="31"/>
      <c r="E26" s="31"/>
      <c r="F26" s="10"/>
      <c r="G26" s="263">
        <f t="shared" si="2"/>
        <v>16</v>
      </c>
    </row>
    <row r="27" spans="1:7" ht="16.5" thickBot="1" x14ac:dyDescent="0.3">
      <c r="A27" s="300">
        <f t="shared" si="0"/>
        <v>17</v>
      </c>
      <c r="B27" s="648">
        <f>'Stmnt BD - Recorded KWH'!B20</f>
        <v>45444</v>
      </c>
      <c r="C27" s="58">
        <f>'WP 5 CAISO Charges'!K10</f>
        <v>-3160328.21</v>
      </c>
      <c r="D27" s="58">
        <v>0</v>
      </c>
      <c r="E27" s="58">
        <f t="shared" si="1"/>
        <v>-3160328.21</v>
      </c>
      <c r="F27" s="649" t="str">
        <f>F11</f>
        <v>Work paper No. 5; Page 5.1 and 5.2; Line 4</v>
      </c>
      <c r="G27" s="301">
        <f t="shared" si="2"/>
        <v>17</v>
      </c>
    </row>
    <row r="28" spans="1:7" x14ac:dyDescent="0.25">
      <c r="A28" s="262">
        <f t="shared" si="0"/>
        <v>18</v>
      </c>
      <c r="B28" s="10"/>
      <c r="C28" s="31"/>
      <c r="D28" s="31"/>
      <c r="E28" s="31"/>
      <c r="F28" s="10"/>
      <c r="G28" s="263">
        <f t="shared" si="2"/>
        <v>18</v>
      </c>
    </row>
    <row r="29" spans="1:7" x14ac:dyDescent="0.25">
      <c r="A29" s="262">
        <f t="shared" si="0"/>
        <v>19</v>
      </c>
      <c r="B29" s="477">
        <f>'Stmnt BD - Recorded KWH'!B21</f>
        <v>45474</v>
      </c>
      <c r="C29" s="31">
        <f>'WP 5 CAISO Charges'!L10</f>
        <v>-4140121.7199999997</v>
      </c>
      <c r="D29" s="31">
        <v>0</v>
      </c>
      <c r="E29" s="31">
        <f t="shared" si="1"/>
        <v>-4140121.7199999997</v>
      </c>
      <c r="F29" s="23" t="str">
        <f>F11</f>
        <v>Work paper No. 5; Page 5.1 and 5.2; Line 4</v>
      </c>
      <c r="G29" s="263">
        <f t="shared" si="2"/>
        <v>19</v>
      </c>
    </row>
    <row r="30" spans="1:7" x14ac:dyDescent="0.25">
      <c r="A30" s="262">
        <f t="shared" si="0"/>
        <v>20</v>
      </c>
      <c r="B30" s="10"/>
      <c r="C30" s="19"/>
      <c r="D30" s="19"/>
      <c r="E30" s="31"/>
      <c r="F30" s="10"/>
      <c r="G30" s="263">
        <f t="shared" si="2"/>
        <v>20</v>
      </c>
    </row>
    <row r="31" spans="1:7" x14ac:dyDescent="0.25">
      <c r="A31" s="262">
        <f t="shared" si="0"/>
        <v>21</v>
      </c>
      <c r="B31" s="477">
        <f>'Stmnt BD - Recorded KWH'!B22</f>
        <v>45505</v>
      </c>
      <c r="C31" s="31">
        <f>'WP 5 CAISO Charges'!M10</f>
        <v>-5952536.1200000001</v>
      </c>
      <c r="D31" s="31">
        <v>0</v>
      </c>
      <c r="E31" s="31">
        <f t="shared" si="1"/>
        <v>-5952536.1200000001</v>
      </c>
      <c r="F31" s="23" t="str">
        <f>F11</f>
        <v>Work paper No. 5; Page 5.1 and 5.2; Line 4</v>
      </c>
      <c r="G31" s="263">
        <f t="shared" si="2"/>
        <v>21</v>
      </c>
    </row>
    <row r="32" spans="1:7" x14ac:dyDescent="0.25">
      <c r="A32" s="262">
        <f t="shared" si="0"/>
        <v>22</v>
      </c>
      <c r="B32" s="10"/>
      <c r="C32" s="31"/>
      <c r="D32" s="31"/>
      <c r="E32" s="31"/>
      <c r="F32" s="10"/>
      <c r="G32" s="263">
        <f t="shared" si="2"/>
        <v>22</v>
      </c>
    </row>
    <row r="33" spans="1:7" ht="16.5" thickBot="1" x14ac:dyDescent="0.3">
      <c r="A33" s="300">
        <f t="shared" si="0"/>
        <v>23</v>
      </c>
      <c r="B33" s="648">
        <f>'Stmnt BD - Recorded KWH'!B23</f>
        <v>45536</v>
      </c>
      <c r="C33" s="58">
        <f>'WP 5 CAISO Charges'!N10</f>
        <v>-4300602.4400000004</v>
      </c>
      <c r="D33" s="58">
        <v>0</v>
      </c>
      <c r="E33" s="82">
        <f t="shared" si="1"/>
        <v>-4300602.4400000004</v>
      </c>
      <c r="F33" s="649" t="str">
        <f>F11</f>
        <v>Work paper No. 5; Page 5.1 and 5.2; Line 4</v>
      </c>
      <c r="G33" s="301">
        <f t="shared" si="2"/>
        <v>23</v>
      </c>
    </row>
    <row r="34" spans="1:7" x14ac:dyDescent="0.25">
      <c r="A34" s="262">
        <f t="shared" si="0"/>
        <v>24</v>
      </c>
      <c r="B34" s="10"/>
      <c r="C34" s="19"/>
      <c r="D34" s="19"/>
      <c r="E34" s="19"/>
      <c r="F34" s="10"/>
      <c r="G34" s="263">
        <f t="shared" si="2"/>
        <v>24</v>
      </c>
    </row>
    <row r="35" spans="1:7" ht="16.5" thickBot="1" x14ac:dyDescent="0.3">
      <c r="A35" s="262">
        <f t="shared" si="0"/>
        <v>25</v>
      </c>
      <c r="B35" s="75" t="s">
        <v>406</v>
      </c>
      <c r="C35" s="73">
        <f>SUM(C11:C33)</f>
        <v>-35001351.080000006</v>
      </c>
      <c r="D35" s="527">
        <f>SUM(D11:D33)</f>
        <v>0</v>
      </c>
      <c r="E35" s="73">
        <f>SUM(E11:E33)</f>
        <v>-35001351.080000006</v>
      </c>
      <c r="F35" s="29" t="s">
        <v>407</v>
      </c>
      <c r="G35" s="263">
        <f t="shared" si="2"/>
        <v>25</v>
      </c>
    </row>
    <row r="36" spans="1:7" ht="16.5" thickTop="1" x14ac:dyDescent="0.25">
      <c r="A36" s="262">
        <f t="shared" si="0"/>
        <v>26</v>
      </c>
      <c r="B36" s="75"/>
      <c r="C36" s="791"/>
      <c r="D36" s="659"/>
      <c r="E36" s="639"/>
      <c r="F36" s="23"/>
      <c r="G36" s="263">
        <f t="shared" si="2"/>
        <v>26</v>
      </c>
    </row>
    <row r="37" spans="1:7" ht="16.5" thickBot="1" x14ac:dyDescent="0.3">
      <c r="A37" s="262">
        <f t="shared" si="0"/>
        <v>27</v>
      </c>
      <c r="B37" s="75" t="s">
        <v>408</v>
      </c>
      <c r="C37" s="154">
        <f>C35</f>
        <v>-35001351.080000006</v>
      </c>
      <c r="D37" s="73">
        <f>D35</f>
        <v>0</v>
      </c>
      <c r="E37" s="658">
        <f>E35</f>
        <v>-35001351.080000006</v>
      </c>
      <c r="F37" s="29" t="s">
        <v>409</v>
      </c>
      <c r="G37" s="263">
        <f t="shared" si="2"/>
        <v>27</v>
      </c>
    </row>
    <row r="38" spans="1:7" ht="17.25" thickTop="1" thickBot="1" x14ac:dyDescent="0.3">
      <c r="A38" s="300">
        <f>A37+1</f>
        <v>28</v>
      </c>
      <c r="B38" s="559"/>
      <c r="C38" s="660"/>
      <c r="D38" s="650"/>
      <c r="E38" s="651"/>
      <c r="F38" s="57"/>
      <c r="G38" s="301">
        <f>G37+1</f>
        <v>28</v>
      </c>
    </row>
    <row r="39" spans="1:7" hidden="1" x14ac:dyDescent="0.25">
      <c r="A39" s="10"/>
      <c r="B39" s="22"/>
      <c r="G39" s="10"/>
    </row>
    <row r="40" spans="1:7" ht="16.5" hidden="1" thickBot="1" x14ac:dyDescent="0.3">
      <c r="A40" s="57"/>
      <c r="B40" s="80"/>
      <c r="C40" s="80"/>
      <c r="D40" s="80"/>
      <c r="E40" s="602"/>
      <c r="F40" s="80"/>
      <c r="G40" s="57"/>
    </row>
    <row r="41" spans="1:7" x14ac:dyDescent="0.25">
      <c r="A41" s="37"/>
      <c r="B41" s="156"/>
      <c r="C41" s="652"/>
      <c r="D41" s="652"/>
      <c r="E41" s="37"/>
      <c r="F41" s="37"/>
      <c r="G41" s="37"/>
    </row>
    <row r="42" spans="1:7" x14ac:dyDescent="0.25">
      <c r="A42" s="37"/>
      <c r="B42" s="68"/>
      <c r="C42" s="90"/>
      <c r="D42" s="90"/>
      <c r="E42" s="90"/>
      <c r="F42" s="37"/>
      <c r="G42" s="37"/>
    </row>
    <row r="43" spans="1:7" x14ac:dyDescent="0.25">
      <c r="A43" s="37"/>
      <c r="C43" s="72"/>
      <c r="D43" s="72"/>
      <c r="E43" s="37"/>
      <c r="F43" s="37"/>
      <c r="G43" s="37"/>
    </row>
    <row r="44" spans="1:7" x14ac:dyDescent="0.25">
      <c r="A44" s="37"/>
      <c r="C44" s="28"/>
      <c r="D44" s="434"/>
      <c r="E44" s="37"/>
      <c r="F44" s="37"/>
      <c r="G44" s="37"/>
    </row>
    <row r="45" spans="1:7" x14ac:dyDescent="0.25">
      <c r="A45" s="37"/>
      <c r="C45" s="72"/>
      <c r="D45" s="90"/>
      <c r="E45" s="37"/>
      <c r="F45" s="37"/>
      <c r="G45" s="37"/>
    </row>
    <row r="46" spans="1:7" x14ac:dyDescent="0.25">
      <c r="A46" s="37"/>
      <c r="C46" s="434"/>
      <c r="D46" s="434"/>
      <c r="E46" s="37"/>
      <c r="F46" s="37"/>
      <c r="G46" s="37"/>
    </row>
    <row r="47" spans="1:7" x14ac:dyDescent="0.25">
      <c r="A47" s="37"/>
      <c r="B47" s="68"/>
      <c r="C47" s="37"/>
      <c r="D47" s="37"/>
      <c r="E47" s="37"/>
      <c r="F47" s="37"/>
      <c r="G47" s="37"/>
    </row>
    <row r="48" spans="1:7" x14ac:dyDescent="0.25">
      <c r="A48" s="37"/>
      <c r="B48" s="68"/>
      <c r="C48" s="37"/>
      <c r="D48" s="37"/>
      <c r="E48" s="37"/>
      <c r="F48" s="37"/>
      <c r="G48" s="37"/>
    </row>
    <row r="49" spans="1:7" x14ac:dyDescent="0.25">
      <c r="A49" s="37"/>
      <c r="C49" s="653"/>
      <c r="D49" s="653"/>
      <c r="E49" s="37"/>
      <c r="F49" s="37"/>
      <c r="G49" s="37"/>
    </row>
    <row r="50" spans="1:7" x14ac:dyDescent="0.25">
      <c r="A50" s="37"/>
      <c r="C50" s="654"/>
      <c r="D50" s="654"/>
      <c r="E50" s="37"/>
      <c r="F50" s="37"/>
      <c r="G50" s="37"/>
    </row>
    <row r="51" spans="1:7" x14ac:dyDescent="0.25">
      <c r="A51" s="37"/>
      <c r="C51" s="655"/>
      <c r="D51" s="655"/>
      <c r="E51" s="37"/>
      <c r="F51" s="37"/>
      <c r="G51" s="37"/>
    </row>
    <row r="52" spans="1:7" x14ac:dyDescent="0.25">
      <c r="A52" s="37"/>
      <c r="B52" s="68"/>
      <c r="C52" s="434"/>
      <c r="D52" s="434"/>
      <c r="E52" s="37"/>
      <c r="F52" s="37"/>
      <c r="G52" s="37"/>
    </row>
    <row r="53" spans="1:7" x14ac:dyDescent="0.25">
      <c r="A53" s="37"/>
      <c r="B53" s="68"/>
      <c r="C53" s="37"/>
      <c r="D53" s="37"/>
      <c r="E53" s="37"/>
      <c r="F53" s="37"/>
      <c r="G53" s="37"/>
    </row>
    <row r="54" spans="1:7" x14ac:dyDescent="0.25">
      <c r="A54" s="37"/>
      <c r="C54" s="653"/>
      <c r="D54" s="653"/>
      <c r="E54" s="37"/>
      <c r="F54" s="37"/>
      <c r="G54" s="37"/>
    </row>
    <row r="55" spans="1:7" x14ac:dyDescent="0.25">
      <c r="A55" s="37"/>
      <c r="C55" s="654"/>
      <c r="D55" s="654"/>
      <c r="E55" s="37"/>
      <c r="F55" s="37"/>
      <c r="G55" s="37"/>
    </row>
    <row r="56" spans="1:7" x14ac:dyDescent="0.25">
      <c r="A56" s="37"/>
      <c r="C56" s="655"/>
      <c r="D56" s="655"/>
      <c r="E56" s="37"/>
      <c r="F56" s="37"/>
      <c r="G56" s="37"/>
    </row>
    <row r="57" spans="1:7" x14ac:dyDescent="0.25">
      <c r="A57" s="37"/>
      <c r="B57" s="68"/>
      <c r="C57" s="434"/>
      <c r="D57" s="434"/>
      <c r="E57" s="37"/>
      <c r="F57" s="37"/>
      <c r="G57" s="37"/>
    </row>
    <row r="58" spans="1:7" x14ac:dyDescent="0.25">
      <c r="A58" s="37"/>
      <c r="B58" s="68"/>
      <c r="C58" s="434"/>
      <c r="D58" s="434"/>
      <c r="E58" s="37"/>
      <c r="F58" s="37"/>
      <c r="G58" s="37"/>
    </row>
    <row r="59" spans="1:7" x14ac:dyDescent="0.25">
      <c r="A59" s="37"/>
      <c r="B59" s="68"/>
      <c r="C59" s="656"/>
      <c r="D59" s="656"/>
      <c r="E59" s="37"/>
      <c r="F59" s="37"/>
      <c r="G59" s="37"/>
    </row>
    <row r="60" spans="1:7" x14ac:dyDescent="0.25">
      <c r="A60" s="37"/>
      <c r="E60" s="37"/>
      <c r="F60" s="37"/>
      <c r="G60" s="37"/>
    </row>
    <row r="61" spans="1:7" x14ac:dyDescent="0.25">
      <c r="A61" s="37"/>
      <c r="B61" s="22"/>
      <c r="G61" s="37"/>
    </row>
    <row r="62" spans="1:7" x14ac:dyDescent="0.25">
      <c r="A62" s="37"/>
      <c r="B62" s="22"/>
      <c r="E62" s="90"/>
      <c r="G62" s="37"/>
    </row>
    <row r="63" spans="1:7" x14ac:dyDescent="0.25">
      <c r="A63" s="37"/>
      <c r="B63" s="156"/>
      <c r="E63" s="37"/>
      <c r="F63" s="37"/>
      <c r="G63" s="37"/>
    </row>
    <row r="64" spans="1:7" x14ac:dyDescent="0.25">
      <c r="A64" s="37"/>
      <c r="D64" s="657"/>
      <c r="E64" s="37"/>
      <c r="F64" s="37"/>
      <c r="G64" s="37"/>
    </row>
    <row r="65" spans="1:7" x14ac:dyDescent="0.25">
      <c r="A65" s="37"/>
      <c r="B65" s="92"/>
      <c r="E65" s="90"/>
      <c r="F65" s="37"/>
      <c r="G65" s="37"/>
    </row>
    <row r="66" spans="1:7" x14ac:dyDescent="0.25">
      <c r="A66" s="37"/>
      <c r="B66" s="156"/>
      <c r="C66" s="652"/>
      <c r="D66" s="652"/>
      <c r="E66" s="37"/>
      <c r="F66" s="37"/>
      <c r="G66" s="37"/>
    </row>
    <row r="67" spans="1:7" x14ac:dyDescent="0.25">
      <c r="A67" s="37"/>
      <c r="B67" s="68"/>
      <c r="C67" s="90"/>
      <c r="D67" s="90"/>
      <c r="E67" s="37"/>
      <c r="F67" s="37"/>
      <c r="G67" s="37"/>
    </row>
    <row r="68" spans="1:7" x14ac:dyDescent="0.25">
      <c r="A68" s="37"/>
      <c r="C68" s="72"/>
      <c r="D68" s="72"/>
      <c r="E68" s="37"/>
      <c r="F68" s="37"/>
      <c r="G68" s="37"/>
    </row>
    <row r="69" spans="1:7" x14ac:dyDescent="0.25">
      <c r="A69" s="37"/>
      <c r="C69" s="28"/>
      <c r="D69" s="434"/>
      <c r="E69" s="37"/>
      <c r="F69" s="37"/>
      <c r="G69" s="37"/>
    </row>
    <row r="70" spans="1:7" x14ac:dyDescent="0.25">
      <c r="A70" s="37"/>
      <c r="C70" s="72"/>
      <c r="D70" s="90"/>
      <c r="E70" s="37"/>
      <c r="F70" s="37"/>
      <c r="G70" s="37"/>
    </row>
    <row r="71" spans="1:7" x14ac:dyDescent="0.25">
      <c r="A71" s="37"/>
      <c r="C71" s="434"/>
      <c r="D71" s="434"/>
      <c r="E71" s="37"/>
      <c r="F71" s="37"/>
      <c r="G71" s="37"/>
    </row>
    <row r="72" spans="1:7" x14ac:dyDescent="0.25">
      <c r="A72" s="37"/>
      <c r="B72" s="68"/>
      <c r="C72" s="37"/>
      <c r="D72" s="37"/>
      <c r="E72" s="37"/>
      <c r="F72" s="37"/>
      <c r="G72" s="37"/>
    </row>
    <row r="73" spans="1:7" x14ac:dyDescent="0.25">
      <c r="A73" s="37"/>
      <c r="B73" s="68"/>
      <c r="C73" s="37"/>
      <c r="D73" s="37"/>
      <c r="E73" s="37"/>
      <c r="F73" s="37"/>
      <c r="G73" s="37"/>
    </row>
    <row r="74" spans="1:7" x14ac:dyDescent="0.25">
      <c r="A74" s="37"/>
      <c r="C74" s="653"/>
      <c r="D74" s="653"/>
      <c r="E74" s="37"/>
      <c r="F74" s="37"/>
      <c r="G74" s="37"/>
    </row>
    <row r="75" spans="1:7" x14ac:dyDescent="0.25">
      <c r="A75" s="37"/>
      <c r="C75" s="654"/>
      <c r="D75" s="654"/>
      <c r="E75" s="37"/>
      <c r="F75" s="37"/>
      <c r="G75" s="37"/>
    </row>
    <row r="76" spans="1:7" x14ac:dyDescent="0.25">
      <c r="A76" s="37"/>
      <c r="C76" s="655"/>
      <c r="D76" s="655"/>
      <c r="E76" s="37"/>
      <c r="F76" s="37"/>
      <c r="G76" s="37"/>
    </row>
    <row r="77" spans="1:7" x14ac:dyDescent="0.25">
      <c r="A77" s="37"/>
      <c r="B77" s="68"/>
      <c r="C77" s="434"/>
      <c r="D77" s="434"/>
      <c r="E77" s="37"/>
      <c r="F77" s="37"/>
      <c r="G77" s="37"/>
    </row>
    <row r="78" spans="1:7" x14ac:dyDescent="0.25">
      <c r="A78" s="37"/>
      <c r="B78" s="68"/>
      <c r="C78" s="37"/>
      <c r="D78" s="37"/>
      <c r="E78" s="37"/>
      <c r="F78" s="37"/>
      <c r="G78" s="37"/>
    </row>
    <row r="79" spans="1:7" x14ac:dyDescent="0.25">
      <c r="A79" s="37"/>
      <c r="C79" s="653"/>
      <c r="D79" s="653"/>
      <c r="E79" s="37"/>
      <c r="F79" s="37"/>
      <c r="G79" s="37"/>
    </row>
    <row r="80" spans="1:7" x14ac:dyDescent="0.25">
      <c r="A80" s="37"/>
      <c r="C80" s="654"/>
      <c r="D80" s="654"/>
      <c r="E80" s="37"/>
      <c r="F80" s="37"/>
      <c r="G80" s="37"/>
    </row>
    <row r="81" spans="1:7" x14ac:dyDescent="0.25">
      <c r="A81" s="37"/>
      <c r="C81" s="655"/>
      <c r="D81" s="655"/>
      <c r="E81" s="37"/>
      <c r="F81" s="37"/>
      <c r="G81" s="37"/>
    </row>
    <row r="82" spans="1:7" x14ac:dyDescent="0.25">
      <c r="A82" s="37"/>
      <c r="B82" s="68"/>
      <c r="C82" s="434"/>
      <c r="D82" s="434"/>
      <c r="E82" s="37"/>
      <c r="F82" s="37"/>
      <c r="G82" s="37"/>
    </row>
    <row r="83" spans="1:7" x14ac:dyDescent="0.25">
      <c r="A83" s="37"/>
      <c r="B83" s="68"/>
      <c r="C83" s="434"/>
      <c r="D83" s="434"/>
      <c r="E83" s="37"/>
      <c r="F83" s="37"/>
      <c r="G83" s="37"/>
    </row>
    <row r="84" spans="1:7" x14ac:dyDescent="0.25">
      <c r="A84" s="37"/>
      <c r="B84" s="68"/>
      <c r="C84" s="656"/>
      <c r="D84" s="656"/>
      <c r="E84" s="37"/>
      <c r="F84" s="37"/>
      <c r="G84" s="37"/>
    </row>
    <row r="85" spans="1:7" x14ac:dyDescent="0.25">
      <c r="A85" s="37"/>
      <c r="E85" s="37"/>
      <c r="F85" s="37"/>
      <c r="G85" s="37"/>
    </row>
  </sheetData>
  <mergeCells count="1">
    <mergeCell ref="A3:G3"/>
  </mergeCells>
  <phoneticPr fontId="15" type="noConversion"/>
  <printOptions horizontalCentered="1"/>
  <pageMargins left="0.5" right="0.5" top="0.5" bottom="0.5" header="0.25" footer="0.25"/>
  <pageSetup scale="86" orientation="landscape" r:id="rId1"/>
  <headerFooter alignWithMargins="0">
    <oddFooter>&amp;L&amp;"Times New Roman,Regular"&amp;12&amp;F&amp;C&amp;"Times New Roman,Regular"&amp;12Page 7.1&amp;R&amp;"Times New Roman,Regular"&amp;12&amp;A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G43"/>
  <sheetViews>
    <sheetView zoomScale="80" zoomScaleNormal="80" workbookViewId="0"/>
  </sheetViews>
  <sheetFormatPr defaultColWidth="9.42578125" defaultRowHeight="15.75" x14ac:dyDescent="0.25"/>
  <cols>
    <col min="1" max="1" width="5.5703125" style="107" customWidth="1"/>
    <col min="2" max="2" width="55.28515625" style="111" customWidth="1"/>
    <col min="3" max="3" width="25.5703125" style="112" customWidth="1"/>
    <col min="4" max="4" width="46.7109375" style="107" customWidth="1"/>
    <col min="5" max="5" width="5.5703125" style="107" customWidth="1"/>
    <col min="6" max="6" width="2.42578125" style="107" bestFit="1" customWidth="1"/>
    <col min="7" max="16384" width="9.42578125" style="107"/>
  </cols>
  <sheetData>
    <row r="2" spans="1:7" ht="15.75" customHeight="1" x14ac:dyDescent="0.25">
      <c r="A2" s="976" t="s">
        <v>1</v>
      </c>
      <c r="B2" s="976"/>
      <c r="C2" s="976"/>
      <c r="D2" s="976"/>
      <c r="E2" s="976"/>
      <c r="F2" s="661"/>
      <c r="G2" s="661"/>
    </row>
    <row r="3" spans="1:7" ht="15.75" customHeight="1" x14ac:dyDescent="0.25">
      <c r="A3" s="976" t="str">
        <f>'WP 7 Wheeling Revenues'!A3:G3</f>
        <v>2025 - TRBAA Rate Filing</v>
      </c>
      <c r="B3" s="976"/>
      <c r="C3" s="976"/>
      <c r="D3" s="976"/>
      <c r="E3" s="976"/>
      <c r="F3" s="662"/>
      <c r="G3" s="662"/>
    </row>
    <row r="4" spans="1:7" ht="15.75" customHeight="1" x14ac:dyDescent="0.25">
      <c r="A4" s="976" t="s">
        <v>410</v>
      </c>
      <c r="B4" s="976"/>
      <c r="C4" s="976"/>
      <c r="D4" s="976"/>
      <c r="E4" s="976"/>
      <c r="F4" s="661"/>
      <c r="G4" s="661"/>
    </row>
    <row r="5" spans="1:7" ht="16.5" customHeight="1" thickBot="1" x14ac:dyDescent="0.3">
      <c r="A5" s="338"/>
      <c r="B5" s="663"/>
      <c r="C5" s="664"/>
      <c r="D5" s="664"/>
      <c r="E5" s="338"/>
    </row>
    <row r="6" spans="1:7" ht="48" thickBot="1" x14ac:dyDescent="0.3">
      <c r="A6" s="665" t="s">
        <v>69</v>
      </c>
      <c r="B6" s="337" t="s">
        <v>402</v>
      </c>
      <c r="C6" s="666" t="s">
        <v>411</v>
      </c>
      <c r="D6" s="591" t="s">
        <v>16</v>
      </c>
      <c r="E6" s="667" t="s">
        <v>69</v>
      </c>
    </row>
    <row r="7" spans="1:7" x14ac:dyDescent="0.25">
      <c r="A7" s="668"/>
      <c r="B7" s="790"/>
      <c r="C7" s="669"/>
      <c r="D7" s="10"/>
      <c r="E7" s="670"/>
    </row>
    <row r="8" spans="1:7" x14ac:dyDescent="0.25">
      <c r="A8" s="334">
        <v>1</v>
      </c>
      <c r="B8" s="108">
        <f>'WP 7 Wheeling Revenues'!B11</f>
        <v>45200</v>
      </c>
      <c r="C8" s="19">
        <f>'WP 5 CAISO Charges'!C13</f>
        <v>1500</v>
      </c>
      <c r="D8" s="23" t="s">
        <v>412</v>
      </c>
      <c r="E8" s="335">
        <v>1</v>
      </c>
      <c r="F8" s="786"/>
    </row>
    <row r="9" spans="1:7" x14ac:dyDescent="0.25">
      <c r="A9" s="334">
        <f>A8+1</f>
        <v>2</v>
      </c>
      <c r="B9" s="108"/>
      <c r="C9" s="19"/>
      <c r="D9" s="10"/>
      <c r="E9" s="335">
        <f>A9</f>
        <v>2</v>
      </c>
      <c r="F9" s="786"/>
    </row>
    <row r="10" spans="1:7" x14ac:dyDescent="0.25">
      <c r="A10" s="334">
        <f t="shared" ref="A10:A35" si="0">A9+1</f>
        <v>3</v>
      </c>
      <c r="B10" s="108">
        <f>'WP 7 Wheeling Revenues'!B13</f>
        <v>45231</v>
      </c>
      <c r="C10" s="31">
        <f>'WP 5 CAISO Charges'!D13</f>
        <v>1500</v>
      </c>
      <c r="D10" s="23" t="str">
        <f>D8</f>
        <v>Work paper No. 5; Page 5.1 and 5.2; Line 7</v>
      </c>
      <c r="E10" s="335">
        <f t="shared" ref="E10:E34" si="1">A10</f>
        <v>3</v>
      </c>
    </row>
    <row r="11" spans="1:7" x14ac:dyDescent="0.25">
      <c r="A11" s="334">
        <f t="shared" si="0"/>
        <v>4</v>
      </c>
      <c r="B11" s="108"/>
      <c r="C11" s="31"/>
      <c r="D11" s="10"/>
      <c r="E11" s="335">
        <f t="shared" si="1"/>
        <v>4</v>
      </c>
    </row>
    <row r="12" spans="1:7" ht="16.5" thickBot="1" x14ac:dyDescent="0.3">
      <c r="A12" s="336">
        <f t="shared" si="0"/>
        <v>5</v>
      </c>
      <c r="B12" s="109">
        <f>'WP 7 Wheeling Revenues'!B15</f>
        <v>45261</v>
      </c>
      <c r="C12" s="58">
        <f>'WP 5 CAISO Charges'!E13</f>
        <v>1500</v>
      </c>
      <c r="D12" s="649" t="str">
        <f>D8</f>
        <v>Work paper No. 5; Page 5.1 and 5.2; Line 7</v>
      </c>
      <c r="E12" s="339">
        <f t="shared" si="1"/>
        <v>5</v>
      </c>
    </row>
    <row r="13" spans="1:7" x14ac:dyDescent="0.25">
      <c r="A13" s="334">
        <f t="shared" si="0"/>
        <v>6</v>
      </c>
      <c r="B13" s="108"/>
      <c r="C13" s="31"/>
      <c r="D13" s="23"/>
      <c r="E13" s="335">
        <f t="shared" si="1"/>
        <v>6</v>
      </c>
    </row>
    <row r="14" spans="1:7" x14ac:dyDescent="0.25">
      <c r="A14" s="334">
        <f t="shared" si="0"/>
        <v>7</v>
      </c>
      <c r="B14" s="108">
        <f>'WP 7 Wheeling Revenues'!B17</f>
        <v>45292</v>
      </c>
      <c r="C14" s="31">
        <f>'WP 5 CAISO Charges'!F13</f>
        <v>1500</v>
      </c>
      <c r="D14" s="23" t="str">
        <f>D8</f>
        <v>Work paper No. 5; Page 5.1 and 5.2; Line 7</v>
      </c>
      <c r="E14" s="335">
        <f t="shared" si="1"/>
        <v>7</v>
      </c>
    </row>
    <row r="15" spans="1:7" x14ac:dyDescent="0.25">
      <c r="A15" s="334">
        <f t="shared" si="0"/>
        <v>8</v>
      </c>
      <c r="B15" s="108"/>
      <c r="C15" s="31"/>
      <c r="D15" s="10"/>
      <c r="E15" s="335">
        <f t="shared" si="1"/>
        <v>8</v>
      </c>
    </row>
    <row r="16" spans="1:7" x14ac:dyDescent="0.25">
      <c r="A16" s="334">
        <f t="shared" si="0"/>
        <v>9</v>
      </c>
      <c r="B16" s="108">
        <f>'WP 7 Wheeling Revenues'!B19</f>
        <v>45323</v>
      </c>
      <c r="C16" s="31">
        <f>'WP 5 CAISO Charges'!G13</f>
        <v>1500</v>
      </c>
      <c r="D16" s="23" t="str">
        <f>D8</f>
        <v>Work paper No. 5; Page 5.1 and 5.2; Line 7</v>
      </c>
      <c r="E16" s="335">
        <f t="shared" si="1"/>
        <v>9</v>
      </c>
    </row>
    <row r="17" spans="1:5" x14ac:dyDescent="0.25">
      <c r="A17" s="334">
        <f t="shared" si="0"/>
        <v>10</v>
      </c>
      <c r="B17" s="108"/>
      <c r="C17" s="31"/>
      <c r="D17" s="10"/>
      <c r="E17" s="335">
        <f t="shared" si="1"/>
        <v>10</v>
      </c>
    </row>
    <row r="18" spans="1:5" ht="16.5" thickBot="1" x14ac:dyDescent="0.3">
      <c r="A18" s="336">
        <f t="shared" si="0"/>
        <v>11</v>
      </c>
      <c r="B18" s="109">
        <f>'WP 7 Wheeling Revenues'!B21</f>
        <v>45352</v>
      </c>
      <c r="C18" s="58">
        <f>'WP 5 CAISO Charges'!H13</f>
        <v>1500</v>
      </c>
      <c r="D18" s="649" t="str">
        <f>D8</f>
        <v>Work paper No. 5; Page 5.1 and 5.2; Line 7</v>
      </c>
      <c r="E18" s="339">
        <f t="shared" si="1"/>
        <v>11</v>
      </c>
    </row>
    <row r="19" spans="1:5" x14ac:dyDescent="0.25">
      <c r="A19" s="334">
        <f t="shared" si="0"/>
        <v>12</v>
      </c>
      <c r="B19" s="108"/>
      <c r="C19" s="31"/>
      <c r="D19" s="10"/>
      <c r="E19" s="335">
        <f t="shared" si="1"/>
        <v>12</v>
      </c>
    </row>
    <row r="20" spans="1:5" x14ac:dyDescent="0.25">
      <c r="A20" s="334">
        <f t="shared" si="0"/>
        <v>13</v>
      </c>
      <c r="B20" s="108">
        <f>'WP 7 Wheeling Revenues'!B23</f>
        <v>45383</v>
      </c>
      <c r="C20" s="31">
        <f>'WP 5 CAISO Charges'!I13</f>
        <v>1500</v>
      </c>
      <c r="D20" s="23" t="str">
        <f>D8</f>
        <v>Work paper No. 5; Page 5.1 and 5.2; Line 7</v>
      </c>
      <c r="E20" s="335">
        <f t="shared" si="1"/>
        <v>13</v>
      </c>
    </row>
    <row r="21" spans="1:5" x14ac:dyDescent="0.25">
      <c r="A21" s="334">
        <f t="shared" si="0"/>
        <v>14</v>
      </c>
      <c r="B21" s="108"/>
      <c r="C21" s="31"/>
      <c r="D21" s="10"/>
      <c r="E21" s="335">
        <f t="shared" si="1"/>
        <v>14</v>
      </c>
    </row>
    <row r="22" spans="1:5" x14ac:dyDescent="0.25">
      <c r="A22" s="334">
        <f t="shared" si="0"/>
        <v>15</v>
      </c>
      <c r="B22" s="108">
        <f>'WP 7 Wheeling Revenues'!B25</f>
        <v>45413</v>
      </c>
      <c r="C22" s="31">
        <f>'WP 5 CAISO Charges'!J13</f>
        <v>1500</v>
      </c>
      <c r="D22" s="23" t="str">
        <f>D8</f>
        <v>Work paper No. 5; Page 5.1 and 5.2; Line 7</v>
      </c>
      <c r="E22" s="335">
        <f t="shared" si="1"/>
        <v>15</v>
      </c>
    </row>
    <row r="23" spans="1:5" x14ac:dyDescent="0.25">
      <c r="A23" s="334">
        <f t="shared" si="0"/>
        <v>16</v>
      </c>
      <c r="B23" s="108"/>
      <c r="C23" s="31"/>
      <c r="D23" s="10"/>
      <c r="E23" s="335">
        <f t="shared" si="1"/>
        <v>16</v>
      </c>
    </row>
    <row r="24" spans="1:5" ht="16.5" thickBot="1" x14ac:dyDescent="0.3">
      <c r="A24" s="336">
        <f t="shared" si="0"/>
        <v>17</v>
      </c>
      <c r="B24" s="109">
        <f>'WP 7 Wheeling Revenues'!B27</f>
        <v>45444</v>
      </c>
      <c r="C24" s="58">
        <f>'WP 5 CAISO Charges'!K13</f>
        <v>1500</v>
      </c>
      <c r="D24" s="649" t="str">
        <f>D8</f>
        <v>Work paper No. 5; Page 5.1 and 5.2; Line 7</v>
      </c>
      <c r="E24" s="339">
        <f t="shared" si="1"/>
        <v>17</v>
      </c>
    </row>
    <row r="25" spans="1:5" x14ac:dyDescent="0.25">
      <c r="A25" s="334">
        <f t="shared" si="0"/>
        <v>18</v>
      </c>
      <c r="B25" s="108"/>
      <c r="C25" s="31"/>
      <c r="D25" s="10"/>
      <c r="E25" s="335">
        <f t="shared" si="1"/>
        <v>18</v>
      </c>
    </row>
    <row r="26" spans="1:5" x14ac:dyDescent="0.25">
      <c r="A26" s="334">
        <f t="shared" si="0"/>
        <v>19</v>
      </c>
      <c r="B26" s="108">
        <f>'WP 7 Wheeling Revenues'!B29</f>
        <v>45474</v>
      </c>
      <c r="C26" s="31">
        <f>'WP 5 CAISO Charges'!L13</f>
        <v>1500</v>
      </c>
      <c r="D26" s="23" t="str">
        <f>D8</f>
        <v>Work paper No. 5; Page 5.1 and 5.2; Line 7</v>
      </c>
      <c r="E26" s="335">
        <f t="shared" si="1"/>
        <v>19</v>
      </c>
    </row>
    <row r="27" spans="1:5" x14ac:dyDescent="0.25">
      <c r="A27" s="334">
        <f t="shared" si="0"/>
        <v>20</v>
      </c>
      <c r="B27" s="108"/>
      <c r="C27" s="31"/>
      <c r="D27" s="10"/>
      <c r="E27" s="335">
        <f t="shared" si="1"/>
        <v>20</v>
      </c>
    </row>
    <row r="28" spans="1:5" x14ac:dyDescent="0.25">
      <c r="A28" s="334">
        <f t="shared" si="0"/>
        <v>21</v>
      </c>
      <c r="B28" s="108">
        <f>'WP 7 Wheeling Revenues'!B31</f>
        <v>45505</v>
      </c>
      <c r="C28" s="31">
        <f>'WP 5 CAISO Charges'!M13</f>
        <v>750</v>
      </c>
      <c r="D28" s="23" t="str">
        <f>D8</f>
        <v>Work paper No. 5; Page 5.1 and 5.2; Line 7</v>
      </c>
      <c r="E28" s="335">
        <f t="shared" si="1"/>
        <v>21</v>
      </c>
    </row>
    <row r="29" spans="1:5" x14ac:dyDescent="0.25">
      <c r="A29" s="334">
        <f t="shared" si="0"/>
        <v>22</v>
      </c>
      <c r="B29" s="108"/>
      <c r="C29" s="31"/>
      <c r="D29" s="10"/>
      <c r="E29" s="335">
        <f t="shared" si="1"/>
        <v>22</v>
      </c>
    </row>
    <row r="30" spans="1:5" ht="16.5" thickBot="1" x14ac:dyDescent="0.3">
      <c r="A30" s="336">
        <f t="shared" si="0"/>
        <v>23</v>
      </c>
      <c r="B30" s="109">
        <f>'WP 7 Wheeling Revenues'!B33</f>
        <v>45536</v>
      </c>
      <c r="C30" s="82">
        <f>'WP 5 CAISO Charges'!N13</f>
        <v>2250</v>
      </c>
      <c r="D30" s="649" t="str">
        <f>D8</f>
        <v>Work paper No. 5; Page 5.1 and 5.2; Line 7</v>
      </c>
      <c r="E30" s="339">
        <f t="shared" si="1"/>
        <v>23</v>
      </c>
    </row>
    <row r="31" spans="1:5" x14ac:dyDescent="0.25">
      <c r="A31" s="334">
        <f t="shared" si="0"/>
        <v>24</v>
      </c>
      <c r="B31" s="108"/>
      <c r="C31" s="44"/>
      <c r="D31" s="23"/>
      <c r="E31" s="335">
        <f t="shared" si="1"/>
        <v>24</v>
      </c>
    </row>
    <row r="32" spans="1:5" ht="16.5" thickBot="1" x14ac:dyDescent="0.3">
      <c r="A32" s="334">
        <f t="shared" si="0"/>
        <v>25</v>
      </c>
      <c r="B32" s="132" t="s">
        <v>406</v>
      </c>
      <c r="C32" s="73">
        <f>SUM(C8:C30)</f>
        <v>18000</v>
      </c>
      <c r="D32" s="29" t="s">
        <v>407</v>
      </c>
      <c r="E32" s="335">
        <f t="shared" si="1"/>
        <v>25</v>
      </c>
    </row>
    <row r="33" spans="1:5" ht="16.5" thickTop="1" x14ac:dyDescent="0.25">
      <c r="A33" s="334">
        <f t="shared" si="0"/>
        <v>26</v>
      </c>
      <c r="B33" s="84"/>
      <c r="C33" s="161"/>
      <c r="E33" s="335">
        <f t="shared" si="1"/>
        <v>26</v>
      </c>
    </row>
    <row r="34" spans="1:5" ht="33.75" thickBot="1" x14ac:dyDescent="0.3">
      <c r="A34" s="671">
        <f t="shared" si="0"/>
        <v>27</v>
      </c>
      <c r="B34" s="672" t="s">
        <v>413</v>
      </c>
      <c r="C34" s="674">
        <f>C32</f>
        <v>18000</v>
      </c>
      <c r="D34" s="29" t="s">
        <v>409</v>
      </c>
      <c r="E34" s="673">
        <f t="shared" si="1"/>
        <v>27</v>
      </c>
    </row>
    <row r="35" spans="1:5" ht="17.25" thickTop="1" thickBot="1" x14ac:dyDescent="0.3">
      <c r="A35" s="336">
        <f t="shared" si="0"/>
        <v>28</v>
      </c>
      <c r="B35" s="362"/>
      <c r="C35" s="787"/>
      <c r="D35" s="248"/>
      <c r="E35" s="339">
        <f t="shared" ref="E35" si="2">E34+1</f>
        <v>28</v>
      </c>
    </row>
    <row r="36" spans="1:5" x14ac:dyDescent="0.25">
      <c r="B36" s="333"/>
      <c r="C36" s="72"/>
      <c r="D36" s="72"/>
    </row>
    <row r="37" spans="1:5" ht="21.75" x14ac:dyDescent="0.3">
      <c r="A37" s="164" t="s">
        <v>414</v>
      </c>
      <c r="B37" s="302" t="s">
        <v>415</v>
      </c>
      <c r="C37" s="107"/>
    </row>
    <row r="38" spans="1:5" x14ac:dyDescent="0.25">
      <c r="A38" s="37"/>
      <c r="B38" s="302" t="s">
        <v>416</v>
      </c>
      <c r="C38" s="129"/>
      <c r="D38" s="129"/>
    </row>
    <row r="39" spans="1:5" x14ac:dyDescent="0.25">
      <c r="A39" s="1"/>
      <c r="B39" s="302" t="s">
        <v>417</v>
      </c>
      <c r="C39" s="129"/>
      <c r="D39" s="129"/>
    </row>
    <row r="40" spans="1:5" x14ac:dyDescent="0.25">
      <c r="B40" s="129"/>
      <c r="C40" s="130"/>
      <c r="D40" s="129"/>
    </row>
    <row r="41" spans="1:5" x14ac:dyDescent="0.25">
      <c r="B41" s="129"/>
      <c r="C41" s="130"/>
      <c r="D41" s="129"/>
    </row>
    <row r="42" spans="1:5" x14ac:dyDescent="0.25">
      <c r="B42" s="129"/>
      <c r="C42" s="130"/>
      <c r="D42" s="129"/>
    </row>
    <row r="43" spans="1:5" x14ac:dyDescent="0.25">
      <c r="B43" s="131"/>
      <c r="C43" s="113"/>
      <c r="D43" s="113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7" orientation="landscape" r:id="rId1"/>
  <headerFooter scaleWithDoc="0" alignWithMargins="0">
    <oddFooter>&amp;L&amp;"Times New Roman,Regular"&amp;9&amp;F&amp;C&amp;"Times New Roman,Regular"&amp;9Page 8.1&amp;R&amp;"Times New Roman,Regular"&amp;9&amp;A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1F82-ACDE-4E3C-B78C-2E7BFB04A471}">
  <sheetPr>
    <pageSetUpPr fitToPage="1"/>
  </sheetPr>
  <dimension ref="A2:F43"/>
  <sheetViews>
    <sheetView zoomScale="80" zoomScaleNormal="80" workbookViewId="0"/>
  </sheetViews>
  <sheetFormatPr defaultColWidth="9.42578125" defaultRowHeight="15.75" x14ac:dyDescent="0.25"/>
  <cols>
    <col min="1" max="1" width="5.42578125" style="107" bestFit="1" customWidth="1"/>
    <col min="2" max="2" width="65.5703125" style="131" customWidth="1"/>
    <col min="3" max="3" width="22" style="107" bestFit="1" customWidth="1"/>
    <col min="4" max="4" width="48.42578125" style="107" customWidth="1"/>
    <col min="5" max="5" width="5.42578125" style="107" bestFit="1" customWidth="1"/>
    <col min="6" max="6" width="2.42578125" style="107" bestFit="1" customWidth="1"/>
    <col min="7" max="16384" width="9.42578125" style="107"/>
  </cols>
  <sheetData>
    <row r="2" spans="1:6" x14ac:dyDescent="0.25">
      <c r="A2" s="976" t="s">
        <v>1</v>
      </c>
      <c r="B2" s="976"/>
      <c r="C2" s="976"/>
      <c r="D2" s="976"/>
      <c r="E2" s="976"/>
    </row>
    <row r="3" spans="1:6" x14ac:dyDescent="0.25">
      <c r="A3" s="976" t="str">
        <f>'WP 7 Wheeling Revenues'!A3:G3</f>
        <v>2025 - TRBAA Rate Filing</v>
      </c>
      <c r="B3" s="976"/>
      <c r="C3" s="976"/>
      <c r="D3" s="976"/>
      <c r="E3" s="976"/>
    </row>
    <row r="4" spans="1:6" x14ac:dyDescent="0.25">
      <c r="A4" s="976" t="s">
        <v>418</v>
      </c>
      <c r="B4" s="976"/>
      <c r="C4" s="976"/>
      <c r="D4" s="976"/>
      <c r="E4" s="976"/>
    </row>
    <row r="5" spans="1:6" ht="16.5" thickBot="1" x14ac:dyDescent="0.3">
      <c r="A5" s="338"/>
      <c r="B5" s="663"/>
      <c r="C5" s="664"/>
      <c r="D5" s="664"/>
      <c r="E5" s="338"/>
    </row>
    <row r="6" spans="1:6" ht="52.5" customHeight="1" thickBot="1" x14ac:dyDescent="0.3">
      <c r="A6" s="665" t="s">
        <v>69</v>
      </c>
      <c r="B6" s="337" t="s">
        <v>402</v>
      </c>
      <c r="C6" s="675" t="s">
        <v>419</v>
      </c>
      <c r="D6" s="591" t="s">
        <v>16</v>
      </c>
      <c r="E6" s="667" t="s">
        <v>69</v>
      </c>
    </row>
    <row r="7" spans="1:6" x14ac:dyDescent="0.25">
      <c r="A7" s="676"/>
      <c r="B7" s="789"/>
      <c r="C7" s="430"/>
      <c r="D7" s="430"/>
      <c r="E7" s="677"/>
    </row>
    <row r="8" spans="1:6" x14ac:dyDescent="0.25">
      <c r="A8" s="334">
        <v>1</v>
      </c>
      <c r="B8" s="108">
        <f>'WP 7 Wheeling Revenues'!B11</f>
        <v>45200</v>
      </c>
      <c r="C8" s="19">
        <f>'WP 5 CAISO Charges'!C16</f>
        <v>-49870.430000000008</v>
      </c>
      <c r="D8" s="23" t="s">
        <v>420</v>
      </c>
      <c r="E8" s="335">
        <f>A8</f>
        <v>1</v>
      </c>
      <c r="F8" s="786"/>
    </row>
    <row r="9" spans="1:6" x14ac:dyDescent="0.25">
      <c r="A9" s="334">
        <f>A8+1</f>
        <v>2</v>
      </c>
      <c r="B9" s="108"/>
      <c r="C9" s="19"/>
      <c r="D9" s="10"/>
      <c r="E9" s="335">
        <f t="shared" ref="E9:E34" si="0">A9</f>
        <v>2</v>
      </c>
      <c r="F9" s="786"/>
    </row>
    <row r="10" spans="1:6" x14ac:dyDescent="0.25">
      <c r="A10" s="334">
        <f t="shared" ref="A10:A35" si="1">A9+1</f>
        <v>3</v>
      </c>
      <c r="B10" s="108">
        <f>'WP 7 Wheeling Revenues'!B13</f>
        <v>45231</v>
      </c>
      <c r="C10" s="31">
        <f>'WP 5 CAISO Charges'!D16</f>
        <v>-195533.86000000007</v>
      </c>
      <c r="D10" s="23" t="str">
        <f>D8</f>
        <v>Work paper No. 5; Page 5.1 and 5.2; Line 10</v>
      </c>
      <c r="E10" s="335">
        <f t="shared" si="0"/>
        <v>3</v>
      </c>
    </row>
    <row r="11" spans="1:6" x14ac:dyDescent="0.25">
      <c r="A11" s="334">
        <f t="shared" si="1"/>
        <v>4</v>
      </c>
      <c r="B11" s="108"/>
      <c r="C11" s="31"/>
      <c r="D11" s="10"/>
      <c r="E11" s="335">
        <f t="shared" si="0"/>
        <v>4</v>
      </c>
    </row>
    <row r="12" spans="1:6" ht="16.5" thickBot="1" x14ac:dyDescent="0.3">
      <c r="A12" s="336">
        <f t="shared" si="1"/>
        <v>5</v>
      </c>
      <c r="B12" s="109">
        <f>'WP 7 Wheeling Revenues'!B15</f>
        <v>45261</v>
      </c>
      <c r="C12" s="58">
        <f>'WP 5 CAISO Charges'!E16</f>
        <v>-48369.76999999999</v>
      </c>
      <c r="D12" s="649" t="str">
        <f>D8</f>
        <v>Work paper No. 5; Page 5.1 and 5.2; Line 10</v>
      </c>
      <c r="E12" s="339">
        <f t="shared" si="0"/>
        <v>5</v>
      </c>
    </row>
    <row r="13" spans="1:6" x14ac:dyDescent="0.25">
      <c r="A13" s="334">
        <f t="shared" si="1"/>
        <v>6</v>
      </c>
      <c r="B13" s="108"/>
      <c r="C13" s="31"/>
      <c r="D13" s="23"/>
      <c r="E13" s="335">
        <f t="shared" si="0"/>
        <v>6</v>
      </c>
    </row>
    <row r="14" spans="1:6" x14ac:dyDescent="0.25">
      <c r="A14" s="334">
        <f t="shared" si="1"/>
        <v>7</v>
      </c>
      <c r="B14" s="108">
        <f>'WP 7 Wheeling Revenues'!B17</f>
        <v>45292</v>
      </c>
      <c r="C14" s="31">
        <f>'WP 5 CAISO Charges'!F16</f>
        <v>-58168.59</v>
      </c>
      <c r="D14" s="23" t="str">
        <f>D8</f>
        <v>Work paper No. 5; Page 5.1 and 5.2; Line 10</v>
      </c>
      <c r="E14" s="335">
        <f t="shared" si="0"/>
        <v>7</v>
      </c>
    </row>
    <row r="15" spans="1:6" x14ac:dyDescent="0.25">
      <c r="A15" s="334">
        <f t="shared" si="1"/>
        <v>8</v>
      </c>
      <c r="B15" s="108"/>
      <c r="C15" s="31"/>
      <c r="D15" s="10"/>
      <c r="E15" s="335">
        <f t="shared" si="0"/>
        <v>8</v>
      </c>
    </row>
    <row r="16" spans="1:6" x14ac:dyDescent="0.25">
      <c r="A16" s="334">
        <f t="shared" si="1"/>
        <v>9</v>
      </c>
      <c r="B16" s="108">
        <f>'WP 7 Wheeling Revenues'!B19</f>
        <v>45323</v>
      </c>
      <c r="C16" s="31">
        <f>'WP 5 CAISO Charges'!G16</f>
        <v>-55169.139999999992</v>
      </c>
      <c r="D16" s="23" t="str">
        <f>D8</f>
        <v>Work paper No. 5; Page 5.1 and 5.2; Line 10</v>
      </c>
      <c r="E16" s="335">
        <f t="shared" si="0"/>
        <v>9</v>
      </c>
    </row>
    <row r="17" spans="1:5" x14ac:dyDescent="0.25">
      <c r="A17" s="334">
        <f t="shared" si="1"/>
        <v>10</v>
      </c>
      <c r="B17" s="108"/>
      <c r="C17" s="31"/>
      <c r="D17" s="10"/>
      <c r="E17" s="335">
        <f t="shared" si="0"/>
        <v>10</v>
      </c>
    </row>
    <row r="18" spans="1:5" ht="16.5" thickBot="1" x14ac:dyDescent="0.3">
      <c r="A18" s="336">
        <f t="shared" si="1"/>
        <v>11</v>
      </c>
      <c r="B18" s="109">
        <f>'WP 7 Wheeling Revenues'!B21</f>
        <v>45352</v>
      </c>
      <c r="C18" s="58">
        <f>'WP 5 CAISO Charges'!H16</f>
        <v>22315.189999999991</v>
      </c>
      <c r="D18" s="649" t="str">
        <f>D8</f>
        <v>Work paper No. 5; Page 5.1 and 5.2; Line 10</v>
      </c>
      <c r="E18" s="339">
        <f t="shared" si="0"/>
        <v>11</v>
      </c>
    </row>
    <row r="19" spans="1:5" x14ac:dyDescent="0.25">
      <c r="A19" s="334">
        <f t="shared" si="1"/>
        <v>12</v>
      </c>
      <c r="B19" s="108"/>
      <c r="C19" s="31"/>
      <c r="D19" s="10"/>
      <c r="E19" s="335">
        <f t="shared" si="0"/>
        <v>12</v>
      </c>
    </row>
    <row r="20" spans="1:5" x14ac:dyDescent="0.25">
      <c r="A20" s="334">
        <f t="shared" si="1"/>
        <v>13</v>
      </c>
      <c r="B20" s="108">
        <f>'WP 7 Wheeling Revenues'!B23</f>
        <v>45383</v>
      </c>
      <c r="C20" s="31">
        <f>'WP 5 CAISO Charges'!I16</f>
        <v>23102.301760000002</v>
      </c>
      <c r="D20" s="23" t="str">
        <f>D8</f>
        <v>Work paper No. 5; Page 5.1 and 5.2; Line 10</v>
      </c>
      <c r="E20" s="335">
        <f t="shared" si="0"/>
        <v>13</v>
      </c>
    </row>
    <row r="21" spans="1:5" x14ac:dyDescent="0.25">
      <c r="A21" s="334">
        <f t="shared" si="1"/>
        <v>14</v>
      </c>
      <c r="B21" s="108"/>
      <c r="C21" s="31"/>
      <c r="D21" s="10"/>
      <c r="E21" s="335">
        <f t="shared" si="0"/>
        <v>14</v>
      </c>
    </row>
    <row r="22" spans="1:5" x14ac:dyDescent="0.25">
      <c r="A22" s="334">
        <f t="shared" si="1"/>
        <v>15</v>
      </c>
      <c r="B22" s="108">
        <f>'WP 7 Wheeling Revenues'!B25</f>
        <v>45413</v>
      </c>
      <c r="C22" s="31">
        <f>'WP 5 CAISO Charges'!J16</f>
        <v>20153.409120000008</v>
      </c>
      <c r="D22" s="23" t="str">
        <f>D8</f>
        <v>Work paper No. 5; Page 5.1 and 5.2; Line 10</v>
      </c>
      <c r="E22" s="335">
        <f t="shared" si="0"/>
        <v>15</v>
      </c>
    </row>
    <row r="23" spans="1:5" x14ac:dyDescent="0.25">
      <c r="A23" s="334">
        <f t="shared" si="1"/>
        <v>16</v>
      </c>
      <c r="B23" s="108"/>
      <c r="C23" s="31"/>
      <c r="D23" s="10"/>
      <c r="E23" s="335">
        <f t="shared" si="0"/>
        <v>16</v>
      </c>
    </row>
    <row r="24" spans="1:5" ht="16.5" thickBot="1" x14ac:dyDescent="0.3">
      <c r="A24" s="336">
        <f t="shared" si="1"/>
        <v>17</v>
      </c>
      <c r="B24" s="109">
        <f>'WP 7 Wheeling Revenues'!B27</f>
        <v>45444</v>
      </c>
      <c r="C24" s="58">
        <f>'WP 5 CAISO Charges'!K16</f>
        <v>55969.450000000004</v>
      </c>
      <c r="D24" s="649" t="str">
        <f>D8</f>
        <v>Work paper No. 5; Page 5.1 and 5.2; Line 10</v>
      </c>
      <c r="E24" s="339">
        <f t="shared" si="0"/>
        <v>17</v>
      </c>
    </row>
    <row r="25" spans="1:5" x14ac:dyDescent="0.25">
      <c r="A25" s="334">
        <f t="shared" si="1"/>
        <v>18</v>
      </c>
      <c r="B25" s="108"/>
      <c r="C25" s="31"/>
      <c r="D25" s="10"/>
      <c r="E25" s="335">
        <f t="shared" si="0"/>
        <v>18</v>
      </c>
    </row>
    <row r="26" spans="1:5" x14ac:dyDescent="0.25">
      <c r="A26" s="334">
        <f t="shared" si="1"/>
        <v>19</v>
      </c>
      <c r="B26" s="108">
        <f>'WP 7 Wheeling Revenues'!B29</f>
        <v>45474</v>
      </c>
      <c r="C26" s="31">
        <f>'WP 5 CAISO Charges'!L16</f>
        <v>-19240.010000000009</v>
      </c>
      <c r="D26" s="23" t="str">
        <f>D8</f>
        <v>Work paper No. 5; Page 5.1 and 5.2; Line 10</v>
      </c>
      <c r="E26" s="335">
        <f t="shared" si="0"/>
        <v>19</v>
      </c>
    </row>
    <row r="27" spans="1:5" x14ac:dyDescent="0.25">
      <c r="A27" s="334">
        <f t="shared" si="1"/>
        <v>20</v>
      </c>
      <c r="B27" s="108"/>
      <c r="C27" s="31"/>
      <c r="D27" s="10"/>
      <c r="E27" s="335">
        <f t="shared" si="0"/>
        <v>20</v>
      </c>
    </row>
    <row r="28" spans="1:5" x14ac:dyDescent="0.25">
      <c r="A28" s="334">
        <f t="shared" si="1"/>
        <v>21</v>
      </c>
      <c r="B28" s="108">
        <f>'WP 7 Wheeling Revenues'!B31</f>
        <v>45505</v>
      </c>
      <c r="C28" s="31">
        <f>'WP 5 CAISO Charges'!M16</f>
        <v>-45628.80000000001</v>
      </c>
      <c r="D28" s="23" t="str">
        <f>D8</f>
        <v>Work paper No. 5; Page 5.1 and 5.2; Line 10</v>
      </c>
      <c r="E28" s="335">
        <f t="shared" si="0"/>
        <v>21</v>
      </c>
    </row>
    <row r="29" spans="1:5" x14ac:dyDescent="0.25">
      <c r="A29" s="334">
        <f t="shared" si="1"/>
        <v>22</v>
      </c>
      <c r="B29" s="108"/>
      <c r="C29" s="31"/>
      <c r="D29" s="10"/>
      <c r="E29" s="335">
        <f t="shared" si="0"/>
        <v>22</v>
      </c>
    </row>
    <row r="30" spans="1:5" ht="16.5" thickBot="1" x14ac:dyDescent="0.3">
      <c r="A30" s="336">
        <f t="shared" si="1"/>
        <v>23</v>
      </c>
      <c r="B30" s="109">
        <f>'WP 7 Wheeling Revenues'!B33</f>
        <v>45536</v>
      </c>
      <c r="C30" s="82">
        <f>'WP 5 CAISO Charges'!N16</f>
        <v>59000.945699999982</v>
      </c>
      <c r="D30" s="649" t="str">
        <f>D8</f>
        <v>Work paper No. 5; Page 5.1 and 5.2; Line 10</v>
      </c>
      <c r="E30" s="339">
        <f t="shared" si="0"/>
        <v>23</v>
      </c>
    </row>
    <row r="31" spans="1:5" x14ac:dyDescent="0.25">
      <c r="A31" s="334">
        <f t="shared" si="1"/>
        <v>24</v>
      </c>
      <c r="B31" s="108"/>
      <c r="C31" s="44"/>
      <c r="D31" s="23"/>
      <c r="E31" s="335">
        <f t="shared" si="0"/>
        <v>24</v>
      </c>
    </row>
    <row r="32" spans="1:5" ht="16.5" thickBot="1" x14ac:dyDescent="0.3">
      <c r="A32" s="334">
        <f t="shared" si="1"/>
        <v>25</v>
      </c>
      <c r="B32" s="132" t="s">
        <v>406</v>
      </c>
      <c r="C32" s="73">
        <f>SUM(C8:C30)</f>
        <v>-291439.30342000001</v>
      </c>
      <c r="D32" s="29" t="s">
        <v>407</v>
      </c>
      <c r="E32" s="335">
        <f t="shared" si="0"/>
        <v>25</v>
      </c>
    </row>
    <row r="33" spans="1:5" ht="16.5" thickTop="1" x14ac:dyDescent="0.25">
      <c r="A33" s="334">
        <f t="shared" si="1"/>
        <v>26</v>
      </c>
      <c r="B33" s="10"/>
      <c r="C33" s="19"/>
      <c r="E33" s="335">
        <f t="shared" si="0"/>
        <v>26</v>
      </c>
    </row>
    <row r="34" spans="1:5" ht="35.85" customHeight="1" thickBot="1" x14ac:dyDescent="0.3">
      <c r="A34" s="671">
        <f t="shared" si="1"/>
        <v>27</v>
      </c>
      <c r="B34" s="678" t="s">
        <v>418</v>
      </c>
      <c r="C34" s="192">
        <f>C32</f>
        <v>-291439.30342000001</v>
      </c>
      <c r="D34" s="29" t="s">
        <v>409</v>
      </c>
      <c r="E34" s="673">
        <f t="shared" si="0"/>
        <v>27</v>
      </c>
    </row>
    <row r="35" spans="1:5" ht="17.25" thickTop="1" thickBot="1" x14ac:dyDescent="0.3">
      <c r="A35" s="336">
        <f t="shared" si="1"/>
        <v>28</v>
      </c>
      <c r="B35" s="362"/>
      <c r="C35" s="787"/>
      <c r="D35" s="248"/>
      <c r="E35" s="339">
        <f t="shared" ref="E35" si="2">E34+1</f>
        <v>28</v>
      </c>
    </row>
    <row r="36" spans="1:5" x14ac:dyDescent="0.25">
      <c r="B36" s="333"/>
      <c r="C36" s="72"/>
      <c r="D36" s="72"/>
    </row>
    <row r="37" spans="1:5" ht="18.75" x14ac:dyDescent="0.25">
      <c r="A37" s="679"/>
      <c r="B37" s="107"/>
      <c r="C37" s="28"/>
      <c r="D37" s="110"/>
    </row>
    <row r="38" spans="1:5" ht="12.75" customHeight="1" x14ac:dyDescent="0.25">
      <c r="A38" s="679"/>
      <c r="B38" s="107"/>
      <c r="C38" s="110"/>
      <c r="D38" s="110"/>
    </row>
    <row r="39" spans="1:5" ht="18.75" x14ac:dyDescent="0.25">
      <c r="A39" s="679"/>
      <c r="B39" s="133"/>
    </row>
    <row r="40" spans="1:5" x14ac:dyDescent="0.25">
      <c r="B40" s="129"/>
      <c r="C40" s="129"/>
      <c r="D40" s="129"/>
    </row>
    <row r="41" spans="1:5" x14ac:dyDescent="0.25">
      <c r="B41" s="129"/>
      <c r="C41" s="129"/>
      <c r="D41" s="129"/>
    </row>
    <row r="42" spans="1:5" x14ac:dyDescent="0.25">
      <c r="B42" s="129"/>
      <c r="C42" s="129"/>
      <c r="D42" s="129"/>
    </row>
    <row r="43" spans="1:5" x14ac:dyDescent="0.25">
      <c r="C43" s="113"/>
      <c r="D43" s="113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6" orientation="landscape" r:id="rId1"/>
  <headerFooter alignWithMargins="0">
    <oddFooter>&amp;L&amp;"Times New Roman,Regular"&amp;12&amp;F&amp;C&amp;"Times New Roman,Regular"&amp;12Page 9.1&amp;R&amp;"Times New Roman,Regular"&amp;12&amp;A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S92"/>
  <sheetViews>
    <sheetView zoomScale="80" zoomScaleNormal="80" zoomScaleSheetLayoutView="70" workbookViewId="0">
      <pane xSplit="3" ySplit="3" topLeftCell="D26" activePane="bottomRight" state="frozen"/>
      <selection pane="topRight"/>
      <selection pane="bottomLeft"/>
      <selection pane="bottomRight"/>
    </sheetView>
  </sheetViews>
  <sheetFormatPr defaultColWidth="9.42578125" defaultRowHeight="12.75" x14ac:dyDescent="0.2"/>
  <cols>
    <col min="1" max="1" width="5.5703125" style="242" customWidth="1"/>
    <col min="2" max="2" width="9.28515625" style="242" bestFit="1" customWidth="1"/>
    <col min="3" max="3" width="59" style="242" customWidth="1"/>
    <col min="4" max="15" width="13.5703125" style="373" customWidth="1"/>
    <col min="16" max="16" width="15.5703125" style="373" customWidth="1"/>
    <col min="17" max="17" width="5.5703125" style="242" customWidth="1"/>
    <col min="18" max="18" width="9.7109375" style="242" bestFit="1" customWidth="1"/>
    <col min="19" max="16384" width="9.42578125" style="242"/>
  </cols>
  <sheetData>
    <row r="2" spans="1:18" ht="16.5" thickBot="1" x14ac:dyDescent="0.3">
      <c r="A2" s="55"/>
      <c r="B2" s="309"/>
      <c r="C2" s="788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</row>
    <row r="3" spans="1:18" ht="38.25" customHeight="1" thickBot="1" x14ac:dyDescent="0.3">
      <c r="A3" s="855" t="s">
        <v>69</v>
      </c>
      <c r="B3" s="314" t="s">
        <v>421</v>
      </c>
      <c r="C3" s="540" t="s">
        <v>422</v>
      </c>
      <c r="D3" s="365">
        <f>'WP 1.1 Recorded Sales'!C5</f>
        <v>45200</v>
      </c>
      <c r="E3" s="540">
        <f>'WP 1.1 Recorded Sales'!D5</f>
        <v>45231</v>
      </c>
      <c r="F3" s="365">
        <f>'WP 1.1 Recorded Sales'!E5</f>
        <v>45261</v>
      </c>
      <c r="G3" s="540">
        <f>'WP 1.1 Recorded Sales'!F5</f>
        <v>45292</v>
      </c>
      <c r="H3" s="365">
        <f>'WP 1.1 Recorded Sales'!G5</f>
        <v>45323</v>
      </c>
      <c r="I3" s="540">
        <f>'WP 1.1 Recorded Sales'!H5</f>
        <v>45352</v>
      </c>
      <c r="J3" s="365">
        <f>'WP 1.1 Recorded Sales'!I5</f>
        <v>45383</v>
      </c>
      <c r="K3" s="540">
        <f>'WP 1.1 Recorded Sales'!J5</f>
        <v>45413</v>
      </c>
      <c r="L3" s="365">
        <f>'WP 1.1 Recorded Sales'!K5</f>
        <v>45444</v>
      </c>
      <c r="M3" s="540">
        <f>'WP 1.1 Recorded Sales'!L5</f>
        <v>45474</v>
      </c>
      <c r="N3" s="365">
        <f>'WP 1.1 Recorded Sales'!M5</f>
        <v>45505</v>
      </c>
      <c r="O3" s="540">
        <f>'WP 1.1 Recorded Sales'!N5</f>
        <v>45536</v>
      </c>
      <c r="P3" s="365" t="s">
        <v>18</v>
      </c>
      <c r="Q3" s="314" t="s">
        <v>69</v>
      </c>
    </row>
    <row r="4" spans="1:18" ht="16.5" thickBot="1" x14ac:dyDescent="0.3">
      <c r="A4" s="929"/>
      <c r="B4" s="915"/>
      <c r="C4" s="943" t="s">
        <v>86</v>
      </c>
      <c r="D4" s="931"/>
      <c r="E4" s="916"/>
      <c r="F4" s="933"/>
      <c r="G4" s="917"/>
      <c r="H4" s="931"/>
      <c r="I4" s="917"/>
      <c r="J4" s="931"/>
      <c r="K4" s="917"/>
      <c r="L4" s="931"/>
      <c r="M4" s="917"/>
      <c r="N4" s="931"/>
      <c r="O4" s="916"/>
      <c r="P4" s="933"/>
      <c r="Q4" s="915"/>
    </row>
    <row r="5" spans="1:18" ht="15.75" x14ac:dyDescent="0.25">
      <c r="A5" s="187">
        <v>1</v>
      </c>
      <c r="B5" s="962">
        <v>1592</v>
      </c>
      <c r="C5" s="125" t="s">
        <v>423</v>
      </c>
      <c r="D5" s="340">
        <v>0</v>
      </c>
      <c r="E5" s="465">
        <v>0</v>
      </c>
      <c r="F5" s="327">
        <v>0</v>
      </c>
      <c r="G5" s="908">
        <v>0</v>
      </c>
      <c r="H5" s="340">
        <f>0-'WP 12 PTO'!H5</f>
        <v>0</v>
      </c>
      <c r="I5" s="908">
        <v>0</v>
      </c>
      <c r="J5" s="340">
        <f>-3696.47-'WP 12 PTO'!J5</f>
        <v>-3526.8708299999998</v>
      </c>
      <c r="K5" s="908">
        <f>-113.34-'WP 12 PTO'!K5</f>
        <v>-108.05088000000001</v>
      </c>
      <c r="L5" s="340">
        <v>0</v>
      </c>
      <c r="M5" s="908">
        <v>0</v>
      </c>
      <c r="N5" s="340">
        <v>0</v>
      </c>
      <c r="O5" s="465">
        <f>0-'WP 12 PTO'!O5</f>
        <v>0</v>
      </c>
      <c r="P5" s="327">
        <f t="shared" ref="P5:P23" si="0">SUM(D5:O5)</f>
        <v>-3634.9217099999996</v>
      </c>
      <c r="Q5" s="120">
        <f>A5</f>
        <v>1</v>
      </c>
      <c r="R5" s="22"/>
    </row>
    <row r="6" spans="1:18" ht="15.75" x14ac:dyDescent="0.25">
      <c r="A6" s="187">
        <f>A5+1</f>
        <v>2</v>
      </c>
      <c r="B6" s="120">
        <v>6011</v>
      </c>
      <c r="C6" s="125" t="s">
        <v>424</v>
      </c>
      <c r="D6" s="93">
        <v>-13236.190000000002</v>
      </c>
      <c r="E6" s="148">
        <v>-77483.420000000013</v>
      </c>
      <c r="F6" s="93">
        <v>-4079.25</v>
      </c>
      <c r="G6" s="148">
        <v>-15374.19</v>
      </c>
      <c r="H6" s="93">
        <v>-6628.65</v>
      </c>
      <c r="I6" s="148">
        <v>32391.749999999996</v>
      </c>
      <c r="J6" s="93">
        <v>1785.9600000000028</v>
      </c>
      <c r="K6" s="148">
        <v>29741.050000000003</v>
      </c>
      <c r="L6" s="93">
        <v>24926.969999999998</v>
      </c>
      <c r="M6" s="148">
        <v>674.7400000000016</v>
      </c>
      <c r="N6" s="93">
        <v>-19774.270000000004</v>
      </c>
      <c r="O6" s="148">
        <v>28027.83</v>
      </c>
      <c r="P6" s="93">
        <f t="shared" si="0"/>
        <v>-19027.670000000006</v>
      </c>
      <c r="Q6" s="120">
        <f t="shared" ref="Q6:Q53" si="1">A6</f>
        <v>2</v>
      </c>
      <c r="R6" s="22"/>
    </row>
    <row r="7" spans="1:18" ht="15.75" x14ac:dyDescent="0.25">
      <c r="A7" s="187">
        <f t="shared" ref="A7:A22" si="2">A6+1</f>
        <v>3</v>
      </c>
      <c r="B7" s="120">
        <v>6090</v>
      </c>
      <c r="C7" s="125" t="s">
        <v>425</v>
      </c>
      <c r="D7" s="93">
        <v>-0.16</v>
      </c>
      <c r="E7" s="148">
        <v>-0.09</v>
      </c>
      <c r="F7" s="93">
        <v>0</v>
      </c>
      <c r="G7" s="148">
        <v>0</v>
      </c>
      <c r="H7" s="93">
        <v>0</v>
      </c>
      <c r="I7" s="148">
        <v>0</v>
      </c>
      <c r="J7" s="93">
        <v>1.34</v>
      </c>
      <c r="K7" s="148">
        <v>0</v>
      </c>
      <c r="L7" s="93">
        <v>-5.0999999999999996</v>
      </c>
      <c r="M7" s="148">
        <v>-1.45</v>
      </c>
      <c r="N7" s="93">
        <v>-7.4700000000000006</v>
      </c>
      <c r="O7" s="148">
        <v>4.3500000000000014</v>
      </c>
      <c r="P7" s="93">
        <f t="shared" si="0"/>
        <v>-8.5799999999999983</v>
      </c>
      <c r="Q7" s="120">
        <f t="shared" si="1"/>
        <v>3</v>
      </c>
      <c r="R7" s="22"/>
    </row>
    <row r="8" spans="1:18" ht="15.75" x14ac:dyDescent="0.25">
      <c r="A8" s="187">
        <f t="shared" si="2"/>
        <v>4</v>
      </c>
      <c r="B8" s="120">
        <v>6194</v>
      </c>
      <c r="C8" s="125" t="s">
        <v>426</v>
      </c>
      <c r="D8" s="93">
        <v>-19.119999999999997</v>
      </c>
      <c r="E8" s="148">
        <v>-34.22</v>
      </c>
      <c r="F8" s="93">
        <v>-3.44</v>
      </c>
      <c r="G8" s="148">
        <v>-2.62</v>
      </c>
      <c r="H8" s="93">
        <v>-3.82</v>
      </c>
      <c r="I8" s="148">
        <v>-4.76</v>
      </c>
      <c r="J8" s="93">
        <v>-5.49</v>
      </c>
      <c r="K8" s="148">
        <v>-3.6</v>
      </c>
      <c r="L8" s="93">
        <v>2.38</v>
      </c>
      <c r="M8" s="148">
        <v>-78.97</v>
      </c>
      <c r="N8" s="93">
        <v>-29.660000000000004</v>
      </c>
      <c r="O8" s="148">
        <v>-5.5699999999999994</v>
      </c>
      <c r="P8" s="93">
        <f t="shared" si="0"/>
        <v>-188.88999999999996</v>
      </c>
      <c r="Q8" s="120">
        <f t="shared" si="1"/>
        <v>4</v>
      </c>
      <c r="R8" s="22"/>
    </row>
    <row r="9" spans="1:18" ht="16.5" thickBot="1" x14ac:dyDescent="0.3">
      <c r="A9" s="640">
        <f t="shared" si="2"/>
        <v>5</v>
      </c>
      <c r="B9" s="121">
        <v>6294</v>
      </c>
      <c r="C9" s="126" t="s">
        <v>427</v>
      </c>
      <c r="D9" s="920">
        <v>-56.19</v>
      </c>
      <c r="E9" s="719">
        <v>-93.7</v>
      </c>
      <c r="F9" s="920">
        <v>-6.74</v>
      </c>
      <c r="G9" s="719">
        <v>-7.99</v>
      </c>
      <c r="H9" s="920">
        <v>-11.760000000000002</v>
      </c>
      <c r="I9" s="719">
        <v>-12.129999999999999</v>
      </c>
      <c r="J9" s="920">
        <v>-18.48</v>
      </c>
      <c r="K9" s="719">
        <v>-10.28</v>
      </c>
      <c r="L9" s="920">
        <v>12.15</v>
      </c>
      <c r="M9" s="719">
        <v>-313.25</v>
      </c>
      <c r="N9" s="920">
        <v>-118.38</v>
      </c>
      <c r="O9" s="719">
        <v>-39.44</v>
      </c>
      <c r="P9" s="920">
        <f t="shared" si="0"/>
        <v>-676.19</v>
      </c>
      <c r="Q9" s="121">
        <f t="shared" si="1"/>
        <v>5</v>
      </c>
      <c r="R9" s="22"/>
    </row>
    <row r="10" spans="1:18" ht="15.75" x14ac:dyDescent="0.25">
      <c r="A10" s="187">
        <f>A9+1</f>
        <v>6</v>
      </c>
      <c r="B10" s="120">
        <v>6458</v>
      </c>
      <c r="C10" s="149" t="s">
        <v>428</v>
      </c>
      <c r="D10" s="93">
        <v>-7.88</v>
      </c>
      <c r="E10" s="148">
        <v>-1.33</v>
      </c>
      <c r="F10" s="93">
        <v>0</v>
      </c>
      <c r="G10" s="148">
        <v>0.38</v>
      </c>
      <c r="H10" s="93">
        <v>0.01</v>
      </c>
      <c r="I10" s="148">
        <v>0</v>
      </c>
      <c r="J10" s="93">
        <v>0</v>
      </c>
      <c r="K10" s="148">
        <v>0</v>
      </c>
      <c r="L10" s="93">
        <v>-57.85</v>
      </c>
      <c r="M10" s="148">
        <v>-7.04</v>
      </c>
      <c r="N10" s="93">
        <v>-49.739999999999995</v>
      </c>
      <c r="O10" s="148">
        <v>-54.13000000000001</v>
      </c>
      <c r="P10" s="93">
        <f t="shared" si="0"/>
        <v>-177.58</v>
      </c>
      <c r="Q10" s="120">
        <f t="shared" si="1"/>
        <v>6</v>
      </c>
      <c r="R10" s="22"/>
    </row>
    <row r="11" spans="1:18" ht="15.75" x14ac:dyDescent="0.25">
      <c r="A11" s="187">
        <f t="shared" si="2"/>
        <v>7</v>
      </c>
      <c r="B11" s="120">
        <v>6478</v>
      </c>
      <c r="C11" s="149" t="s">
        <v>429</v>
      </c>
      <c r="D11" s="93">
        <v>-15.28</v>
      </c>
      <c r="E11" s="148">
        <v>-214.47</v>
      </c>
      <c r="F11" s="93">
        <v>-140.57</v>
      </c>
      <c r="G11" s="148">
        <v>-226.82</v>
      </c>
      <c r="H11" s="93">
        <v>-321.69000000000005</v>
      </c>
      <c r="I11" s="148">
        <v>6.66</v>
      </c>
      <c r="J11" s="93">
        <v>10.79</v>
      </c>
      <c r="K11" s="148">
        <v>110.00999999999999</v>
      </c>
      <c r="L11" s="93">
        <v>-39.010000000000005</v>
      </c>
      <c r="M11" s="148">
        <v>-11.09</v>
      </c>
      <c r="N11" s="93">
        <v>-13.54</v>
      </c>
      <c r="O11" s="148">
        <v>-37.800000000000004</v>
      </c>
      <c r="P11" s="93">
        <f t="shared" si="0"/>
        <v>-892.81000000000006</v>
      </c>
      <c r="Q11" s="120">
        <f t="shared" si="1"/>
        <v>7</v>
      </c>
      <c r="R11" s="22"/>
    </row>
    <row r="12" spans="1:18" ht="15.75" x14ac:dyDescent="0.25">
      <c r="A12" s="187">
        <f t="shared" si="2"/>
        <v>8</v>
      </c>
      <c r="B12" s="120">
        <v>6479</v>
      </c>
      <c r="C12" s="149" t="s">
        <v>485</v>
      </c>
      <c r="D12" s="93">
        <v>0</v>
      </c>
      <c r="E12" s="148">
        <v>0.01</v>
      </c>
      <c r="F12" s="93">
        <v>2.31</v>
      </c>
      <c r="G12" s="148">
        <v>0</v>
      </c>
      <c r="H12" s="93">
        <v>0</v>
      </c>
      <c r="I12" s="148">
        <v>0</v>
      </c>
      <c r="J12" s="93">
        <v>0</v>
      </c>
      <c r="K12" s="148">
        <v>0</v>
      </c>
      <c r="L12" s="93">
        <v>-0.11</v>
      </c>
      <c r="M12" s="148">
        <v>-0.01</v>
      </c>
      <c r="N12" s="93">
        <v>-3.86</v>
      </c>
      <c r="O12" s="148">
        <v>-11.44</v>
      </c>
      <c r="P12" s="93">
        <f t="shared" si="0"/>
        <v>-13.1</v>
      </c>
      <c r="Q12" s="120">
        <f t="shared" si="1"/>
        <v>8</v>
      </c>
      <c r="R12" s="22"/>
    </row>
    <row r="13" spans="1:18" ht="15.75" x14ac:dyDescent="0.25">
      <c r="A13" s="187">
        <f t="shared" si="2"/>
        <v>9</v>
      </c>
      <c r="B13" s="120">
        <v>6706</v>
      </c>
      <c r="C13" s="125" t="s">
        <v>430</v>
      </c>
      <c r="D13" s="93">
        <v>-29.84</v>
      </c>
      <c r="E13" s="148">
        <v>15.83</v>
      </c>
      <c r="F13" s="93">
        <v>0</v>
      </c>
      <c r="G13" s="148">
        <v>0.57999999999999996</v>
      </c>
      <c r="H13" s="93">
        <v>0</v>
      </c>
      <c r="I13" s="148">
        <v>0</v>
      </c>
      <c r="J13" s="93">
        <v>0</v>
      </c>
      <c r="K13" s="148">
        <v>0</v>
      </c>
      <c r="L13" s="93">
        <v>-12.85</v>
      </c>
      <c r="M13" s="148">
        <v>-474.21</v>
      </c>
      <c r="N13" s="93">
        <v>0</v>
      </c>
      <c r="O13" s="148">
        <v>-650.30999999999995</v>
      </c>
      <c r="P13" s="93">
        <f t="shared" si="0"/>
        <v>-1150.8</v>
      </c>
      <c r="Q13" s="120">
        <f t="shared" si="1"/>
        <v>9</v>
      </c>
      <c r="R13" s="22"/>
    </row>
    <row r="14" spans="1:18" ht="16.5" thickBot="1" x14ac:dyDescent="0.3">
      <c r="A14" s="640">
        <f t="shared" si="2"/>
        <v>10</v>
      </c>
      <c r="B14" s="526">
        <v>6788</v>
      </c>
      <c r="C14" s="126" t="s">
        <v>431</v>
      </c>
      <c r="D14" s="920">
        <v>-2363.0700000000002</v>
      </c>
      <c r="E14" s="719">
        <v>-36849.949999999997</v>
      </c>
      <c r="F14" s="920">
        <v>0</v>
      </c>
      <c r="G14" s="719">
        <v>0</v>
      </c>
      <c r="H14" s="920">
        <v>-12869.52</v>
      </c>
      <c r="I14" s="719">
        <v>31.22</v>
      </c>
      <c r="J14" s="920">
        <v>24000.560000000001</v>
      </c>
      <c r="K14" s="719">
        <v>-808.45</v>
      </c>
      <c r="L14" s="920">
        <v>8210.27</v>
      </c>
      <c r="M14" s="719">
        <v>4336.3599999999997</v>
      </c>
      <c r="N14" s="920">
        <v>10872.029999999999</v>
      </c>
      <c r="O14" s="719">
        <v>-13258.31</v>
      </c>
      <c r="P14" s="920">
        <f t="shared" si="0"/>
        <v>-18698.859999999993</v>
      </c>
      <c r="Q14" s="121">
        <f t="shared" si="1"/>
        <v>10</v>
      </c>
      <c r="R14" s="22"/>
    </row>
    <row r="15" spans="1:18" ht="15.75" x14ac:dyDescent="0.25">
      <c r="A15" s="187">
        <f t="shared" si="2"/>
        <v>11</v>
      </c>
      <c r="B15" s="120">
        <v>6791</v>
      </c>
      <c r="C15" s="149" t="s">
        <v>432</v>
      </c>
      <c r="D15" s="93">
        <v>-1.36</v>
      </c>
      <c r="E15" s="148">
        <v>0.11</v>
      </c>
      <c r="F15" s="93">
        <v>0</v>
      </c>
      <c r="G15" s="148">
        <v>0.02</v>
      </c>
      <c r="H15" s="93">
        <v>0</v>
      </c>
      <c r="I15" s="148">
        <v>0</v>
      </c>
      <c r="J15" s="93">
        <v>0</v>
      </c>
      <c r="K15" s="148">
        <v>0</v>
      </c>
      <c r="L15" s="93">
        <v>-0.16</v>
      </c>
      <c r="M15" s="148">
        <v>0</v>
      </c>
      <c r="N15" s="93">
        <v>0</v>
      </c>
      <c r="O15" s="148">
        <v>-12.69</v>
      </c>
      <c r="P15" s="93">
        <f t="shared" si="0"/>
        <v>-14.08</v>
      </c>
      <c r="Q15" s="120">
        <f t="shared" si="1"/>
        <v>11</v>
      </c>
      <c r="R15" s="22"/>
    </row>
    <row r="16" spans="1:18" s="530" customFormat="1" ht="15.75" x14ac:dyDescent="0.25">
      <c r="A16" s="930">
        <f t="shared" si="2"/>
        <v>12</v>
      </c>
      <c r="B16" s="529">
        <v>6947</v>
      </c>
      <c r="C16" s="944" t="s">
        <v>433</v>
      </c>
      <c r="D16" s="932">
        <v>-46561.130000000005</v>
      </c>
      <c r="E16" s="720">
        <v>-84637.79</v>
      </c>
      <c r="F16" s="932">
        <v>-78071.75</v>
      </c>
      <c r="G16" s="720">
        <v>-89098.1</v>
      </c>
      <c r="H16" s="932">
        <v>-103735.34</v>
      </c>
      <c r="I16" s="720">
        <v>-61725.090000000004</v>
      </c>
      <c r="J16" s="932">
        <v>-52052.79</v>
      </c>
      <c r="K16" s="720">
        <v>-69248.509999999995</v>
      </c>
      <c r="L16" s="932">
        <v>-61953.37999999999</v>
      </c>
      <c r="M16" s="912">
        <v>-111018.67000000001</v>
      </c>
      <c r="N16" s="932">
        <v>-132293.29</v>
      </c>
      <c r="O16" s="720">
        <v>-109294.94</v>
      </c>
      <c r="P16" s="932">
        <f t="shared" si="0"/>
        <v>-999690.78</v>
      </c>
      <c r="Q16" s="120">
        <f t="shared" si="1"/>
        <v>12</v>
      </c>
      <c r="R16" s="193"/>
    </row>
    <row r="17" spans="1:18" ht="31.5" x14ac:dyDescent="0.25">
      <c r="A17" s="930">
        <f t="shared" si="2"/>
        <v>13</v>
      </c>
      <c r="B17" s="529">
        <v>6977</v>
      </c>
      <c r="C17" s="945" t="s">
        <v>434</v>
      </c>
      <c r="D17" s="93">
        <v>-2.06</v>
      </c>
      <c r="E17" s="148">
        <v>-2.42</v>
      </c>
      <c r="F17" s="93">
        <v>0</v>
      </c>
      <c r="G17" s="148">
        <v>-0.02</v>
      </c>
      <c r="H17" s="93">
        <v>0</v>
      </c>
      <c r="I17" s="148">
        <v>0</v>
      </c>
      <c r="J17" s="93">
        <v>0</v>
      </c>
      <c r="K17" s="148">
        <v>0</v>
      </c>
      <c r="L17" s="93">
        <v>-5.29</v>
      </c>
      <c r="M17" s="148">
        <v>-10.19</v>
      </c>
      <c r="N17" s="93">
        <v>-23.65</v>
      </c>
      <c r="O17" s="148">
        <v>-152.44</v>
      </c>
      <c r="P17" s="93">
        <f t="shared" si="0"/>
        <v>-196.07</v>
      </c>
      <c r="Q17" s="120">
        <f t="shared" si="1"/>
        <v>13</v>
      </c>
      <c r="R17" s="22"/>
    </row>
    <row r="18" spans="1:18" ht="15.75" x14ac:dyDescent="0.25">
      <c r="A18" s="187">
        <f t="shared" si="2"/>
        <v>14</v>
      </c>
      <c r="B18" s="120">
        <v>7070</v>
      </c>
      <c r="C18" s="149" t="s">
        <v>435</v>
      </c>
      <c r="D18" s="93">
        <v>-1057.8599999999999</v>
      </c>
      <c r="E18" s="148">
        <v>0</v>
      </c>
      <c r="F18" s="93">
        <v>1249.99</v>
      </c>
      <c r="G18" s="148">
        <v>0</v>
      </c>
      <c r="H18" s="93">
        <v>0</v>
      </c>
      <c r="I18" s="148">
        <v>0</v>
      </c>
      <c r="J18" s="93">
        <v>19.980000000000004</v>
      </c>
      <c r="K18" s="148">
        <v>7.23</v>
      </c>
      <c r="L18" s="93">
        <v>33.869999999999997</v>
      </c>
      <c r="M18" s="148">
        <v>0</v>
      </c>
      <c r="N18" s="93">
        <v>334.92</v>
      </c>
      <c r="O18" s="148">
        <v>-158.19</v>
      </c>
      <c r="P18" s="93">
        <f t="shared" si="0"/>
        <v>429.94000000000011</v>
      </c>
      <c r="Q18" s="120">
        <f t="shared" si="1"/>
        <v>14</v>
      </c>
      <c r="R18" s="22"/>
    </row>
    <row r="19" spans="1:18" ht="16.5" thickBot="1" x14ac:dyDescent="0.3">
      <c r="A19" s="640">
        <f t="shared" si="2"/>
        <v>15</v>
      </c>
      <c r="B19" s="121">
        <v>7078</v>
      </c>
      <c r="C19" s="126" t="s">
        <v>436</v>
      </c>
      <c r="D19" s="920">
        <v>4.87</v>
      </c>
      <c r="E19" s="719">
        <v>5.15</v>
      </c>
      <c r="F19" s="920">
        <v>28.75</v>
      </c>
      <c r="G19" s="719">
        <v>-2.1</v>
      </c>
      <c r="H19" s="920">
        <v>13.37</v>
      </c>
      <c r="I19" s="719">
        <v>0.12</v>
      </c>
      <c r="J19" s="920">
        <v>0.2</v>
      </c>
      <c r="K19" s="719">
        <v>16.45</v>
      </c>
      <c r="L19" s="920">
        <v>0.02</v>
      </c>
      <c r="M19" s="719">
        <v>-0.3</v>
      </c>
      <c r="N19" s="920">
        <v>-0.35</v>
      </c>
      <c r="O19" s="719">
        <v>5.18</v>
      </c>
      <c r="P19" s="920">
        <f t="shared" si="0"/>
        <v>71.359999999999985</v>
      </c>
      <c r="Q19" s="121">
        <f t="shared" si="1"/>
        <v>15</v>
      </c>
      <c r="R19" s="22"/>
    </row>
    <row r="20" spans="1:18" ht="15.75" x14ac:dyDescent="0.25">
      <c r="A20" s="187">
        <f t="shared" si="2"/>
        <v>16</v>
      </c>
      <c r="B20" s="120">
        <v>7989</v>
      </c>
      <c r="C20" s="125" t="s">
        <v>437</v>
      </c>
      <c r="D20" s="93">
        <f>-2832.68-'WP 12 PTO'!D7</f>
        <v>-318.82999999999993</v>
      </c>
      <c r="E20" s="148">
        <f>-4816.34-'WP 12 PTO'!E7</f>
        <v>-291.21000000000004</v>
      </c>
      <c r="F20" s="93">
        <f>-46720.43-'WP 12 PTO'!F7</f>
        <v>-137.7699999999968</v>
      </c>
      <c r="G20" s="148">
        <f>-16695.01-'WP 12 PTO'!G7</f>
        <v>-12.009999999998399</v>
      </c>
      <c r="H20" s="93">
        <f>-12973.96-'WP 12 PTO'!H7</f>
        <v>-44.479999999999563</v>
      </c>
      <c r="I20" s="148">
        <f>-31023.58-'WP 12 PTO'!I7</f>
        <v>-8.3500000000021828</v>
      </c>
      <c r="J20" s="93">
        <f>-22679.24-'WP 12 PTO'!J7</f>
        <v>-10.069999999999709</v>
      </c>
      <c r="K20" s="148">
        <f>-30991.58-'WP 12 PTO'!K7</f>
        <v>0</v>
      </c>
      <c r="L20" s="93">
        <f>-81096.94-'WP 12 PTO'!L7</f>
        <v>-12.230000000010477</v>
      </c>
      <c r="M20" s="148">
        <f>-1388.23-'WP 12 PTO'!M7</f>
        <v>0</v>
      </c>
      <c r="N20" s="93">
        <f>-176.88-'WP 12 PTO'!N7</f>
        <v>-176.88</v>
      </c>
      <c r="O20" s="148">
        <f>-571.39-'WP 12 PTO'!O7</f>
        <v>0</v>
      </c>
      <c r="P20" s="93">
        <f t="shared" si="0"/>
        <v>-1011.8300000000071</v>
      </c>
      <c r="Q20" s="120">
        <f t="shared" si="1"/>
        <v>16</v>
      </c>
      <c r="R20" s="22"/>
    </row>
    <row r="21" spans="1:18" ht="15.75" x14ac:dyDescent="0.25">
      <c r="A21" s="187">
        <f t="shared" si="2"/>
        <v>17</v>
      </c>
      <c r="B21" s="120">
        <v>8526</v>
      </c>
      <c r="C21" s="125" t="s">
        <v>438</v>
      </c>
      <c r="D21" s="93">
        <v>0</v>
      </c>
      <c r="E21" s="148">
        <v>0</v>
      </c>
      <c r="F21" s="93">
        <v>0</v>
      </c>
      <c r="G21" s="148">
        <v>0</v>
      </c>
      <c r="H21" s="93">
        <f>0-'WP 12 PTO'!H11</f>
        <v>0</v>
      </c>
      <c r="I21" s="148">
        <v>0</v>
      </c>
      <c r="J21" s="93">
        <f>-403.34-'WP 12 PTO'!J11</f>
        <v>-384.51740999999998</v>
      </c>
      <c r="K21" s="148">
        <v>0</v>
      </c>
      <c r="L21" s="93">
        <v>0</v>
      </c>
      <c r="M21" s="148">
        <v>0</v>
      </c>
      <c r="N21" s="93">
        <v>0</v>
      </c>
      <c r="O21" s="148">
        <f>-1047410.43-'WP 12 PTO'!O11</f>
        <v>-4.3000000296160579E-3</v>
      </c>
      <c r="P21" s="93">
        <f t="shared" si="0"/>
        <v>-384.5217100000296</v>
      </c>
      <c r="Q21" s="120">
        <f t="shared" si="1"/>
        <v>17</v>
      </c>
      <c r="R21" s="22"/>
    </row>
    <row r="22" spans="1:18" ht="15.75" x14ac:dyDescent="0.25">
      <c r="A22" s="187">
        <f t="shared" si="2"/>
        <v>18</v>
      </c>
      <c r="B22" s="120">
        <v>8989</v>
      </c>
      <c r="C22" s="125" t="s">
        <v>470</v>
      </c>
      <c r="D22" s="93">
        <v>0</v>
      </c>
      <c r="E22" s="148">
        <v>0</v>
      </c>
      <c r="F22" s="93">
        <v>0</v>
      </c>
      <c r="G22" s="148">
        <v>0</v>
      </c>
      <c r="H22" s="93">
        <v>0</v>
      </c>
      <c r="I22" s="148">
        <v>0</v>
      </c>
      <c r="J22" s="93">
        <v>0</v>
      </c>
      <c r="K22" s="148">
        <v>0</v>
      </c>
      <c r="L22" s="93">
        <v>0</v>
      </c>
      <c r="M22" s="148">
        <v>0</v>
      </c>
      <c r="N22" s="93">
        <v>0</v>
      </c>
      <c r="O22" s="148">
        <v>-50.55</v>
      </c>
      <c r="P22" s="93">
        <f t="shared" si="0"/>
        <v>-50.55</v>
      </c>
      <c r="Q22" s="120">
        <f t="shared" si="1"/>
        <v>18</v>
      </c>
      <c r="R22" s="22"/>
    </row>
    <row r="23" spans="1:18" ht="15.75" x14ac:dyDescent="0.25">
      <c r="A23" s="187">
        <f t="shared" ref="A23:A53" si="3">A22+1</f>
        <v>19</v>
      </c>
      <c r="B23" s="120">
        <v>8999</v>
      </c>
      <c r="C23" s="125" t="s">
        <v>469</v>
      </c>
      <c r="D23" s="93">
        <v>0</v>
      </c>
      <c r="E23" s="148">
        <v>0</v>
      </c>
      <c r="F23" s="93">
        <v>0</v>
      </c>
      <c r="G23" s="148">
        <v>0</v>
      </c>
      <c r="H23" s="93">
        <v>0</v>
      </c>
      <c r="I23" s="148">
        <v>0</v>
      </c>
      <c r="J23" s="93">
        <v>0</v>
      </c>
      <c r="K23" s="148">
        <v>0</v>
      </c>
      <c r="L23" s="93">
        <v>0</v>
      </c>
      <c r="M23" s="148">
        <v>0</v>
      </c>
      <c r="N23" s="93">
        <v>0</v>
      </c>
      <c r="O23" s="148">
        <v>0</v>
      </c>
      <c r="P23" s="93">
        <f t="shared" si="0"/>
        <v>0</v>
      </c>
      <c r="Q23" s="120">
        <f t="shared" si="1"/>
        <v>19</v>
      </c>
      <c r="R23" s="22"/>
    </row>
    <row r="24" spans="1:18" ht="16.5" thickBot="1" x14ac:dyDescent="0.3">
      <c r="A24" s="187">
        <f t="shared" si="3"/>
        <v>20</v>
      </c>
      <c r="B24" s="120"/>
      <c r="C24" s="125"/>
      <c r="D24" s="920"/>
      <c r="E24" s="719"/>
      <c r="F24" s="920"/>
      <c r="G24" s="719"/>
      <c r="H24" s="920"/>
      <c r="I24" s="719"/>
      <c r="J24" s="920"/>
      <c r="K24" s="148"/>
      <c r="L24" s="93"/>
      <c r="M24" s="148"/>
      <c r="N24" s="93"/>
      <c r="O24" s="148"/>
      <c r="P24" s="920"/>
      <c r="Q24" s="120">
        <f t="shared" si="1"/>
        <v>20</v>
      </c>
      <c r="R24" s="22"/>
    </row>
    <row r="25" spans="1:18" ht="16.5" thickBot="1" x14ac:dyDescent="0.3">
      <c r="A25" s="967">
        <f t="shared" si="3"/>
        <v>21</v>
      </c>
      <c r="B25" s="915"/>
      <c r="C25" s="943" t="s">
        <v>439</v>
      </c>
      <c r="D25" s="933"/>
      <c r="E25" s="916"/>
      <c r="F25" s="933"/>
      <c r="G25" s="916"/>
      <c r="H25" s="933"/>
      <c r="I25" s="916"/>
      <c r="J25" s="933"/>
      <c r="K25" s="916"/>
      <c r="L25" s="942"/>
      <c r="M25" s="916"/>
      <c r="N25" s="933"/>
      <c r="O25" s="916"/>
      <c r="P25" s="948"/>
      <c r="Q25" s="949">
        <f t="shared" si="1"/>
        <v>21</v>
      </c>
    </row>
    <row r="26" spans="1:18" ht="15.75" x14ac:dyDescent="0.25">
      <c r="A26" s="968">
        <f t="shared" si="3"/>
        <v>22</v>
      </c>
      <c r="B26" s="966" t="s">
        <v>522</v>
      </c>
      <c r="C26" s="964" t="s">
        <v>523</v>
      </c>
      <c r="D26" s="140">
        <v>0</v>
      </c>
      <c r="E26" s="965">
        <v>0</v>
      </c>
      <c r="F26" s="140">
        <v>0</v>
      </c>
      <c r="G26" s="965">
        <v>0</v>
      </c>
      <c r="H26" s="140">
        <v>0</v>
      </c>
      <c r="I26" s="965">
        <v>0</v>
      </c>
      <c r="J26" s="140">
        <v>0</v>
      </c>
      <c r="K26" s="965">
        <v>0</v>
      </c>
      <c r="L26" s="140">
        <v>0</v>
      </c>
      <c r="M26" s="965">
        <v>0</v>
      </c>
      <c r="N26" s="140">
        <v>0</v>
      </c>
      <c r="O26" s="965">
        <v>28.39</v>
      </c>
      <c r="P26" s="140">
        <f>SUM(D26:O26)</f>
        <v>28.39</v>
      </c>
      <c r="Q26" s="120">
        <f>A26</f>
        <v>22</v>
      </c>
    </row>
    <row r="27" spans="1:18" ht="15.75" x14ac:dyDescent="0.25">
      <c r="A27" s="733">
        <f t="shared" si="3"/>
        <v>23</v>
      </c>
      <c r="B27" s="966" t="s">
        <v>440</v>
      </c>
      <c r="C27" s="125" t="s">
        <v>441</v>
      </c>
      <c r="D27" s="93">
        <v>12.83</v>
      </c>
      <c r="E27" s="148">
        <v>0</v>
      </c>
      <c r="F27" s="93">
        <v>0</v>
      </c>
      <c r="G27" s="148">
        <v>0</v>
      </c>
      <c r="H27" s="93">
        <v>0</v>
      </c>
      <c r="I27" s="148">
        <v>0</v>
      </c>
      <c r="J27" s="93">
        <v>0</v>
      </c>
      <c r="K27" s="148">
        <v>0</v>
      </c>
      <c r="L27" s="93">
        <v>2.5099999999999998</v>
      </c>
      <c r="M27" s="148">
        <v>120.34</v>
      </c>
      <c r="N27" s="93">
        <v>0</v>
      </c>
      <c r="O27" s="148">
        <v>260.74</v>
      </c>
      <c r="P27" s="93">
        <f t="shared" ref="P27:P46" si="4">SUM(D27:O27)</f>
        <v>396.42</v>
      </c>
      <c r="Q27" s="120">
        <f t="shared" si="1"/>
        <v>23</v>
      </c>
      <c r="R27" s="22"/>
    </row>
    <row r="28" spans="1:18" ht="15.75" x14ac:dyDescent="0.25">
      <c r="A28" s="733">
        <f t="shared" si="3"/>
        <v>24</v>
      </c>
      <c r="B28" s="966">
        <v>4515</v>
      </c>
      <c r="C28" s="125" t="s">
        <v>442</v>
      </c>
      <c r="D28" s="93">
        <v>16.48</v>
      </c>
      <c r="E28" s="148">
        <v>23.79</v>
      </c>
      <c r="F28" s="93">
        <v>20.16</v>
      </c>
      <c r="G28" s="148">
        <v>24.48</v>
      </c>
      <c r="H28" s="93">
        <v>31.7</v>
      </c>
      <c r="I28" s="148">
        <v>34.799999999999997</v>
      </c>
      <c r="J28" s="93">
        <v>35.85</v>
      </c>
      <c r="K28" s="148">
        <v>31.119999999999997</v>
      </c>
      <c r="L28" s="93">
        <v>26.88</v>
      </c>
      <c r="M28" s="148">
        <v>36.840000000000003</v>
      </c>
      <c r="N28" s="93">
        <v>34.32</v>
      </c>
      <c r="O28" s="148">
        <v>37.5</v>
      </c>
      <c r="P28" s="93">
        <f t="shared" si="4"/>
        <v>353.92</v>
      </c>
      <c r="Q28" s="120">
        <f t="shared" si="1"/>
        <v>24</v>
      </c>
      <c r="R28" s="22"/>
    </row>
    <row r="29" spans="1:18" ht="15.75" x14ac:dyDescent="0.25">
      <c r="A29" s="733">
        <f t="shared" si="3"/>
        <v>25</v>
      </c>
      <c r="B29" s="349">
        <v>4560</v>
      </c>
      <c r="C29" s="125" t="s">
        <v>443</v>
      </c>
      <c r="D29" s="93">
        <v>187.07999999999998</v>
      </c>
      <c r="E29" s="148">
        <v>302.48</v>
      </c>
      <c r="F29" s="93">
        <v>63.63</v>
      </c>
      <c r="G29" s="148">
        <v>109.06</v>
      </c>
      <c r="H29" s="93">
        <v>306.31</v>
      </c>
      <c r="I29" s="148">
        <v>108.71000000000001</v>
      </c>
      <c r="J29" s="93">
        <v>147.5</v>
      </c>
      <c r="K29" s="148">
        <v>327.85</v>
      </c>
      <c r="L29" s="93">
        <v>315.79000000000002</v>
      </c>
      <c r="M29" s="148">
        <v>391.78</v>
      </c>
      <c r="N29" s="93">
        <v>383.53</v>
      </c>
      <c r="O29" s="148">
        <v>998.49</v>
      </c>
      <c r="P29" s="93">
        <f t="shared" si="4"/>
        <v>3642.2099999999991</v>
      </c>
      <c r="Q29" s="120">
        <f t="shared" si="1"/>
        <v>25</v>
      </c>
      <c r="R29" s="22"/>
    </row>
    <row r="30" spans="1:18" ht="16.5" thickBot="1" x14ac:dyDescent="0.3">
      <c r="A30" s="969">
        <f t="shared" si="3"/>
        <v>26</v>
      </c>
      <c r="B30" s="349">
        <v>4561</v>
      </c>
      <c r="C30" s="125" t="s">
        <v>444</v>
      </c>
      <c r="D30" s="93">
        <v>267.44</v>
      </c>
      <c r="E30" s="148">
        <v>422.48</v>
      </c>
      <c r="F30" s="93">
        <v>139.11000000000001</v>
      </c>
      <c r="G30" s="148">
        <v>170.26999999999998</v>
      </c>
      <c r="H30" s="93">
        <v>142.92999999999998</v>
      </c>
      <c r="I30" s="148">
        <v>148.02999999999997</v>
      </c>
      <c r="J30" s="93">
        <v>178.43999999999997</v>
      </c>
      <c r="K30" s="148">
        <v>96.97999999999999</v>
      </c>
      <c r="L30" s="93">
        <v>175.48</v>
      </c>
      <c r="M30" s="148">
        <v>263.74</v>
      </c>
      <c r="N30" s="93">
        <v>491.75</v>
      </c>
      <c r="O30" s="148">
        <v>653.4</v>
      </c>
      <c r="P30" s="93">
        <f t="shared" si="4"/>
        <v>3150.05</v>
      </c>
      <c r="Q30" s="120">
        <f t="shared" si="1"/>
        <v>26</v>
      </c>
      <c r="R30" s="22"/>
    </row>
    <row r="31" spans="1:18" ht="15.75" x14ac:dyDescent="0.25">
      <c r="A31" s="963">
        <f t="shared" si="3"/>
        <v>27</v>
      </c>
      <c r="B31" s="150">
        <v>4563</v>
      </c>
      <c r="C31" s="246" t="s">
        <v>445</v>
      </c>
      <c r="D31" s="970">
        <v>10862.52</v>
      </c>
      <c r="E31" s="971">
        <v>16596.54</v>
      </c>
      <c r="F31" s="970">
        <v>20321.28</v>
      </c>
      <c r="G31" s="971">
        <v>30522.240000000002</v>
      </c>
      <c r="H31" s="970">
        <v>47339.88</v>
      </c>
      <c r="I31" s="971">
        <v>49085.070000000007</v>
      </c>
      <c r="J31" s="970">
        <v>44646.080000000002</v>
      </c>
      <c r="K31" s="971">
        <v>54706.32</v>
      </c>
      <c r="L31" s="970">
        <v>59794.48</v>
      </c>
      <c r="M31" s="971">
        <v>78482.3</v>
      </c>
      <c r="N31" s="970">
        <v>65167.55</v>
      </c>
      <c r="O31" s="971">
        <v>66321.83</v>
      </c>
      <c r="P31" s="970">
        <f t="shared" si="4"/>
        <v>543846.09</v>
      </c>
      <c r="Q31" s="150">
        <f t="shared" si="1"/>
        <v>27</v>
      </c>
      <c r="R31" s="22"/>
    </row>
    <row r="32" spans="1:18" ht="15.75" x14ac:dyDescent="0.25">
      <c r="A32" s="733">
        <f t="shared" si="3"/>
        <v>28</v>
      </c>
      <c r="B32" s="349">
        <v>4575</v>
      </c>
      <c r="C32" s="125" t="s">
        <v>446</v>
      </c>
      <c r="D32" s="93">
        <v>1500</v>
      </c>
      <c r="E32" s="148">
        <v>1500</v>
      </c>
      <c r="F32" s="93">
        <v>1500</v>
      </c>
      <c r="G32" s="148">
        <v>1500</v>
      </c>
      <c r="H32" s="93">
        <v>1500</v>
      </c>
      <c r="I32" s="148">
        <v>1500</v>
      </c>
      <c r="J32" s="93">
        <v>1500</v>
      </c>
      <c r="K32" s="148">
        <v>1500</v>
      </c>
      <c r="L32" s="93">
        <v>1500</v>
      </c>
      <c r="M32" s="148">
        <v>1500</v>
      </c>
      <c r="N32" s="93">
        <v>750</v>
      </c>
      <c r="O32" s="148">
        <v>2250</v>
      </c>
      <c r="P32" s="93">
        <f t="shared" si="4"/>
        <v>18000</v>
      </c>
      <c r="Q32" s="120">
        <f t="shared" si="1"/>
        <v>28</v>
      </c>
      <c r="R32" s="22"/>
    </row>
    <row r="33" spans="1:19" ht="17.25" customHeight="1" x14ac:dyDescent="0.25">
      <c r="A33" s="733">
        <f t="shared" si="3"/>
        <v>29</v>
      </c>
      <c r="B33" s="966">
        <v>6196</v>
      </c>
      <c r="C33" s="125" t="s">
        <v>447</v>
      </c>
      <c r="D33" s="93">
        <v>0</v>
      </c>
      <c r="E33" s="148">
        <v>-0.48</v>
      </c>
      <c r="F33" s="93">
        <v>0</v>
      </c>
      <c r="G33" s="148">
        <v>0</v>
      </c>
      <c r="H33" s="93">
        <v>0</v>
      </c>
      <c r="I33" s="148">
        <v>0</v>
      </c>
      <c r="J33" s="93">
        <v>0.01</v>
      </c>
      <c r="K33" s="148">
        <v>0</v>
      </c>
      <c r="L33" s="93">
        <v>0.25</v>
      </c>
      <c r="M33" s="148">
        <v>0.21</v>
      </c>
      <c r="N33" s="93">
        <v>0.61</v>
      </c>
      <c r="O33" s="148">
        <v>0.76999999999999991</v>
      </c>
      <c r="P33" s="93">
        <f t="shared" si="4"/>
        <v>1.3699999999999999</v>
      </c>
      <c r="Q33" s="120">
        <f t="shared" si="1"/>
        <v>29</v>
      </c>
      <c r="R33" s="22"/>
    </row>
    <row r="34" spans="1:19" ht="15.75" x14ac:dyDescent="0.25">
      <c r="A34" s="733">
        <f t="shared" si="3"/>
        <v>30</v>
      </c>
      <c r="B34" s="349">
        <v>6296</v>
      </c>
      <c r="C34" s="125" t="s">
        <v>448</v>
      </c>
      <c r="D34" s="93">
        <v>0</v>
      </c>
      <c r="E34" s="148">
        <v>-1.35</v>
      </c>
      <c r="F34" s="93">
        <v>0</v>
      </c>
      <c r="G34" s="148">
        <v>0</v>
      </c>
      <c r="H34" s="93">
        <v>0</v>
      </c>
      <c r="I34" s="148">
        <v>0</v>
      </c>
      <c r="J34" s="93">
        <v>0</v>
      </c>
      <c r="K34" s="148">
        <v>0</v>
      </c>
      <c r="L34" s="93">
        <v>0.9</v>
      </c>
      <c r="M34" s="148">
        <v>0.28000000000000003</v>
      </c>
      <c r="N34" s="93">
        <v>2.48</v>
      </c>
      <c r="O34" s="148">
        <v>2.0700000000000003</v>
      </c>
      <c r="P34" s="93">
        <f t="shared" si="4"/>
        <v>4.3800000000000008</v>
      </c>
      <c r="Q34" s="120">
        <f t="shared" si="1"/>
        <v>30</v>
      </c>
      <c r="R34" s="22"/>
    </row>
    <row r="35" spans="1:19" ht="16.5" thickBot="1" x14ac:dyDescent="0.3">
      <c r="A35" s="733">
        <f t="shared" si="3"/>
        <v>31</v>
      </c>
      <c r="B35" s="349">
        <v>6456</v>
      </c>
      <c r="C35" s="125" t="s">
        <v>449</v>
      </c>
      <c r="D35" s="93">
        <v>2100</v>
      </c>
      <c r="E35" s="148">
        <v>0</v>
      </c>
      <c r="F35" s="93">
        <v>0</v>
      </c>
      <c r="G35" s="148">
        <v>0</v>
      </c>
      <c r="H35" s="93">
        <v>0</v>
      </c>
      <c r="I35" s="148">
        <v>0</v>
      </c>
      <c r="J35" s="93">
        <v>0</v>
      </c>
      <c r="K35" s="148">
        <v>0</v>
      </c>
      <c r="L35" s="93">
        <v>2866.77</v>
      </c>
      <c r="M35" s="148">
        <v>0</v>
      </c>
      <c r="N35" s="93">
        <v>0</v>
      </c>
      <c r="O35" s="148">
        <v>0</v>
      </c>
      <c r="P35" s="93">
        <f t="shared" si="4"/>
        <v>4966.7700000000004</v>
      </c>
      <c r="Q35" s="120">
        <f t="shared" si="1"/>
        <v>31</v>
      </c>
      <c r="R35" s="22"/>
    </row>
    <row r="36" spans="1:19" ht="15.75" x14ac:dyDescent="0.25">
      <c r="A36" s="968">
        <f t="shared" si="3"/>
        <v>32</v>
      </c>
      <c r="B36" s="972">
        <v>6460</v>
      </c>
      <c r="C36" s="246" t="s">
        <v>450</v>
      </c>
      <c r="D36" s="970">
        <v>-530.54</v>
      </c>
      <c r="E36" s="971">
        <v>-19081.170000000002</v>
      </c>
      <c r="F36" s="970">
        <v>23.73</v>
      </c>
      <c r="G36" s="971">
        <v>0</v>
      </c>
      <c r="H36" s="970">
        <v>3452.99</v>
      </c>
      <c r="I36" s="971">
        <v>-17.22</v>
      </c>
      <c r="J36" s="970">
        <v>-1056.23</v>
      </c>
      <c r="K36" s="971">
        <v>19982.979999999996</v>
      </c>
      <c r="L36" s="970">
        <v>12023.17</v>
      </c>
      <c r="M36" s="971">
        <v>10117.529999999999</v>
      </c>
      <c r="N36" s="970">
        <v>-1441.8900000000003</v>
      </c>
      <c r="O36" s="971">
        <v>66230.3</v>
      </c>
      <c r="P36" s="970">
        <f t="shared" si="4"/>
        <v>89703.65</v>
      </c>
      <c r="Q36" s="150">
        <f t="shared" si="1"/>
        <v>32</v>
      </c>
      <c r="R36" s="22"/>
    </row>
    <row r="37" spans="1:19" ht="15.75" x14ac:dyDescent="0.25">
      <c r="A37" s="733">
        <f t="shared" si="3"/>
        <v>33</v>
      </c>
      <c r="B37" s="349">
        <v>6470</v>
      </c>
      <c r="C37" s="125" t="s">
        <v>451</v>
      </c>
      <c r="D37" s="93">
        <v>228.29</v>
      </c>
      <c r="E37" s="148">
        <v>874.4799999999999</v>
      </c>
      <c r="F37" s="93">
        <v>-19.829999999999998</v>
      </c>
      <c r="G37" s="148">
        <v>0</v>
      </c>
      <c r="H37" s="93">
        <v>-1164.29</v>
      </c>
      <c r="I37" s="148">
        <v>0.14000000000000001</v>
      </c>
      <c r="J37" s="93">
        <v>-55.100000000000023</v>
      </c>
      <c r="K37" s="148">
        <v>-22224.430000000004</v>
      </c>
      <c r="L37" s="93">
        <v>58.46</v>
      </c>
      <c r="M37" s="148">
        <v>256.37</v>
      </c>
      <c r="N37" s="93">
        <v>23416.129999999997</v>
      </c>
      <c r="O37" s="148">
        <v>146.57999999999998</v>
      </c>
      <c r="P37" s="93">
        <f t="shared" si="4"/>
        <v>1516.7999999999902</v>
      </c>
      <c r="Q37" s="120">
        <f t="shared" si="1"/>
        <v>33</v>
      </c>
      <c r="R37" s="22"/>
    </row>
    <row r="38" spans="1:19" ht="15.75" x14ac:dyDescent="0.25">
      <c r="A38" s="733">
        <f t="shared" si="3"/>
        <v>34</v>
      </c>
      <c r="B38" s="349">
        <v>6477</v>
      </c>
      <c r="C38" s="125" t="s">
        <v>452</v>
      </c>
      <c r="D38" s="93">
        <v>-141.29999999999998</v>
      </c>
      <c r="E38" s="148">
        <v>-578.39</v>
      </c>
      <c r="F38" s="93">
        <v>-4.3099999999999996</v>
      </c>
      <c r="G38" s="148">
        <v>-6.61</v>
      </c>
      <c r="H38" s="93">
        <v>-0.05</v>
      </c>
      <c r="I38" s="148">
        <v>-0.04</v>
      </c>
      <c r="J38" s="93">
        <v>-7.0000000000000007E-2</v>
      </c>
      <c r="K38" s="148">
        <v>0</v>
      </c>
      <c r="L38" s="93">
        <v>17.610000000000003</v>
      </c>
      <c r="M38" s="148">
        <v>257.62</v>
      </c>
      <c r="N38" s="93">
        <v>-213.33</v>
      </c>
      <c r="O38" s="148">
        <v>419.86</v>
      </c>
      <c r="P38" s="93">
        <f t="shared" si="4"/>
        <v>-249.00999999999988</v>
      </c>
      <c r="Q38" s="120">
        <f t="shared" si="1"/>
        <v>34</v>
      </c>
      <c r="R38" s="22"/>
    </row>
    <row r="39" spans="1:19" ht="15.75" x14ac:dyDescent="0.25">
      <c r="A39" s="733">
        <f t="shared" si="3"/>
        <v>35</v>
      </c>
      <c r="B39" s="349">
        <v>6678</v>
      </c>
      <c r="C39" s="125" t="s">
        <v>453</v>
      </c>
      <c r="D39" s="93">
        <v>20.39</v>
      </c>
      <c r="E39" s="148">
        <v>0.83</v>
      </c>
      <c r="F39" s="93">
        <v>-1.69</v>
      </c>
      <c r="G39" s="148">
        <v>-669.12</v>
      </c>
      <c r="H39" s="93">
        <v>4.8899999999999997</v>
      </c>
      <c r="I39" s="148">
        <v>-4.0000000000000008E-2</v>
      </c>
      <c r="J39" s="93">
        <v>7.0000000000000007E-2</v>
      </c>
      <c r="K39" s="148">
        <v>-3.8899999999999997</v>
      </c>
      <c r="L39" s="93">
        <v>265.48</v>
      </c>
      <c r="M39" s="148">
        <v>144.77000000000001</v>
      </c>
      <c r="N39" s="93">
        <v>203.95</v>
      </c>
      <c r="O39" s="148">
        <v>62.16</v>
      </c>
      <c r="P39" s="93">
        <f t="shared" si="4"/>
        <v>27.800000000000068</v>
      </c>
      <c r="Q39" s="120">
        <f t="shared" si="1"/>
        <v>35</v>
      </c>
      <c r="R39" s="22"/>
    </row>
    <row r="40" spans="1:19" ht="16.5" thickBot="1" x14ac:dyDescent="0.3">
      <c r="A40" s="969">
        <f t="shared" si="3"/>
        <v>36</v>
      </c>
      <c r="B40" s="463">
        <v>6774</v>
      </c>
      <c r="C40" s="126" t="s">
        <v>454</v>
      </c>
      <c r="D40" s="920">
        <v>59.42</v>
      </c>
      <c r="E40" s="719">
        <v>-77.7</v>
      </c>
      <c r="F40" s="920">
        <v>0</v>
      </c>
      <c r="G40" s="719">
        <v>14.61</v>
      </c>
      <c r="H40" s="920">
        <v>-0.09</v>
      </c>
      <c r="I40" s="719">
        <v>0.05</v>
      </c>
      <c r="J40" s="920">
        <v>-0.03</v>
      </c>
      <c r="K40" s="719">
        <v>0</v>
      </c>
      <c r="L40" s="920">
        <v>1576.8999999999999</v>
      </c>
      <c r="M40" s="719">
        <v>127.98</v>
      </c>
      <c r="N40" s="920">
        <v>526.65</v>
      </c>
      <c r="O40" s="719">
        <v>718.85</v>
      </c>
      <c r="P40" s="920">
        <f t="shared" si="4"/>
        <v>2946.64</v>
      </c>
      <c r="Q40" s="121">
        <f t="shared" si="1"/>
        <v>36</v>
      </c>
      <c r="R40" s="22"/>
    </row>
    <row r="41" spans="1:19" ht="17.25" customHeight="1" x14ac:dyDescent="0.25">
      <c r="A41" s="733">
        <f t="shared" si="3"/>
        <v>37</v>
      </c>
      <c r="B41" s="349">
        <v>6790</v>
      </c>
      <c r="C41" s="125" t="s">
        <v>455</v>
      </c>
      <c r="D41" s="93">
        <v>-62.44</v>
      </c>
      <c r="E41" s="148">
        <v>-6.57</v>
      </c>
      <c r="F41" s="93">
        <v>0</v>
      </c>
      <c r="G41" s="148">
        <v>0.94</v>
      </c>
      <c r="H41" s="93">
        <v>0</v>
      </c>
      <c r="I41" s="148">
        <v>0.28999999999999998</v>
      </c>
      <c r="J41" s="93"/>
      <c r="K41" s="148"/>
      <c r="L41" s="93">
        <v>418.14</v>
      </c>
      <c r="M41" s="148">
        <v>-81.290000000000006</v>
      </c>
      <c r="N41" s="93">
        <v>-68.239999999999995</v>
      </c>
      <c r="O41" s="148">
        <v>-389.68</v>
      </c>
      <c r="P41" s="93">
        <f t="shared" si="4"/>
        <v>-188.85000000000002</v>
      </c>
      <c r="Q41" s="120">
        <f t="shared" si="1"/>
        <v>37</v>
      </c>
      <c r="R41" s="22"/>
    </row>
    <row r="42" spans="1:19" ht="15.75" x14ac:dyDescent="0.25">
      <c r="A42" s="733">
        <f t="shared" si="3"/>
        <v>38</v>
      </c>
      <c r="B42" s="349">
        <v>6985</v>
      </c>
      <c r="C42" s="125" t="s">
        <v>456</v>
      </c>
      <c r="D42" s="93">
        <v>-727.85000000000014</v>
      </c>
      <c r="E42" s="148">
        <v>4068.86</v>
      </c>
      <c r="F42" s="93">
        <v>10721.150000000001</v>
      </c>
      <c r="G42" s="148">
        <v>14874.939999999999</v>
      </c>
      <c r="H42" s="93">
        <v>16808.179999999997</v>
      </c>
      <c r="I42" s="148">
        <v>751.25</v>
      </c>
      <c r="J42" s="93">
        <v>7866.7</v>
      </c>
      <c r="K42" s="148">
        <v>5965.5300000000007</v>
      </c>
      <c r="L42" s="93">
        <v>5781.28</v>
      </c>
      <c r="M42" s="148">
        <v>-3986.23</v>
      </c>
      <c r="N42" s="93">
        <v>5876.52</v>
      </c>
      <c r="O42" s="148">
        <v>16413.37</v>
      </c>
      <c r="P42" s="93">
        <f t="shared" si="4"/>
        <v>84413.699999999983</v>
      </c>
      <c r="Q42" s="120">
        <f t="shared" si="1"/>
        <v>38</v>
      </c>
      <c r="R42" s="22"/>
    </row>
    <row r="43" spans="1:19" ht="15.75" x14ac:dyDescent="0.25">
      <c r="A43" s="733">
        <f t="shared" si="3"/>
        <v>39</v>
      </c>
      <c r="B43" s="966">
        <v>7077</v>
      </c>
      <c r="C43" s="125" t="s">
        <v>457</v>
      </c>
      <c r="D43" s="93">
        <v>0</v>
      </c>
      <c r="E43" s="148">
        <v>0</v>
      </c>
      <c r="F43" s="93">
        <v>0</v>
      </c>
      <c r="G43" s="148">
        <v>0</v>
      </c>
      <c r="H43" s="93">
        <v>0</v>
      </c>
      <c r="I43" s="148">
        <v>0</v>
      </c>
      <c r="J43" s="93">
        <v>0</v>
      </c>
      <c r="K43" s="148">
        <v>0</v>
      </c>
      <c r="L43" s="93">
        <v>0.45</v>
      </c>
      <c r="M43" s="148">
        <v>0</v>
      </c>
      <c r="N43" s="93">
        <v>-0.5</v>
      </c>
      <c r="O43" s="148">
        <v>0</v>
      </c>
      <c r="P43" s="93">
        <f t="shared" si="4"/>
        <v>-4.9999999999999989E-2</v>
      </c>
      <c r="Q43" s="120">
        <f t="shared" si="1"/>
        <v>39</v>
      </c>
      <c r="R43" s="22"/>
    </row>
    <row r="44" spans="1:19" ht="15.75" x14ac:dyDescent="0.25">
      <c r="A44" s="733">
        <f t="shared" si="3"/>
        <v>40</v>
      </c>
      <c r="B44" s="349">
        <v>7087</v>
      </c>
      <c r="C44" s="125" t="s">
        <v>458</v>
      </c>
      <c r="D44" s="93">
        <v>0</v>
      </c>
      <c r="E44" s="148">
        <v>0</v>
      </c>
      <c r="F44" s="93">
        <v>0</v>
      </c>
      <c r="G44" s="148">
        <v>0</v>
      </c>
      <c r="H44" s="93">
        <v>0</v>
      </c>
      <c r="I44" s="148">
        <v>0</v>
      </c>
      <c r="J44" s="93">
        <v>0</v>
      </c>
      <c r="K44" s="148">
        <v>0</v>
      </c>
      <c r="L44" s="93">
        <v>0</v>
      </c>
      <c r="M44" s="148">
        <v>2.1800000000000002</v>
      </c>
      <c r="N44" s="93">
        <v>-7.0000000000000007E-2</v>
      </c>
      <c r="O44" s="148">
        <v>0</v>
      </c>
      <c r="P44" s="119">
        <f t="shared" si="4"/>
        <v>2.1100000000000003</v>
      </c>
      <c r="Q44" s="349">
        <f t="shared" si="1"/>
        <v>40</v>
      </c>
      <c r="R44" s="22"/>
    </row>
    <row r="45" spans="1:19" ht="15.75" x14ac:dyDescent="0.25">
      <c r="A45" s="733">
        <f t="shared" si="3"/>
        <v>41</v>
      </c>
      <c r="B45" s="349">
        <v>7088</v>
      </c>
      <c r="C45" s="149" t="s">
        <v>459</v>
      </c>
      <c r="D45" s="93">
        <v>-0.2</v>
      </c>
      <c r="E45" s="148">
        <v>4.6900000000000004</v>
      </c>
      <c r="F45" s="93">
        <v>0</v>
      </c>
      <c r="G45" s="148">
        <v>7.0000000000000007E-2</v>
      </c>
      <c r="H45" s="93">
        <v>4.5</v>
      </c>
      <c r="I45" s="148">
        <v>0</v>
      </c>
      <c r="J45" s="93">
        <v>0.95</v>
      </c>
      <c r="K45" s="148">
        <v>12.54</v>
      </c>
      <c r="L45" s="93">
        <v>1.32</v>
      </c>
      <c r="M45" s="148">
        <v>0.36</v>
      </c>
      <c r="N45" s="93">
        <v>0</v>
      </c>
      <c r="O45" s="148">
        <v>-15.75</v>
      </c>
      <c r="P45" s="93">
        <f t="shared" si="4"/>
        <v>8.4799999999999969</v>
      </c>
      <c r="Q45" s="120">
        <f t="shared" si="1"/>
        <v>41</v>
      </c>
      <c r="R45" s="22"/>
    </row>
    <row r="46" spans="1:19" ht="15.75" x14ac:dyDescent="0.25">
      <c r="A46" s="733">
        <f t="shared" si="3"/>
        <v>42</v>
      </c>
      <c r="B46" s="349">
        <v>7999</v>
      </c>
      <c r="C46" s="149" t="s">
        <v>460</v>
      </c>
      <c r="D46" s="481">
        <f>17078.96-'WP 12 PTO'!D9</f>
        <v>1.5499999999992724</v>
      </c>
      <c r="E46" s="928">
        <f>3501.39-'WP 12 PTO'!E9</f>
        <v>5.1500000000000909</v>
      </c>
      <c r="F46" s="481">
        <f>118.8-'WP 12 PTO'!F9</f>
        <v>25.47</v>
      </c>
      <c r="G46" s="928">
        <f>349.46-'WP 12 PTO'!G9</f>
        <v>13.399999999999977</v>
      </c>
      <c r="H46" s="481">
        <f>5273.75-'WP 12 PTO'!H9</f>
        <v>5.7899999999999636</v>
      </c>
      <c r="I46" s="928">
        <f>17782.91-'WP 12 PTO'!I9</f>
        <v>24.729999999999563</v>
      </c>
      <c r="J46" s="481">
        <f>1584.19-'WP 12 PTO'!J9</f>
        <v>17.519999999999982</v>
      </c>
      <c r="K46" s="928">
        <f>62.56-'WP 12 PTO'!K9</f>
        <v>62.56</v>
      </c>
      <c r="L46" s="481">
        <f>43.9-'WP 12 PTO'!L9</f>
        <v>43.9</v>
      </c>
      <c r="M46" s="928">
        <f>184300.28-'WP 12 PTO'!M9</f>
        <v>29.290000000008149</v>
      </c>
      <c r="N46" s="481">
        <f>228905.15-'WP 12 PTO'!N9</f>
        <v>525.88000000000466</v>
      </c>
      <c r="O46" s="928">
        <f>167125.63-'WP 12 PTO'!O9</f>
        <v>550.52000000001863</v>
      </c>
      <c r="P46" s="481">
        <f t="shared" si="4"/>
        <v>1305.7600000000302</v>
      </c>
      <c r="Q46" s="120">
        <f t="shared" si="1"/>
        <v>42</v>
      </c>
      <c r="R46" s="940"/>
      <c r="S46" s="941"/>
    </row>
    <row r="47" spans="1:19" ht="15.75" x14ac:dyDescent="0.25">
      <c r="A47" s="733">
        <f t="shared" si="3"/>
        <v>43</v>
      </c>
      <c r="B47" s="349"/>
      <c r="C47" s="125"/>
      <c r="D47" s="93"/>
      <c r="E47" s="148"/>
      <c r="F47" s="93"/>
      <c r="G47" s="148"/>
      <c r="H47" s="93"/>
      <c r="I47" s="148"/>
      <c r="J47" s="93"/>
      <c r="K47" s="148"/>
      <c r="L47" s="93"/>
      <c r="M47" s="148"/>
      <c r="N47" s="93"/>
      <c r="O47" s="148"/>
      <c r="P47" s="93"/>
      <c r="Q47" s="120">
        <f t="shared" si="1"/>
        <v>43</v>
      </c>
      <c r="R47" s="22"/>
    </row>
    <row r="48" spans="1:19" ht="16.5" thickBot="1" x14ac:dyDescent="0.3">
      <c r="A48" s="733">
        <f t="shared" si="3"/>
        <v>44</v>
      </c>
      <c r="B48" s="703"/>
      <c r="C48" s="353" t="s">
        <v>461</v>
      </c>
      <c r="D48" s="485">
        <f t="shared" ref="D48:P48" si="5">SUM(D4:D46)</f>
        <v>-49870.430000000008</v>
      </c>
      <c r="E48" s="487">
        <f t="shared" si="5"/>
        <v>-195533.86000000007</v>
      </c>
      <c r="F48" s="485">
        <f t="shared" si="5"/>
        <v>-48369.76999999999</v>
      </c>
      <c r="G48" s="487">
        <f t="shared" si="5"/>
        <v>-58168.59</v>
      </c>
      <c r="H48" s="485">
        <f t="shared" si="5"/>
        <v>-55169.139999999992</v>
      </c>
      <c r="I48" s="487">
        <f t="shared" si="5"/>
        <v>22315.189999999991</v>
      </c>
      <c r="J48" s="485">
        <f t="shared" si="5"/>
        <v>23102.301760000002</v>
      </c>
      <c r="K48" s="487">
        <f t="shared" si="5"/>
        <v>20153.409120000008</v>
      </c>
      <c r="L48" s="485">
        <f t="shared" si="5"/>
        <v>55969.450000000004</v>
      </c>
      <c r="M48" s="487">
        <f t="shared" si="5"/>
        <v>-19240.010000000009</v>
      </c>
      <c r="N48" s="485">
        <f t="shared" si="5"/>
        <v>-45628.80000000001</v>
      </c>
      <c r="O48" s="487">
        <f t="shared" si="5"/>
        <v>59000.945699999982</v>
      </c>
      <c r="P48" s="485">
        <f t="shared" si="5"/>
        <v>-291439.30341999995</v>
      </c>
      <c r="Q48" s="120">
        <f t="shared" si="1"/>
        <v>44</v>
      </c>
      <c r="R48" s="22"/>
    </row>
    <row r="49" spans="1:19" ht="17.25" thickTop="1" thickBot="1" x14ac:dyDescent="0.3">
      <c r="A49" s="969">
        <f t="shared" si="3"/>
        <v>45</v>
      </c>
      <c r="B49" s="124"/>
      <c r="C49" s="946"/>
      <c r="D49" s="934"/>
      <c r="E49" s="909"/>
      <c r="F49" s="934"/>
      <c r="G49" s="909"/>
      <c r="H49" s="934"/>
      <c r="I49" s="909"/>
      <c r="J49" s="317"/>
      <c r="K49" s="451"/>
      <c r="L49" s="317"/>
      <c r="M49" s="909"/>
      <c r="N49" s="934"/>
      <c r="O49" s="909"/>
      <c r="P49" s="317"/>
      <c r="Q49" s="121">
        <f t="shared" si="1"/>
        <v>45</v>
      </c>
      <c r="R49" s="22"/>
      <c r="S49" s="372"/>
    </row>
    <row r="50" spans="1:19" ht="15.75" x14ac:dyDescent="0.25">
      <c r="A50" s="733">
        <f t="shared" si="3"/>
        <v>46</v>
      </c>
      <c r="B50" s="122"/>
      <c r="C50" s="947"/>
      <c r="D50" s="938"/>
      <c r="E50" s="910"/>
      <c r="F50" s="938"/>
      <c r="G50" s="721"/>
      <c r="H50" s="78"/>
      <c r="I50" s="721"/>
      <c r="J50" s="938"/>
      <c r="K50" s="910"/>
      <c r="L50" s="938"/>
      <c r="M50" s="910"/>
      <c r="N50" s="938"/>
      <c r="O50" s="910"/>
      <c r="P50" s="78"/>
      <c r="Q50" s="150">
        <f t="shared" si="1"/>
        <v>46</v>
      </c>
      <c r="R50" s="22"/>
      <c r="S50" s="372"/>
    </row>
    <row r="51" spans="1:19" ht="15.75" x14ac:dyDescent="0.25">
      <c r="A51" s="733">
        <f t="shared" si="3"/>
        <v>47</v>
      </c>
      <c r="B51" s="123"/>
      <c r="C51" s="125" t="s">
        <v>527</v>
      </c>
      <c r="D51" s="935">
        <f t="shared" ref="D51:P51" si="6">D48</f>
        <v>-49870.430000000008</v>
      </c>
      <c r="E51" s="722">
        <f t="shared" si="6"/>
        <v>-195533.86000000007</v>
      </c>
      <c r="F51" s="935">
        <f t="shared" si="6"/>
        <v>-48369.76999999999</v>
      </c>
      <c r="G51" s="722">
        <f t="shared" si="6"/>
        <v>-58168.59</v>
      </c>
      <c r="H51" s="935">
        <f t="shared" si="6"/>
        <v>-55169.139999999992</v>
      </c>
      <c r="I51" s="722">
        <f t="shared" si="6"/>
        <v>22315.189999999991</v>
      </c>
      <c r="J51" s="935">
        <f t="shared" si="6"/>
        <v>23102.301760000002</v>
      </c>
      <c r="K51" s="722">
        <f t="shared" si="6"/>
        <v>20153.409120000008</v>
      </c>
      <c r="L51" s="935">
        <f t="shared" si="6"/>
        <v>55969.450000000004</v>
      </c>
      <c r="M51" s="722">
        <f t="shared" si="6"/>
        <v>-19240.010000000009</v>
      </c>
      <c r="N51" s="935">
        <f t="shared" si="6"/>
        <v>-45628.80000000001</v>
      </c>
      <c r="O51" s="722">
        <f t="shared" si="6"/>
        <v>59000.945699999982</v>
      </c>
      <c r="P51" s="935">
        <f t="shared" si="6"/>
        <v>-291439.30341999995</v>
      </c>
      <c r="Q51" s="120">
        <f t="shared" si="1"/>
        <v>47</v>
      </c>
      <c r="R51" s="22"/>
    </row>
    <row r="52" spans="1:19" ht="15.75" x14ac:dyDescent="0.25">
      <c r="A52" s="733">
        <f t="shared" si="3"/>
        <v>48</v>
      </c>
      <c r="B52" s="123"/>
      <c r="C52" s="125" t="s">
        <v>462</v>
      </c>
      <c r="D52" s="936">
        <f>'WP 4 Monthly TRBAA '!C19</f>
        <v>-49870.430000000008</v>
      </c>
      <c r="E52" s="723">
        <f>'WP 4 Monthly TRBAA '!D19</f>
        <v>-195533.86000000007</v>
      </c>
      <c r="F52" s="936">
        <f>'WP 4 Monthly TRBAA '!E19</f>
        <v>-48369.76999999999</v>
      </c>
      <c r="G52" s="723">
        <f>'WP 4 Monthly TRBAA '!F19</f>
        <v>-58168.59</v>
      </c>
      <c r="H52" s="936">
        <f>'WP 4 Monthly TRBAA '!G19</f>
        <v>-55169.139999999992</v>
      </c>
      <c r="I52" s="723">
        <f>'WP 4 Monthly TRBAA '!H19</f>
        <v>22315.189999999991</v>
      </c>
      <c r="J52" s="936">
        <f>'WP 4 Monthly TRBAA '!I19</f>
        <v>23102.301760000002</v>
      </c>
      <c r="K52" s="723">
        <f>'WP 4 Monthly TRBAA '!J19</f>
        <v>20153.409120000008</v>
      </c>
      <c r="L52" s="936">
        <f>'WP 4 Monthly TRBAA '!K19</f>
        <v>55969.450000000004</v>
      </c>
      <c r="M52" s="913">
        <f>'WP 4 Monthly TRBAA '!L19</f>
        <v>-19240.010000000009</v>
      </c>
      <c r="N52" s="936">
        <f>'WP 4 Monthly TRBAA '!M19</f>
        <v>-45628.80000000001</v>
      </c>
      <c r="O52" s="723">
        <f>'WP 4 Monthly TRBAA '!N19</f>
        <v>59000.945699999982</v>
      </c>
      <c r="P52" s="936">
        <f>SUM(D52:O52)</f>
        <v>-291439.30342000001</v>
      </c>
      <c r="Q52" s="120">
        <f t="shared" si="1"/>
        <v>48</v>
      </c>
      <c r="R52" s="22"/>
    </row>
    <row r="53" spans="1:19" ht="16.5" thickBot="1" x14ac:dyDescent="0.3">
      <c r="A53" s="969">
        <f t="shared" si="3"/>
        <v>49</v>
      </c>
      <c r="B53" s="124"/>
      <c r="C53" s="126" t="s">
        <v>75</v>
      </c>
      <c r="D53" s="937">
        <f>D51-D52</f>
        <v>0</v>
      </c>
      <c r="E53" s="914">
        <f t="shared" ref="E53:P53" si="7">E51-E52</f>
        <v>0</v>
      </c>
      <c r="F53" s="939">
        <f t="shared" si="7"/>
        <v>0</v>
      </c>
      <c r="G53" s="725">
        <f t="shared" si="7"/>
        <v>0</v>
      </c>
      <c r="H53" s="937">
        <f t="shared" si="7"/>
        <v>0</v>
      </c>
      <c r="I53" s="725">
        <f t="shared" si="7"/>
        <v>0</v>
      </c>
      <c r="J53" s="937">
        <f t="shared" si="7"/>
        <v>0</v>
      </c>
      <c r="K53" s="725">
        <f t="shared" si="7"/>
        <v>0</v>
      </c>
      <c r="L53" s="937">
        <f t="shared" si="7"/>
        <v>0</v>
      </c>
      <c r="M53" s="911">
        <f t="shared" si="7"/>
        <v>0</v>
      </c>
      <c r="N53" s="937">
        <f t="shared" si="7"/>
        <v>0</v>
      </c>
      <c r="O53" s="725">
        <f t="shared" si="7"/>
        <v>0</v>
      </c>
      <c r="P53" s="937">
        <f t="shared" si="7"/>
        <v>0</v>
      </c>
      <c r="Q53" s="121">
        <f t="shared" si="1"/>
        <v>49</v>
      </c>
      <c r="R53" s="22"/>
    </row>
    <row r="54" spans="1:19" ht="15.75" x14ac:dyDescent="0.25">
      <c r="B54" s="22"/>
      <c r="C54" s="22"/>
      <c r="D54" s="78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40"/>
    </row>
    <row r="55" spans="1:19" ht="15.75" x14ac:dyDescent="0.25">
      <c r="B55" s="22"/>
      <c r="C55" s="22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151"/>
    </row>
    <row r="56" spans="1:19" ht="15.75" x14ac:dyDescent="0.25">
      <c r="B56" s="22"/>
      <c r="C56" s="22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</row>
    <row r="57" spans="1:19" ht="15.75" x14ac:dyDescent="0.25">
      <c r="B57" s="22"/>
      <c r="C57" s="22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1:19" ht="15.75" x14ac:dyDescent="0.25">
      <c r="B58" s="22"/>
      <c r="C58" s="22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1:19" ht="15.75" x14ac:dyDescent="0.25">
      <c r="B59" s="22"/>
      <c r="C59" s="22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1:19" ht="15.75" x14ac:dyDescent="0.25">
      <c r="B60" s="22"/>
      <c r="C60" s="22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1:19" ht="15.75" x14ac:dyDescent="0.25">
      <c r="B61" s="22"/>
      <c r="C61" s="22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1:19" ht="15.75" x14ac:dyDescent="0.25">
      <c r="B62" s="22"/>
      <c r="C62" s="22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1:19" ht="15.75" x14ac:dyDescent="0.25">
      <c r="B63" s="22"/>
      <c r="C63" s="22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1:19" ht="15.75" x14ac:dyDescent="0.25">
      <c r="B64" s="22"/>
      <c r="C64" s="22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2:16" ht="15.75" x14ac:dyDescent="0.25">
      <c r="B65" s="22"/>
      <c r="C65" s="22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2:16" ht="15.75" x14ac:dyDescent="0.25">
      <c r="B66" s="22"/>
      <c r="C66" s="22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6" ht="15.75" x14ac:dyDescent="0.25">
      <c r="B67" s="22"/>
      <c r="C67" s="22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6" ht="15.75" x14ac:dyDescent="0.25">
      <c r="B68" s="22"/>
      <c r="C68" s="22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2:16" ht="15.75" x14ac:dyDescent="0.25">
      <c r="B69" s="22"/>
      <c r="C69" s="22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2:16" ht="15.75" x14ac:dyDescent="0.25">
      <c r="B70" s="22"/>
      <c r="C70" s="22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2:16" ht="15.75" x14ac:dyDescent="0.25">
      <c r="B71" s="22"/>
      <c r="C71" s="22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2:16" ht="15.75" x14ac:dyDescent="0.25">
      <c r="B72" s="22"/>
      <c r="C72" s="22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2:16" ht="15.75" x14ac:dyDescent="0.25">
      <c r="B73" s="22"/>
      <c r="C73" s="22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2:16" ht="15.75" x14ac:dyDescent="0.25">
      <c r="B74" s="22"/>
      <c r="C74" s="22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2:16" ht="15.75" x14ac:dyDescent="0.25">
      <c r="B75" s="22"/>
      <c r="C75" s="22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2:16" ht="15.75" x14ac:dyDescent="0.25">
      <c r="B76" s="22"/>
      <c r="C76" s="22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2:16" ht="15.75" x14ac:dyDescent="0.25">
      <c r="B77" s="22"/>
      <c r="C77" s="22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2:16" ht="15.75" x14ac:dyDescent="0.25">
      <c r="B78" s="22"/>
      <c r="C78" s="22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2:16" ht="15.75" x14ac:dyDescent="0.25">
      <c r="B79" s="22"/>
      <c r="C79" s="22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2:16" ht="15.75" x14ac:dyDescent="0.25">
      <c r="B80" s="22"/>
      <c r="C80" s="22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2:16" ht="15.75" x14ac:dyDescent="0.25">
      <c r="B81" s="22"/>
      <c r="C81" s="22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2:16" ht="15.75" x14ac:dyDescent="0.25">
      <c r="B82" s="22"/>
      <c r="C82" s="22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2:16" ht="15.75" x14ac:dyDescent="0.25">
      <c r="B83" s="22"/>
      <c r="C83" s="22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2:16" ht="15.75" x14ac:dyDescent="0.25">
      <c r="B84" s="22"/>
      <c r="C84" s="22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2:16" ht="15.75" x14ac:dyDescent="0.25">
      <c r="B85" s="22"/>
      <c r="C85" s="22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2:16" ht="15.75" x14ac:dyDescent="0.25">
      <c r="B86" s="22"/>
      <c r="C86" s="22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2:16" ht="15.75" x14ac:dyDescent="0.25">
      <c r="B87" s="22"/>
      <c r="C87" s="22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2:16" ht="15.75" x14ac:dyDescent="0.25">
      <c r="B88" s="22"/>
      <c r="C88" s="22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2:16" ht="15.75" x14ac:dyDescent="0.25">
      <c r="B89" s="22"/>
      <c r="C89" s="22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2:16" ht="15.75" x14ac:dyDescent="0.25">
      <c r="B90" s="22"/>
      <c r="C90" s="22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2:16" ht="15.75" x14ac:dyDescent="0.25">
      <c r="B91" s="22"/>
      <c r="C91" s="22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2:16" ht="15.75" x14ac:dyDescent="0.25">
      <c r="B92" s="22"/>
      <c r="C92" s="22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</sheetData>
  <printOptions horizontalCentered="1"/>
  <pageMargins left="0" right="0" top="1.25" bottom="0.5" header="0.5" footer="0.25"/>
  <pageSetup scale="65" fitToWidth="2" fitToHeight="2" orientation="portrait" r:id="rId1"/>
  <headerFooter alignWithMargins="0">
    <oddHeader>&amp;C&amp;"Times New Roman,Bold"&amp;14San Diego Gas &amp;&amp; Electric Company
2025 TRBAA Rate Filing
Details of Monthly ETC Cost Differentials</oddHeader>
    <oddFooter>&amp;L&amp;"Times New Roman,Regular"&amp;12&amp;F&amp;C&amp;"Times New Roman,Regular"&amp;12Page - 10.&amp;P&amp;R&amp;"Times New Roman,Regular"&amp;12&amp;A</oddFooter>
  </headerFooter>
  <colBreaks count="2" manualBreakCount="2">
    <brk id="7" min="2" max="64" man="1"/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F48"/>
  <sheetViews>
    <sheetView zoomScale="80" zoomScaleNormal="80" workbookViewId="0"/>
  </sheetViews>
  <sheetFormatPr defaultColWidth="9.42578125" defaultRowHeight="15.75" x14ac:dyDescent="0.25"/>
  <cols>
    <col min="1" max="1" width="5.42578125" style="107" bestFit="1" customWidth="1"/>
    <col min="2" max="2" width="38.5703125" style="131" bestFit="1" customWidth="1"/>
    <col min="3" max="3" width="28.7109375" style="107" bestFit="1" customWidth="1"/>
    <col min="4" max="4" width="47.7109375" style="107" customWidth="1"/>
    <col min="5" max="5" width="5.42578125" style="107" bestFit="1" customWidth="1"/>
    <col min="6" max="6" width="2.42578125" style="107" bestFit="1" customWidth="1"/>
    <col min="7" max="11" width="9.42578125" style="107"/>
    <col min="12" max="12" width="10.5703125" style="107" bestFit="1" customWidth="1"/>
    <col min="13" max="16384" width="9.42578125" style="107"/>
  </cols>
  <sheetData>
    <row r="2" spans="1:6" x14ac:dyDescent="0.25">
      <c r="A2" s="976" t="s">
        <v>1</v>
      </c>
      <c r="B2" s="976"/>
      <c r="C2" s="976"/>
      <c r="D2" s="976"/>
      <c r="E2" s="976"/>
    </row>
    <row r="3" spans="1:6" x14ac:dyDescent="0.25">
      <c r="A3" s="976" t="str">
        <f>'WP 8 CT4575'!A3:E3</f>
        <v>2025 - TRBAA Rate Filing</v>
      </c>
      <c r="B3" s="976"/>
      <c r="C3" s="976"/>
      <c r="D3" s="976"/>
      <c r="E3" s="976"/>
    </row>
    <row r="4" spans="1:6" x14ac:dyDescent="0.25">
      <c r="A4" s="976" t="s">
        <v>463</v>
      </c>
      <c r="B4" s="976"/>
      <c r="C4" s="976"/>
      <c r="D4" s="976"/>
      <c r="E4" s="976"/>
    </row>
    <row r="5" spans="1:6" ht="16.5" thickBot="1" x14ac:dyDescent="0.3">
      <c r="A5" s="338"/>
      <c r="B5" s="663"/>
      <c r="C5" s="664"/>
      <c r="D5" s="338"/>
      <c r="E5" s="338"/>
    </row>
    <row r="6" spans="1:6" ht="39.75" customHeight="1" thickBot="1" x14ac:dyDescent="0.3">
      <c r="A6" s="665" t="s">
        <v>69</v>
      </c>
      <c r="B6" s="337" t="s">
        <v>402</v>
      </c>
      <c r="C6" s="680" t="s">
        <v>464</v>
      </c>
      <c r="D6" s="591" t="s">
        <v>16</v>
      </c>
      <c r="E6" s="667" t="s">
        <v>69</v>
      </c>
    </row>
    <row r="7" spans="1:6" x14ac:dyDescent="0.25">
      <c r="A7" s="453"/>
      <c r="B7" s="785"/>
      <c r="C7" s="431"/>
      <c r="D7" s="430"/>
      <c r="E7" s="454"/>
    </row>
    <row r="8" spans="1:6" x14ac:dyDescent="0.25">
      <c r="A8" s="334">
        <v>1</v>
      </c>
      <c r="B8" s="108">
        <f>'WP 7 Wheeling Revenues'!B11</f>
        <v>45200</v>
      </c>
      <c r="C8" s="19">
        <f>'WP 5 CAISO Charges'!C19</f>
        <v>14563.56</v>
      </c>
      <c r="D8" s="23" t="s">
        <v>465</v>
      </c>
      <c r="E8" s="335">
        <f>A8</f>
        <v>1</v>
      </c>
      <c r="F8" s="786"/>
    </row>
    <row r="9" spans="1:6" x14ac:dyDescent="0.25">
      <c r="A9" s="334">
        <f>A8+1</f>
        <v>2</v>
      </c>
      <c r="B9" s="108"/>
      <c r="C9" s="19"/>
      <c r="D9" s="10"/>
      <c r="E9" s="335">
        <f t="shared" ref="E9:E33" si="0">A9</f>
        <v>2</v>
      </c>
      <c r="F9" s="786"/>
    </row>
    <row r="10" spans="1:6" x14ac:dyDescent="0.25">
      <c r="A10" s="334">
        <f t="shared" ref="A10:A32" si="1">A9+1</f>
        <v>3</v>
      </c>
      <c r="B10" s="108">
        <f>'WP 7 Wheeling Revenues'!B13</f>
        <v>45231</v>
      </c>
      <c r="C10" s="31">
        <f>'WP 5 CAISO Charges'!D19</f>
        <v>-1028.8900000000003</v>
      </c>
      <c r="D10" s="23" t="str">
        <f>D8</f>
        <v>Work paper No. 5; Page 5.1 and 5.2; Line 13</v>
      </c>
      <c r="E10" s="335">
        <f t="shared" si="0"/>
        <v>3</v>
      </c>
    </row>
    <row r="11" spans="1:6" x14ac:dyDescent="0.25">
      <c r="A11" s="334">
        <f t="shared" si="1"/>
        <v>4</v>
      </c>
      <c r="B11" s="108"/>
      <c r="C11" s="31"/>
      <c r="D11" s="10"/>
      <c r="E11" s="335">
        <f t="shared" si="0"/>
        <v>4</v>
      </c>
    </row>
    <row r="12" spans="1:6" ht="16.5" thickBot="1" x14ac:dyDescent="0.3">
      <c r="A12" s="336">
        <f t="shared" si="1"/>
        <v>5</v>
      </c>
      <c r="B12" s="109">
        <f>'WP 7 Wheeling Revenues'!B15</f>
        <v>45261</v>
      </c>
      <c r="C12" s="58">
        <f>'WP 5 CAISO Charges'!E19</f>
        <v>-46489.33</v>
      </c>
      <c r="D12" s="649" t="str">
        <f>D8</f>
        <v>Work paper No. 5; Page 5.1 and 5.2; Line 13</v>
      </c>
      <c r="E12" s="339">
        <f t="shared" si="0"/>
        <v>5</v>
      </c>
    </row>
    <row r="13" spans="1:6" x14ac:dyDescent="0.25">
      <c r="A13" s="334">
        <f t="shared" si="1"/>
        <v>6</v>
      </c>
      <c r="B13" s="108"/>
      <c r="C13" s="31"/>
      <c r="D13" s="23"/>
      <c r="E13" s="335">
        <f t="shared" si="0"/>
        <v>6</v>
      </c>
    </row>
    <row r="14" spans="1:6" x14ac:dyDescent="0.25">
      <c r="A14" s="334">
        <f t="shared" si="1"/>
        <v>7</v>
      </c>
      <c r="B14" s="108">
        <f>'WP 7 Wheeling Revenues'!B17</f>
        <v>45292</v>
      </c>
      <c r="C14" s="31">
        <f>'WP 5 CAISO Charges'!F19</f>
        <v>-16346.94</v>
      </c>
      <c r="D14" s="23" t="str">
        <f>D8</f>
        <v>Work paper No. 5; Page 5.1 and 5.2; Line 13</v>
      </c>
      <c r="E14" s="335">
        <f t="shared" si="0"/>
        <v>7</v>
      </c>
    </row>
    <row r="15" spans="1:6" x14ac:dyDescent="0.25">
      <c r="A15" s="334">
        <f t="shared" si="1"/>
        <v>8</v>
      </c>
      <c r="B15" s="108"/>
      <c r="C15" s="31"/>
      <c r="D15" s="10"/>
      <c r="E15" s="335">
        <f t="shared" si="0"/>
        <v>8</v>
      </c>
    </row>
    <row r="16" spans="1:6" x14ac:dyDescent="0.25">
      <c r="A16" s="334">
        <f t="shared" si="1"/>
        <v>9</v>
      </c>
      <c r="B16" s="108">
        <f>'WP 7 Wheeling Revenues'!B19</f>
        <v>45323</v>
      </c>
      <c r="C16" s="31">
        <f>'WP 5 CAISO Charges'!G19</f>
        <v>-7661.5199999999995</v>
      </c>
      <c r="D16" s="23" t="str">
        <f>D8</f>
        <v>Work paper No. 5; Page 5.1 and 5.2; Line 13</v>
      </c>
      <c r="E16" s="335">
        <f t="shared" si="0"/>
        <v>9</v>
      </c>
    </row>
    <row r="17" spans="1:5" x14ac:dyDescent="0.25">
      <c r="A17" s="334">
        <f t="shared" si="1"/>
        <v>10</v>
      </c>
      <c r="B17" s="108"/>
      <c r="C17" s="31"/>
      <c r="D17" s="10"/>
      <c r="E17" s="335">
        <f t="shared" si="0"/>
        <v>10</v>
      </c>
    </row>
    <row r="18" spans="1:5" ht="16.5" thickBot="1" x14ac:dyDescent="0.3">
      <c r="A18" s="336">
        <f t="shared" si="1"/>
        <v>11</v>
      </c>
      <c r="B18" s="109">
        <f>'WP 7 Wheeling Revenues'!B21</f>
        <v>45352</v>
      </c>
      <c r="C18" s="58">
        <f>'WP 5 CAISO Charges'!H19</f>
        <v>-13257.05</v>
      </c>
      <c r="D18" s="649" t="str">
        <f>D8</f>
        <v>Work paper No. 5; Page 5.1 and 5.2; Line 13</v>
      </c>
      <c r="E18" s="339">
        <f t="shared" si="0"/>
        <v>11</v>
      </c>
    </row>
    <row r="19" spans="1:5" x14ac:dyDescent="0.25">
      <c r="A19" s="334">
        <f t="shared" si="1"/>
        <v>12</v>
      </c>
      <c r="B19" s="108"/>
      <c r="C19" s="31"/>
      <c r="D19" s="10"/>
      <c r="E19" s="335">
        <f t="shared" si="0"/>
        <v>12</v>
      </c>
    </row>
    <row r="20" spans="1:5" x14ac:dyDescent="0.25">
      <c r="A20" s="334">
        <f t="shared" si="1"/>
        <v>13</v>
      </c>
      <c r="B20" s="108">
        <f>'WP 7 Wheeling Revenues'!B23</f>
        <v>45383</v>
      </c>
      <c r="C20" s="31">
        <f>'WP 5 CAISO Charges'!I19</f>
        <v>-21290.921760000001</v>
      </c>
      <c r="D20" s="23" t="str">
        <f>D8</f>
        <v>Work paper No. 5; Page 5.1 and 5.2; Line 13</v>
      </c>
      <c r="E20" s="335">
        <f t="shared" si="0"/>
        <v>13</v>
      </c>
    </row>
    <row r="21" spans="1:5" x14ac:dyDescent="0.25">
      <c r="A21" s="334">
        <f t="shared" si="1"/>
        <v>14</v>
      </c>
      <c r="B21" s="108"/>
      <c r="C21" s="31"/>
      <c r="D21" s="10"/>
      <c r="E21" s="335">
        <f t="shared" si="0"/>
        <v>14</v>
      </c>
    </row>
    <row r="22" spans="1:5" x14ac:dyDescent="0.25">
      <c r="A22" s="334">
        <f t="shared" si="1"/>
        <v>15</v>
      </c>
      <c r="B22" s="108">
        <f>'WP 7 Wheeling Revenues'!B25</f>
        <v>45413</v>
      </c>
      <c r="C22" s="31">
        <f>'WP 5 CAISO Charges'!J19</f>
        <v>-30996.869119999999</v>
      </c>
      <c r="D22" s="23" t="str">
        <f>D8</f>
        <v>Work paper No. 5; Page 5.1 and 5.2; Line 13</v>
      </c>
      <c r="E22" s="335">
        <f t="shared" si="0"/>
        <v>15</v>
      </c>
    </row>
    <row r="23" spans="1:5" x14ac:dyDescent="0.25">
      <c r="A23" s="334">
        <f t="shared" si="1"/>
        <v>16</v>
      </c>
      <c r="B23" s="108"/>
      <c r="C23" s="31"/>
      <c r="D23" s="10"/>
      <c r="E23" s="335">
        <f t="shared" si="0"/>
        <v>16</v>
      </c>
    </row>
    <row r="24" spans="1:5" ht="16.5" thickBot="1" x14ac:dyDescent="0.3">
      <c r="A24" s="336">
        <f t="shared" si="1"/>
        <v>17</v>
      </c>
      <c r="B24" s="109">
        <f>'WP 7 Wheeling Revenues'!B27</f>
        <v>45444</v>
      </c>
      <c r="C24" s="58">
        <f>'WP 5 CAISO Charges'!K19</f>
        <v>-81084.709999999992</v>
      </c>
      <c r="D24" s="649" t="str">
        <f>D8</f>
        <v>Work paper No. 5; Page 5.1 and 5.2; Line 13</v>
      </c>
      <c r="E24" s="339">
        <f t="shared" si="0"/>
        <v>17</v>
      </c>
    </row>
    <row r="25" spans="1:5" x14ac:dyDescent="0.25">
      <c r="A25" s="334">
        <f t="shared" si="1"/>
        <v>18</v>
      </c>
      <c r="B25" s="108"/>
      <c r="C25" s="31"/>
      <c r="D25" s="10"/>
      <c r="E25" s="335">
        <f t="shared" si="0"/>
        <v>18</v>
      </c>
    </row>
    <row r="26" spans="1:5" x14ac:dyDescent="0.25">
      <c r="A26" s="334">
        <f t="shared" si="1"/>
        <v>19</v>
      </c>
      <c r="B26" s="108">
        <f>'WP 7 Wheeling Revenues'!B29</f>
        <v>45474</v>
      </c>
      <c r="C26" s="31">
        <f>'WP 5 CAISO Charges'!L19</f>
        <v>182882.75999999998</v>
      </c>
      <c r="D26" s="23" t="str">
        <f>D8</f>
        <v>Work paper No. 5; Page 5.1 and 5.2; Line 13</v>
      </c>
      <c r="E26" s="335">
        <f t="shared" si="0"/>
        <v>19</v>
      </c>
    </row>
    <row r="27" spans="1:5" x14ac:dyDescent="0.25">
      <c r="A27" s="334">
        <f t="shared" si="1"/>
        <v>20</v>
      </c>
      <c r="B27" s="108"/>
      <c r="C27" s="31"/>
      <c r="D27" s="10"/>
      <c r="E27" s="335">
        <f t="shared" si="0"/>
        <v>20</v>
      </c>
    </row>
    <row r="28" spans="1:5" x14ac:dyDescent="0.25">
      <c r="A28" s="334">
        <f t="shared" si="1"/>
        <v>21</v>
      </c>
      <c r="B28" s="108">
        <f>'WP 7 Wheeling Revenues'!B31</f>
        <v>45505</v>
      </c>
      <c r="C28" s="31">
        <f>'WP 5 CAISO Charges'!M19</f>
        <v>228379.27</v>
      </c>
      <c r="D28" s="23" t="str">
        <f>D8</f>
        <v>Work paper No. 5; Page 5.1 and 5.2; Line 13</v>
      </c>
      <c r="E28" s="335">
        <f t="shared" si="0"/>
        <v>21</v>
      </c>
    </row>
    <row r="29" spans="1:5" x14ac:dyDescent="0.25">
      <c r="A29" s="334">
        <f t="shared" si="1"/>
        <v>22</v>
      </c>
      <c r="B29" s="108"/>
      <c r="C29" s="31"/>
      <c r="D29" s="10"/>
      <c r="E29" s="335">
        <f t="shared" si="0"/>
        <v>22</v>
      </c>
    </row>
    <row r="30" spans="1:5" ht="16.5" thickBot="1" x14ac:dyDescent="0.3">
      <c r="A30" s="336">
        <f t="shared" si="1"/>
        <v>23</v>
      </c>
      <c r="B30" s="109">
        <f>'WP 7 Wheeling Revenues'!B33</f>
        <v>45536</v>
      </c>
      <c r="C30" s="82">
        <f>'WP 5 CAISO Charges'!N19</f>
        <v>-881406.70570000005</v>
      </c>
      <c r="D30" s="649" t="str">
        <f>D8</f>
        <v>Work paper No. 5; Page 5.1 and 5.2; Line 13</v>
      </c>
      <c r="E30" s="339">
        <f t="shared" si="0"/>
        <v>23</v>
      </c>
    </row>
    <row r="31" spans="1:5" x14ac:dyDescent="0.25">
      <c r="A31" s="334">
        <f t="shared" si="1"/>
        <v>24</v>
      </c>
      <c r="B31" s="108"/>
      <c r="C31" s="44"/>
      <c r="D31" s="23"/>
      <c r="E31" s="335">
        <f t="shared" si="0"/>
        <v>24</v>
      </c>
    </row>
    <row r="32" spans="1:5" ht="16.5" thickBot="1" x14ac:dyDescent="0.3">
      <c r="A32" s="334">
        <f t="shared" si="1"/>
        <v>25</v>
      </c>
      <c r="B32" s="132" t="s">
        <v>406</v>
      </c>
      <c r="C32" s="73">
        <f>SUM(C8:C30)</f>
        <v>-673737.34658000013</v>
      </c>
      <c r="D32" s="29" t="s">
        <v>407</v>
      </c>
      <c r="E32" s="335">
        <f t="shared" si="0"/>
        <v>25</v>
      </c>
    </row>
    <row r="33" spans="1:5" ht="16.5" thickTop="1" x14ac:dyDescent="0.25">
      <c r="A33" s="334">
        <f>A32+1</f>
        <v>26</v>
      </c>
      <c r="B33" s="681"/>
      <c r="C33" s="19"/>
      <c r="D33" s="682"/>
      <c r="E33" s="335">
        <f t="shared" si="0"/>
        <v>26</v>
      </c>
    </row>
    <row r="34" spans="1:5" ht="34.35" customHeight="1" thickBot="1" x14ac:dyDescent="0.3">
      <c r="A34" s="671">
        <f>A33+1</f>
        <v>27</v>
      </c>
      <c r="B34" s="678" t="s">
        <v>466</v>
      </c>
      <c r="C34" s="192">
        <f>C32</f>
        <v>-673737.34658000013</v>
      </c>
      <c r="D34" s="29" t="s">
        <v>409</v>
      </c>
      <c r="E34" s="673">
        <f>E33+1</f>
        <v>27</v>
      </c>
    </row>
    <row r="35" spans="1:5" ht="17.25" thickTop="1" thickBot="1" x14ac:dyDescent="0.3">
      <c r="A35" s="336">
        <f>A34+1</f>
        <v>28</v>
      </c>
      <c r="B35" s="337"/>
      <c r="C35" s="787"/>
      <c r="D35" s="683"/>
      <c r="E35" s="339">
        <f>E34+1</f>
        <v>28</v>
      </c>
    </row>
    <row r="36" spans="1:5" x14ac:dyDescent="0.25">
      <c r="B36" s="333"/>
      <c r="C36" s="72"/>
    </row>
    <row r="37" spans="1:5" ht="18.75" x14ac:dyDescent="0.25">
      <c r="A37" s="679"/>
      <c r="B37" s="107"/>
      <c r="C37" s="133"/>
      <c r="D37" s="133"/>
    </row>
    <row r="38" spans="1:5" x14ac:dyDescent="0.25">
      <c r="B38" s="133"/>
      <c r="C38" s="133"/>
      <c r="D38" s="133"/>
    </row>
    <row r="39" spans="1:5" x14ac:dyDescent="0.25">
      <c r="B39" s="133"/>
      <c r="C39" s="133"/>
      <c r="D39" s="133"/>
    </row>
    <row r="40" spans="1:5" x14ac:dyDescent="0.25">
      <c r="A40" s="415"/>
      <c r="B40" s="316"/>
      <c r="C40" s="133"/>
      <c r="D40" s="133"/>
    </row>
    <row r="41" spans="1:5" x14ac:dyDescent="0.25">
      <c r="B41" s="193"/>
      <c r="C41" s="133"/>
      <c r="D41" s="133"/>
    </row>
    <row r="42" spans="1:5" x14ac:dyDescent="0.25">
      <c r="B42" s="193"/>
      <c r="C42" s="133"/>
      <c r="D42" s="133"/>
    </row>
    <row r="43" spans="1:5" x14ac:dyDescent="0.25">
      <c r="B43" s="193"/>
      <c r="C43" s="133"/>
      <c r="D43" s="133"/>
    </row>
    <row r="44" spans="1:5" x14ac:dyDescent="0.25">
      <c r="B44" s="316"/>
      <c r="C44" s="133"/>
      <c r="D44" s="133"/>
    </row>
    <row r="45" spans="1:5" x14ac:dyDescent="0.25">
      <c r="B45" s="133"/>
      <c r="C45" s="133"/>
      <c r="D45" s="133"/>
    </row>
    <row r="46" spans="1:5" x14ac:dyDescent="0.25">
      <c r="B46" s="315"/>
      <c r="C46" s="133"/>
      <c r="D46" s="133"/>
    </row>
    <row r="47" spans="1:5" x14ac:dyDescent="0.25">
      <c r="B47" s="193"/>
      <c r="C47" s="133"/>
      <c r="D47" s="133"/>
    </row>
    <row r="48" spans="1:5" x14ac:dyDescent="0.25">
      <c r="B48" s="133"/>
      <c r="C48" s="133"/>
      <c r="D48" s="133"/>
    </row>
  </sheetData>
  <mergeCells count="3">
    <mergeCell ref="A2:E2"/>
    <mergeCell ref="A3:E3"/>
    <mergeCell ref="A4:E4"/>
  </mergeCells>
  <printOptions horizontalCentered="1"/>
  <pageMargins left="0" right="0" top="0.5" bottom="0.75" header="0.25" footer="0.25"/>
  <pageSetup scale="89" orientation="landscape" r:id="rId1"/>
  <headerFooter alignWithMargins="0">
    <oddFooter>&amp;L&amp;"Times New Roman,Regular"&amp;12&amp;F&amp;C&amp;"Times New Roman,Regular"&amp;12Page 11.1&amp;R&amp;"Times New Roman,Regular"&amp;12&amp;A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7"/>
  <sheetViews>
    <sheetView zoomScale="80" zoomScaleNormal="80" workbookViewId="0"/>
  </sheetViews>
  <sheetFormatPr defaultColWidth="8.5703125" defaultRowHeight="12.75" x14ac:dyDescent="0.2"/>
  <cols>
    <col min="1" max="1" width="5.5703125" style="1" customWidth="1"/>
    <col min="2" max="2" width="27.5703125" style="1" customWidth="1"/>
    <col min="3" max="3" width="22.5703125" style="1" customWidth="1"/>
    <col min="4" max="4" width="18.5703125" style="1" bestFit="1" customWidth="1"/>
    <col min="5" max="5" width="20.5703125" style="1" customWidth="1"/>
    <col min="6" max="6" width="26.28515625" style="1" bestFit="1" customWidth="1"/>
    <col min="7" max="7" width="46.42578125" style="1" bestFit="1" customWidth="1"/>
    <col min="8" max="8" width="5.5703125" style="1" customWidth="1"/>
    <col min="9" max="9" width="8.5703125" style="1" customWidth="1"/>
    <col min="10" max="10" width="12.5703125" style="1" customWidth="1"/>
    <col min="11" max="11" width="12.5703125" style="1" bestFit="1" customWidth="1"/>
    <col min="12" max="16384" width="8.5703125" style="1"/>
  </cols>
  <sheetData>
    <row r="2" spans="1:11" s="3" customFormat="1" ht="18" customHeight="1" x14ac:dyDescent="0.25">
      <c r="A2" s="5" t="s">
        <v>0</v>
      </c>
      <c r="B2" s="5"/>
      <c r="C2" s="5"/>
      <c r="D2" s="5"/>
      <c r="E2" s="5"/>
      <c r="F2" s="5"/>
      <c r="G2" s="5"/>
      <c r="H2" s="41"/>
      <c r="I2" s="1"/>
      <c r="J2" s="1"/>
      <c r="K2" s="1"/>
    </row>
    <row r="3" spans="1:11" s="3" customFormat="1" ht="18" customHeight="1" x14ac:dyDescent="0.25">
      <c r="A3" s="5" t="s">
        <v>25</v>
      </c>
      <c r="B3" s="5"/>
      <c r="C3" s="5"/>
      <c r="D3" s="5"/>
      <c r="E3" s="5"/>
      <c r="F3" s="5"/>
      <c r="G3" s="5"/>
      <c r="H3" s="41"/>
      <c r="I3" s="1"/>
      <c r="J3" s="1"/>
      <c r="K3" s="1"/>
    </row>
    <row r="4" spans="1:11" s="3" customFormat="1" ht="18" customHeight="1" x14ac:dyDescent="0.25">
      <c r="A4" s="5" t="str">
        <f>'Stmnt BD - Forecast KWH'!A4</f>
        <v>2025 - TRBAA Rate Filing</v>
      </c>
      <c r="B4" s="5"/>
      <c r="C4" s="5"/>
      <c r="D4" s="5"/>
      <c r="E4" s="5"/>
      <c r="F4" s="5"/>
      <c r="G4" s="5"/>
      <c r="H4" s="41"/>
      <c r="I4" s="1"/>
      <c r="J4" s="1"/>
      <c r="K4" s="1"/>
    </row>
    <row r="5" spans="1:11" s="3" customFormat="1" ht="18" customHeight="1" x14ac:dyDescent="0.25">
      <c r="A5" s="5" t="s">
        <v>510</v>
      </c>
      <c r="B5" s="5"/>
      <c r="C5" s="5"/>
      <c r="D5" s="5"/>
      <c r="E5" s="5"/>
      <c r="F5" s="5"/>
      <c r="G5" s="5"/>
      <c r="H5" s="41"/>
      <c r="I5" s="1"/>
      <c r="J5" s="1"/>
      <c r="K5" s="1"/>
    </row>
    <row r="6" spans="1:11" ht="15.75" x14ac:dyDescent="0.2">
      <c r="A6" s="5" t="s">
        <v>26</v>
      </c>
      <c r="B6" s="5"/>
      <c r="C6" s="5"/>
      <c r="D6" s="5"/>
      <c r="E6" s="5"/>
      <c r="F6" s="41"/>
      <c r="G6" s="41"/>
      <c r="H6" s="41"/>
    </row>
    <row r="7" spans="1:11" ht="16.5" thickBot="1" x14ac:dyDescent="0.3">
      <c r="A7" s="22"/>
      <c r="B7" s="22"/>
      <c r="C7" s="22"/>
      <c r="D7" s="22"/>
      <c r="E7" s="22"/>
      <c r="F7" s="22"/>
      <c r="G7" s="22"/>
      <c r="H7" s="22"/>
    </row>
    <row r="8" spans="1:11" ht="15.75" x14ac:dyDescent="0.25">
      <c r="A8" s="286"/>
      <c r="B8" s="544"/>
      <c r="C8" s="455" t="s">
        <v>3</v>
      </c>
      <c r="D8" s="762" t="s">
        <v>4</v>
      </c>
      <c r="E8" s="545" t="s">
        <v>5</v>
      </c>
      <c r="F8" s="545" t="s">
        <v>27</v>
      </c>
      <c r="G8" s="553"/>
      <c r="H8" s="546"/>
    </row>
    <row r="9" spans="1:11" ht="15.75" x14ac:dyDescent="0.25">
      <c r="A9" s="547"/>
      <c r="B9" s="94"/>
      <c r="C9" s="94"/>
      <c r="D9" s="94"/>
      <c r="E9" s="75" t="s">
        <v>28</v>
      </c>
      <c r="F9" s="75" t="s">
        <v>29</v>
      </c>
      <c r="G9" s="75"/>
      <c r="H9" s="548"/>
    </row>
    <row r="10" spans="1:11" ht="15.75" x14ac:dyDescent="0.25">
      <c r="A10" s="549" t="s">
        <v>8</v>
      </c>
      <c r="B10" s="75"/>
      <c r="C10" s="75" t="s">
        <v>18</v>
      </c>
      <c r="D10" s="75" t="s">
        <v>7</v>
      </c>
      <c r="E10" s="158" t="s">
        <v>30</v>
      </c>
      <c r="F10" s="158" t="s">
        <v>31</v>
      </c>
      <c r="G10" s="75"/>
      <c r="H10" s="550" t="s">
        <v>8</v>
      </c>
    </row>
    <row r="11" spans="1:11" ht="16.5" thickBot="1" x14ac:dyDescent="0.3">
      <c r="A11" s="567" t="s">
        <v>11</v>
      </c>
      <c r="B11" s="153" t="s">
        <v>32</v>
      </c>
      <c r="C11" s="153" t="s">
        <v>33</v>
      </c>
      <c r="D11" s="153" t="s">
        <v>34</v>
      </c>
      <c r="E11" s="569" t="s">
        <v>9</v>
      </c>
      <c r="F11" s="569" t="s">
        <v>35</v>
      </c>
      <c r="G11" s="153" t="s">
        <v>16</v>
      </c>
      <c r="H11" s="568" t="s">
        <v>11</v>
      </c>
    </row>
    <row r="12" spans="1:11" ht="15.75" x14ac:dyDescent="0.25">
      <c r="A12" s="262"/>
      <c r="B12" s="766"/>
      <c r="C12" s="766"/>
      <c r="D12" s="766"/>
      <c r="E12" s="188"/>
      <c r="F12" s="188"/>
      <c r="G12" s="10"/>
      <c r="H12" s="263"/>
    </row>
    <row r="13" spans="1:11" ht="15.75" x14ac:dyDescent="0.25">
      <c r="A13" s="262">
        <v>1</v>
      </c>
      <c r="B13" s="106">
        <f>'Stmnt BD - Forecast KWH'!B12</f>
        <v>45658</v>
      </c>
      <c r="C13" s="491">
        <f>'WP 1.2 Forecast Sales'!C14</f>
        <v>1604757.5416676975</v>
      </c>
      <c r="D13" s="491">
        <f>'WP 1.2 Forecast Sales'!C13</f>
        <v>7.5635555555555554</v>
      </c>
      <c r="E13" s="44">
        <f>C13-D13</f>
        <v>1604749.9781121418</v>
      </c>
      <c r="F13" s="44">
        <f>E13*$E$31</f>
        <v>1671026.1522081732</v>
      </c>
      <c r="G13" s="240" t="s">
        <v>36</v>
      </c>
      <c r="H13" s="263">
        <v>1</v>
      </c>
      <c r="J13" s="179"/>
    </row>
    <row r="14" spans="1:11" ht="15.75" x14ac:dyDescent="0.25">
      <c r="A14" s="262">
        <f>A13+1</f>
        <v>2</v>
      </c>
      <c r="B14" s="106">
        <f>'Stmnt BD - Forecast KWH'!B13</f>
        <v>45689</v>
      </c>
      <c r="C14" s="491">
        <f>'WP 1.2 Forecast Sales'!D14</f>
        <v>1444616.8076289368</v>
      </c>
      <c r="D14" s="491">
        <f>'WP 1.2 Forecast Sales'!D13</f>
        <v>7.5635555555555554</v>
      </c>
      <c r="E14" s="44">
        <f t="shared" ref="E14:E24" si="0">C14-D14</f>
        <v>1444609.2440733812</v>
      </c>
      <c r="F14" s="44">
        <f t="shared" ref="F14:F24" si="1">E14*$E$31</f>
        <v>1504271.6058536116</v>
      </c>
      <c r="G14" s="240" t="str">
        <f>$G$13</f>
        <v>Cols. A to C, WP No. 1; Page 1.2; Lines 10, 9 &amp; 12</v>
      </c>
      <c r="H14" s="263">
        <f>H13+1</f>
        <v>2</v>
      </c>
      <c r="J14" s="179"/>
    </row>
    <row r="15" spans="1:11" ht="15.75" x14ac:dyDescent="0.25">
      <c r="A15" s="262">
        <f t="shared" ref="A15:A40" si="2">A14+1</f>
        <v>3</v>
      </c>
      <c r="B15" s="106">
        <f>'Stmnt BD - Forecast KWH'!B14</f>
        <v>45717</v>
      </c>
      <c r="C15" s="491">
        <f>'WP 1.2 Forecast Sales'!E14</f>
        <v>1385084.8426796629</v>
      </c>
      <c r="D15" s="491">
        <f>'WP 1.2 Forecast Sales'!E13</f>
        <v>7.5635555555555554</v>
      </c>
      <c r="E15" s="44">
        <f t="shared" si="0"/>
        <v>1385077.2791241072</v>
      </c>
      <c r="F15" s="44">
        <f t="shared" si="1"/>
        <v>1442280.9707519326</v>
      </c>
      <c r="G15" s="240" t="str">
        <f t="shared" ref="G15:G24" si="3">$G$13</f>
        <v>Cols. A to C, WP No. 1; Page 1.2; Lines 10, 9 &amp; 12</v>
      </c>
      <c r="H15" s="263">
        <f t="shared" ref="H15:H40" si="4">H14+1</f>
        <v>3</v>
      </c>
      <c r="J15" s="179"/>
    </row>
    <row r="16" spans="1:11" ht="15.75" x14ac:dyDescent="0.25">
      <c r="A16" s="262">
        <f t="shared" si="2"/>
        <v>4</v>
      </c>
      <c r="B16" s="106">
        <f>'Stmnt BD - Forecast KWH'!B15</f>
        <v>45748</v>
      </c>
      <c r="C16" s="491">
        <f>'WP 1.2 Forecast Sales'!F14</f>
        <v>1296711.4535764104</v>
      </c>
      <c r="D16" s="491">
        <f>'WP 1.2 Forecast Sales'!F13</f>
        <v>7.5635555555555554</v>
      </c>
      <c r="E16" s="44">
        <f t="shared" si="0"/>
        <v>1296703.8900208548</v>
      </c>
      <c r="F16" s="44">
        <f t="shared" si="1"/>
        <v>1350257.760678716</v>
      </c>
      <c r="G16" s="240" t="str">
        <f t="shared" si="3"/>
        <v>Cols. A to C, WP No. 1; Page 1.2; Lines 10, 9 &amp; 12</v>
      </c>
      <c r="H16" s="263">
        <f t="shared" si="4"/>
        <v>4</v>
      </c>
      <c r="J16" s="179"/>
    </row>
    <row r="17" spans="1:11" ht="15.75" x14ac:dyDescent="0.25">
      <c r="A17" s="262">
        <f t="shared" si="2"/>
        <v>5</v>
      </c>
      <c r="B17" s="106">
        <f>'Stmnt BD - Forecast KWH'!B16</f>
        <v>45778</v>
      </c>
      <c r="C17" s="491">
        <f>'WP 1.2 Forecast Sales'!G14</f>
        <v>1281601.9638295474</v>
      </c>
      <c r="D17" s="491">
        <f>'WP 1.2 Forecast Sales'!G13</f>
        <v>7.5635555555555554</v>
      </c>
      <c r="E17" s="44">
        <f t="shared" si="0"/>
        <v>1281594.4002739917</v>
      </c>
      <c r="F17" s="44">
        <f t="shared" si="1"/>
        <v>1334524.2490053074</v>
      </c>
      <c r="G17" s="240" t="str">
        <f t="shared" si="3"/>
        <v>Cols. A to C, WP No. 1; Page 1.2; Lines 10, 9 &amp; 12</v>
      </c>
      <c r="H17" s="263">
        <f t="shared" si="4"/>
        <v>5</v>
      </c>
      <c r="J17" s="179"/>
    </row>
    <row r="18" spans="1:11" ht="15.75" x14ac:dyDescent="0.25">
      <c r="A18" s="262">
        <f t="shared" si="2"/>
        <v>6</v>
      </c>
      <c r="B18" s="106">
        <f>'Stmnt BD - Forecast KWH'!B17</f>
        <v>45809</v>
      </c>
      <c r="C18" s="491">
        <f>'WP 1.2 Forecast Sales'!H14</f>
        <v>1353652.1146261934</v>
      </c>
      <c r="D18" s="491">
        <f>'WP 1.2 Forecast Sales'!H13</f>
        <v>7.5635555555555554</v>
      </c>
      <c r="E18" s="44">
        <f t="shared" si="0"/>
        <v>1353644.5510706378</v>
      </c>
      <c r="F18" s="44">
        <f t="shared" si="1"/>
        <v>1409550.0710298549</v>
      </c>
      <c r="G18" s="240" t="str">
        <f t="shared" si="3"/>
        <v>Cols. A to C, WP No. 1; Page 1.2; Lines 10, 9 &amp; 12</v>
      </c>
      <c r="H18" s="263">
        <f t="shared" si="4"/>
        <v>6</v>
      </c>
      <c r="J18" s="179"/>
    </row>
    <row r="19" spans="1:11" ht="15.75" x14ac:dyDescent="0.25">
      <c r="A19" s="262">
        <f t="shared" si="2"/>
        <v>7</v>
      </c>
      <c r="B19" s="106">
        <f>'Stmnt BD - Forecast KWH'!B18</f>
        <v>45839</v>
      </c>
      <c r="C19" s="491">
        <f>'WP 1.2 Forecast Sales'!I14</f>
        <v>1546827.6259604373</v>
      </c>
      <c r="D19" s="491">
        <f>'WP 1.2 Forecast Sales'!I13</f>
        <v>7.5635555555555554</v>
      </c>
      <c r="E19" s="44">
        <f t="shared" si="0"/>
        <v>1546820.0624048817</v>
      </c>
      <c r="F19" s="44">
        <f t="shared" si="1"/>
        <v>1610703.730982203</v>
      </c>
      <c r="G19" s="240" t="str">
        <f t="shared" si="3"/>
        <v>Cols. A to C, WP No. 1; Page 1.2; Lines 10, 9 &amp; 12</v>
      </c>
      <c r="H19" s="263">
        <f t="shared" si="4"/>
        <v>7</v>
      </c>
      <c r="J19" s="179"/>
    </row>
    <row r="20" spans="1:11" ht="15.75" x14ac:dyDescent="0.25">
      <c r="A20" s="262">
        <f t="shared" si="2"/>
        <v>8</v>
      </c>
      <c r="B20" s="106">
        <f>'Stmnt BD - Forecast KWH'!B19</f>
        <v>45870</v>
      </c>
      <c r="C20" s="491">
        <f>'WP 1.2 Forecast Sales'!J14</f>
        <v>1769564.3972297511</v>
      </c>
      <c r="D20" s="491">
        <f>'WP 1.2 Forecast Sales'!J13</f>
        <v>7.5635555555555554</v>
      </c>
      <c r="E20" s="44">
        <f t="shared" si="0"/>
        <v>1769556.8336741955</v>
      </c>
      <c r="F20" s="44">
        <f t="shared" si="1"/>
        <v>1842639.5309049396</v>
      </c>
      <c r="G20" s="240" t="str">
        <f t="shared" si="3"/>
        <v>Cols. A to C, WP No. 1; Page 1.2; Lines 10, 9 &amp; 12</v>
      </c>
      <c r="H20" s="263">
        <f t="shared" si="4"/>
        <v>8</v>
      </c>
      <c r="J20" s="179"/>
    </row>
    <row r="21" spans="1:11" ht="15.75" x14ac:dyDescent="0.25">
      <c r="A21" s="262">
        <f t="shared" si="2"/>
        <v>9</v>
      </c>
      <c r="B21" s="106">
        <f>'Stmnt BD - Forecast KWH'!B20</f>
        <v>45901</v>
      </c>
      <c r="C21" s="491">
        <f>'WP 1.2 Forecast Sales'!K14</f>
        <v>1918998.7282863264</v>
      </c>
      <c r="D21" s="491">
        <f>'WP 1.2 Forecast Sales'!K13</f>
        <v>7.5635555555555554</v>
      </c>
      <c r="E21" s="44">
        <f t="shared" si="0"/>
        <v>1918991.1647307707</v>
      </c>
      <c r="F21" s="44">
        <f t="shared" si="1"/>
        <v>1998245.4998341515</v>
      </c>
      <c r="G21" s="240" t="str">
        <f t="shared" si="3"/>
        <v>Cols. A to C, WP No. 1; Page 1.2; Lines 10, 9 &amp; 12</v>
      </c>
      <c r="H21" s="263">
        <f t="shared" si="4"/>
        <v>9</v>
      </c>
      <c r="J21" s="179"/>
    </row>
    <row r="22" spans="1:11" ht="15.75" x14ac:dyDescent="0.25">
      <c r="A22" s="262">
        <f t="shared" si="2"/>
        <v>10</v>
      </c>
      <c r="B22" s="106">
        <f>'Stmnt BD - Forecast KWH'!B21</f>
        <v>45931</v>
      </c>
      <c r="C22" s="491">
        <f>'WP 1.2 Forecast Sales'!L14</f>
        <v>1608515.983835534</v>
      </c>
      <c r="D22" s="491">
        <f>'WP 1.2 Forecast Sales'!L13</f>
        <v>7.5635555555555554</v>
      </c>
      <c r="E22" s="44">
        <f t="shared" si="0"/>
        <v>1608508.4202799783</v>
      </c>
      <c r="F22" s="44">
        <f t="shared" si="1"/>
        <v>1674939.8180375414</v>
      </c>
      <c r="G22" s="240" t="str">
        <f t="shared" si="3"/>
        <v>Cols. A to C, WP No. 1; Page 1.2; Lines 10, 9 &amp; 12</v>
      </c>
      <c r="H22" s="263">
        <f t="shared" si="4"/>
        <v>10</v>
      </c>
      <c r="J22" s="179"/>
    </row>
    <row r="23" spans="1:11" ht="15.75" x14ac:dyDescent="0.25">
      <c r="A23" s="262">
        <f t="shared" si="2"/>
        <v>11</v>
      </c>
      <c r="B23" s="106">
        <f>'Stmnt BD - Forecast KWH'!B22</f>
        <v>45962</v>
      </c>
      <c r="C23" s="491">
        <f>'WP 1.2 Forecast Sales'!M14</f>
        <v>1435170.4945462341</v>
      </c>
      <c r="D23" s="491">
        <f>'WP 1.2 Forecast Sales'!M13</f>
        <v>7.5635555555555554</v>
      </c>
      <c r="E23" s="44">
        <f t="shared" si="0"/>
        <v>1435162.9309906785</v>
      </c>
      <c r="F23" s="44">
        <f t="shared" si="1"/>
        <v>1494435.1600405935</v>
      </c>
      <c r="G23" s="240" t="str">
        <f t="shared" si="3"/>
        <v>Cols. A to C, WP No. 1; Page 1.2; Lines 10, 9 &amp; 12</v>
      </c>
      <c r="H23" s="263">
        <f t="shared" si="4"/>
        <v>11</v>
      </c>
      <c r="J23" s="179"/>
    </row>
    <row r="24" spans="1:11" ht="15.75" x14ac:dyDescent="0.25">
      <c r="A24" s="262">
        <f t="shared" si="2"/>
        <v>12</v>
      </c>
      <c r="B24" s="106">
        <f>'Stmnt BD - Forecast KWH'!B23</f>
        <v>45992</v>
      </c>
      <c r="C24" s="491">
        <f>'WP 1.2 Forecast Sales'!N14</f>
        <v>1551108.2537902403</v>
      </c>
      <c r="D24" s="491">
        <f>'WP 1.2 Forecast Sales'!N13</f>
        <v>7.5635555555555554</v>
      </c>
      <c r="E24" s="44">
        <f t="shared" si="0"/>
        <v>1551100.6902346846</v>
      </c>
      <c r="F24" s="51">
        <f t="shared" si="1"/>
        <v>1615161.1487413768</v>
      </c>
      <c r="G24" s="240" t="str">
        <f t="shared" si="3"/>
        <v>Cols. A to C, WP No. 1; Page 1.2; Lines 10, 9 &amp; 12</v>
      </c>
      <c r="H24" s="263">
        <f t="shared" si="4"/>
        <v>12</v>
      </c>
      <c r="J24" s="179"/>
    </row>
    <row r="25" spans="1:11" ht="15.75" x14ac:dyDescent="0.25">
      <c r="A25" s="262">
        <f t="shared" si="2"/>
        <v>13</v>
      </c>
      <c r="B25" s="52"/>
      <c r="C25" s="492"/>
      <c r="D25" s="52"/>
      <c r="E25" s="53"/>
      <c r="F25" s="45"/>
      <c r="G25" s="49"/>
      <c r="H25" s="263">
        <f t="shared" si="4"/>
        <v>13</v>
      </c>
    </row>
    <row r="26" spans="1:11" ht="16.5" thickBot="1" x14ac:dyDescent="0.3">
      <c r="A26" s="262">
        <f t="shared" si="2"/>
        <v>14</v>
      </c>
      <c r="B26" s="13" t="s">
        <v>18</v>
      </c>
      <c r="C26" s="498">
        <f>SUM(C13:C25)</f>
        <v>18196610.207656968</v>
      </c>
      <c r="D26" s="498">
        <f>SUM(D13:D25)</f>
        <v>90.762666666666647</v>
      </c>
      <c r="E26" s="47">
        <f>SUM(E13:E24)</f>
        <v>18196519.444990303</v>
      </c>
      <c r="F26" s="47">
        <f>SUM(F13:F24)</f>
        <v>18948035.698068399</v>
      </c>
      <c r="G26" s="49" t="s">
        <v>19</v>
      </c>
      <c r="H26" s="263">
        <f t="shared" si="4"/>
        <v>14</v>
      </c>
      <c r="J26" s="297"/>
      <c r="K26" s="179"/>
    </row>
    <row r="27" spans="1:11" ht="16.5" thickTop="1" x14ac:dyDescent="0.25">
      <c r="A27" s="262">
        <f t="shared" si="2"/>
        <v>15</v>
      </c>
      <c r="B27" s="32"/>
      <c r="C27" s="494"/>
      <c r="D27" s="494"/>
      <c r="E27" s="45"/>
      <c r="F27" s="501"/>
      <c r="G27" s="49"/>
      <c r="H27" s="263">
        <f t="shared" si="4"/>
        <v>15</v>
      </c>
      <c r="J27" s="297"/>
      <c r="K27" s="179"/>
    </row>
    <row r="28" spans="1:11" ht="16.5" thickBot="1" x14ac:dyDescent="0.3">
      <c r="A28" s="262">
        <f t="shared" si="2"/>
        <v>16</v>
      </c>
      <c r="B28" s="56" t="s">
        <v>37</v>
      </c>
      <c r="C28" s="494"/>
      <c r="D28" s="494"/>
      <c r="E28" s="504">
        <f>E26</f>
        <v>18196519.444990303</v>
      </c>
      <c r="F28" s="45"/>
      <c r="G28" s="505" t="s">
        <v>38</v>
      </c>
      <c r="H28" s="263">
        <f t="shared" si="4"/>
        <v>16</v>
      </c>
      <c r="J28" s="297"/>
      <c r="K28" s="179"/>
    </row>
    <row r="29" spans="1:11" ht="16.5" thickTop="1" x14ac:dyDescent="0.25">
      <c r="A29" s="262">
        <f t="shared" si="2"/>
        <v>17</v>
      </c>
      <c r="B29" s="495"/>
      <c r="C29" s="496"/>
      <c r="D29" s="496"/>
      <c r="E29" s="503"/>
      <c r="F29" s="502"/>
      <c r="G29" s="497"/>
      <c r="H29" s="263">
        <f t="shared" si="4"/>
        <v>17</v>
      </c>
      <c r="J29" s="297"/>
      <c r="K29" s="179"/>
    </row>
    <row r="30" spans="1:11" ht="15.75" x14ac:dyDescent="0.25">
      <c r="A30" s="262">
        <f t="shared" si="2"/>
        <v>18</v>
      </c>
      <c r="B30" s="32"/>
      <c r="C30" s="500"/>
      <c r="D30" s="500"/>
      <c r="E30" s="48"/>
      <c r="F30" s="45"/>
      <c r="G30" s="49"/>
      <c r="H30" s="263">
        <f t="shared" si="4"/>
        <v>18</v>
      </c>
      <c r="J30" s="297"/>
      <c r="K30" s="179"/>
    </row>
    <row r="31" spans="1:11" ht="19.5" thickBot="1" x14ac:dyDescent="0.3">
      <c r="A31" s="262">
        <f t="shared" si="2"/>
        <v>19</v>
      </c>
      <c r="B31" s="56" t="s">
        <v>39</v>
      </c>
      <c r="C31" s="491">
        <v>35715268.199700706</v>
      </c>
      <c r="D31" s="491">
        <v>37188554.073969878</v>
      </c>
      <c r="E31" s="541">
        <f>ROUND(D31/C31,4)</f>
        <v>1.0412999999999999</v>
      </c>
      <c r="F31" s="45"/>
      <c r="G31" s="49" t="s">
        <v>40</v>
      </c>
      <c r="H31" s="263">
        <f t="shared" si="4"/>
        <v>19</v>
      </c>
      <c r="J31" s="297"/>
      <c r="K31" s="179"/>
    </row>
    <row r="32" spans="1:11" ht="16.5" thickTop="1" x14ac:dyDescent="0.25">
      <c r="A32" s="262">
        <f t="shared" si="2"/>
        <v>20</v>
      </c>
      <c r="B32" s="499"/>
      <c r="C32" s="493"/>
      <c r="D32" s="493"/>
      <c r="E32" s="506"/>
      <c r="F32" s="502"/>
      <c r="G32" s="497"/>
      <c r="H32" s="263">
        <f t="shared" si="4"/>
        <v>20</v>
      </c>
      <c r="J32" s="297"/>
      <c r="K32" s="179"/>
    </row>
    <row r="33" spans="1:11" ht="15.75" x14ac:dyDescent="0.25">
      <c r="A33" s="262">
        <f t="shared" si="2"/>
        <v>21</v>
      </c>
      <c r="B33" s="56"/>
      <c r="C33" s="494"/>
      <c r="D33" s="494"/>
      <c r="E33" s="501"/>
      <c r="F33" s="501"/>
      <c r="G33" s="49"/>
      <c r="H33" s="263">
        <f t="shared" si="4"/>
        <v>21</v>
      </c>
      <c r="J33" s="297"/>
      <c r="K33" s="179"/>
    </row>
    <row r="34" spans="1:11" ht="15.75" x14ac:dyDescent="0.25">
      <c r="A34" s="262">
        <f t="shared" si="2"/>
        <v>22</v>
      </c>
      <c r="B34" s="56" t="s">
        <v>41</v>
      </c>
      <c r="C34" s="494"/>
      <c r="D34" s="494"/>
      <c r="E34" s="501"/>
      <c r="F34" s="501">
        <f>F26</f>
        <v>18948035.698068399</v>
      </c>
      <c r="G34" s="505" t="s">
        <v>42</v>
      </c>
      <c r="H34" s="263">
        <f t="shared" si="4"/>
        <v>22</v>
      </c>
      <c r="J34" s="297"/>
      <c r="K34" s="179"/>
    </row>
    <row r="35" spans="1:11" ht="15.75" x14ac:dyDescent="0.25">
      <c r="A35" s="262">
        <f t="shared" si="2"/>
        <v>23</v>
      </c>
      <c r="B35" s="56"/>
      <c r="C35" s="494"/>
      <c r="D35" s="494"/>
      <c r="E35" s="501"/>
      <c r="F35" s="501"/>
      <c r="G35" s="49"/>
      <c r="H35" s="263">
        <f t="shared" si="4"/>
        <v>23</v>
      </c>
      <c r="J35" s="297"/>
      <c r="K35" s="179"/>
    </row>
    <row r="36" spans="1:11" ht="18.75" x14ac:dyDescent="0.25">
      <c r="A36" s="262">
        <f t="shared" si="2"/>
        <v>24</v>
      </c>
      <c r="B36" s="56" t="s">
        <v>43</v>
      </c>
      <c r="C36" s="50"/>
      <c r="D36" s="50"/>
      <c r="E36" s="501"/>
      <c r="F36" s="501">
        <v>338.99856673751907</v>
      </c>
      <c r="G36" s="49" t="s">
        <v>44</v>
      </c>
      <c r="H36" s="263">
        <f t="shared" si="4"/>
        <v>24</v>
      </c>
      <c r="J36" s="297"/>
      <c r="K36" s="179"/>
    </row>
    <row r="37" spans="1:11" ht="15.75" x14ac:dyDescent="0.25">
      <c r="A37" s="262">
        <f t="shared" si="2"/>
        <v>25</v>
      </c>
      <c r="B37" s="56"/>
      <c r="C37" s="50"/>
      <c r="D37" s="50"/>
      <c r="E37" s="48"/>
      <c r="F37" s="45"/>
      <c r="G37" s="505"/>
      <c r="H37" s="263">
        <f t="shared" si="4"/>
        <v>25</v>
      </c>
      <c r="J37" s="297"/>
      <c r="K37" s="179"/>
    </row>
    <row r="38" spans="1:11" ht="18.75" x14ac:dyDescent="0.25">
      <c r="A38" s="187">
        <f t="shared" si="2"/>
        <v>26</v>
      </c>
      <c r="B38" s="56" t="s">
        <v>45</v>
      </c>
      <c r="C38" s="50"/>
      <c r="D38" s="50"/>
      <c r="E38" s="48"/>
      <c r="F38" s="46">
        <v>1391.2762839833385</v>
      </c>
      <c r="G38" s="49" t="s">
        <v>46</v>
      </c>
      <c r="H38" s="263">
        <f t="shared" si="4"/>
        <v>26</v>
      </c>
      <c r="J38" s="297"/>
      <c r="K38" s="179"/>
    </row>
    <row r="39" spans="1:11" ht="15.75" x14ac:dyDescent="0.25">
      <c r="A39" s="262">
        <f t="shared" si="2"/>
        <v>27</v>
      </c>
      <c r="B39" s="66"/>
      <c r="C39" s="22"/>
      <c r="D39" s="22"/>
      <c r="E39" s="91"/>
      <c r="F39" s="767"/>
      <c r="G39" s="49"/>
      <c r="H39" s="263">
        <f t="shared" si="4"/>
        <v>27</v>
      </c>
    </row>
    <row r="40" spans="1:11" ht="16.5" thickBot="1" x14ac:dyDescent="0.3">
      <c r="A40" s="187">
        <f t="shared" si="2"/>
        <v>28</v>
      </c>
      <c r="B40" s="66" t="s">
        <v>47</v>
      </c>
      <c r="C40" s="22"/>
      <c r="D40" s="22"/>
      <c r="E40" s="235"/>
      <c r="F40" s="768">
        <f>F34+F36+F38</f>
        <v>18949765.972919121</v>
      </c>
      <c r="G40" s="758" t="s">
        <v>48</v>
      </c>
      <c r="H40" s="263">
        <f t="shared" si="4"/>
        <v>28</v>
      </c>
    </row>
    <row r="41" spans="1:11" ht="17.25" thickTop="1" thickBot="1" x14ac:dyDescent="0.3">
      <c r="A41" s="300"/>
      <c r="B41" s="80"/>
      <c r="C41" s="80"/>
      <c r="D41" s="80"/>
      <c r="E41" s="554"/>
      <c r="F41" s="581"/>
      <c r="G41" s="81"/>
      <c r="H41" s="301"/>
    </row>
    <row r="42" spans="1:11" ht="15.75" x14ac:dyDescent="0.25">
      <c r="A42" s="22"/>
      <c r="B42" s="22"/>
      <c r="C42" s="22"/>
      <c r="D42" s="22"/>
      <c r="E42" s="22"/>
      <c r="F42" s="22"/>
      <c r="G42" s="22"/>
      <c r="H42" s="22"/>
    </row>
    <row r="43" spans="1:11" ht="18.75" x14ac:dyDescent="0.25">
      <c r="A43" s="413">
        <v>1</v>
      </c>
      <c r="B43" s="22" t="s">
        <v>49</v>
      </c>
      <c r="C43" s="22"/>
      <c r="D43" s="22"/>
      <c r="E43" s="54"/>
      <c r="F43" s="22"/>
      <c r="G43" s="22"/>
      <c r="H43" s="22"/>
    </row>
    <row r="44" spans="1:11" ht="18.75" x14ac:dyDescent="0.25">
      <c r="A44" s="413">
        <v>2</v>
      </c>
      <c r="B44" s="22" t="s">
        <v>515</v>
      </c>
      <c r="C44" s="22"/>
      <c r="D44" s="22"/>
      <c r="E44" s="22"/>
      <c r="F44" s="22"/>
      <c r="G44" s="22"/>
      <c r="H44" s="22"/>
    </row>
    <row r="45" spans="1:11" ht="15.75" x14ac:dyDescent="0.25">
      <c r="A45" s="22"/>
      <c r="B45" s="22" t="s">
        <v>516</v>
      </c>
      <c r="C45" s="22"/>
      <c r="D45" s="22"/>
      <c r="E45" s="22"/>
      <c r="F45" s="22"/>
      <c r="G45" s="22"/>
      <c r="H45" s="22"/>
    </row>
    <row r="46" spans="1:11" ht="18.75" x14ac:dyDescent="0.25">
      <c r="A46" s="413">
        <v>3</v>
      </c>
      <c r="B46" s="460" t="s">
        <v>50</v>
      </c>
      <c r="C46" s="460"/>
      <c r="D46" s="460"/>
      <c r="E46" s="22"/>
      <c r="F46" s="22"/>
      <c r="G46" s="22"/>
      <c r="H46" s="22"/>
    </row>
    <row r="47" spans="1:11" ht="18.75" x14ac:dyDescent="0.25">
      <c r="A47" s="413">
        <v>4</v>
      </c>
      <c r="B47" s="50" t="s">
        <v>51</v>
      </c>
      <c r="C47" s="50"/>
      <c r="D47" s="50"/>
      <c r="E47" s="22"/>
      <c r="F47" s="22"/>
      <c r="G47" s="22"/>
      <c r="H47" s="22"/>
    </row>
    <row r="48" spans="1:11" ht="15.75" x14ac:dyDescent="0.25">
      <c r="A48" s="22"/>
      <c r="B48" s="22"/>
      <c r="C48" s="22"/>
      <c r="D48" s="22"/>
      <c r="E48" s="22"/>
      <c r="F48" s="22"/>
      <c r="G48" s="22"/>
      <c r="H48" s="22"/>
    </row>
    <row r="49" spans="1:8" ht="15.75" x14ac:dyDescent="0.25">
      <c r="A49" s="22"/>
      <c r="B49" s="22"/>
      <c r="C49" s="22"/>
      <c r="D49" s="22"/>
      <c r="E49" s="22"/>
      <c r="F49" s="22"/>
      <c r="G49" s="22"/>
      <c r="H49" s="22"/>
    </row>
    <row r="50" spans="1:8" ht="15.75" x14ac:dyDescent="0.25">
      <c r="A50" s="22"/>
      <c r="B50" s="22"/>
      <c r="C50" s="22"/>
      <c r="D50" s="22"/>
      <c r="E50" s="22"/>
      <c r="F50" s="22"/>
      <c r="G50" s="22"/>
      <c r="H50" s="22"/>
    </row>
    <row r="51" spans="1:8" ht="15.75" x14ac:dyDescent="0.25">
      <c r="A51" s="22"/>
      <c r="B51" s="22"/>
      <c r="C51" s="22"/>
      <c r="D51" s="22"/>
      <c r="E51" s="22"/>
      <c r="F51" s="22"/>
      <c r="G51" s="22"/>
      <c r="H51" s="22"/>
    </row>
    <row r="52" spans="1:8" ht="15.75" x14ac:dyDescent="0.25">
      <c r="A52" s="22"/>
      <c r="B52" s="22"/>
      <c r="C52" s="22"/>
      <c r="D52" s="22"/>
      <c r="E52" s="22"/>
      <c r="F52" s="22"/>
      <c r="G52" s="22"/>
      <c r="H52" s="22"/>
    </row>
    <row r="53" spans="1:8" ht="15.75" x14ac:dyDescent="0.25">
      <c r="A53" s="22"/>
      <c r="B53" s="22"/>
      <c r="C53" s="22"/>
      <c r="D53" s="22"/>
      <c r="E53" s="22"/>
      <c r="F53" s="22"/>
      <c r="G53" s="22"/>
      <c r="H53" s="22"/>
    </row>
    <row r="54" spans="1:8" ht="15.75" x14ac:dyDescent="0.25">
      <c r="A54" s="22"/>
      <c r="B54" s="22"/>
      <c r="C54" s="22"/>
      <c r="D54" s="22"/>
      <c r="E54" s="22"/>
      <c r="F54" s="22"/>
      <c r="G54" s="22"/>
      <c r="H54" s="22"/>
    </row>
    <row r="55" spans="1:8" ht="15.75" x14ac:dyDescent="0.25">
      <c r="A55" s="22"/>
      <c r="B55" s="22"/>
      <c r="C55" s="22"/>
      <c r="D55" s="22"/>
      <c r="E55" s="22"/>
      <c r="F55" s="22"/>
      <c r="G55" s="22"/>
      <c r="H55" s="22"/>
    </row>
    <row r="56" spans="1:8" ht="15.75" x14ac:dyDescent="0.25">
      <c r="A56" s="22"/>
      <c r="B56" s="22"/>
      <c r="C56" s="22"/>
      <c r="D56" s="22"/>
      <c r="E56" s="22"/>
      <c r="F56" s="22"/>
      <c r="G56" s="22"/>
      <c r="H56" s="22"/>
    </row>
    <row r="57" spans="1:8" ht="15.75" x14ac:dyDescent="0.25">
      <c r="A57" s="22"/>
      <c r="B57" s="22"/>
      <c r="C57" s="22"/>
      <c r="D57" s="22"/>
      <c r="E57" s="22"/>
      <c r="F57" s="22"/>
      <c r="G57" s="22"/>
      <c r="H57" s="22"/>
    </row>
    <row r="58" spans="1:8" ht="15.75" x14ac:dyDescent="0.25">
      <c r="A58" s="22"/>
      <c r="B58" s="22"/>
      <c r="C58" s="22"/>
      <c r="D58" s="22"/>
      <c r="E58" s="22"/>
      <c r="F58" s="22"/>
      <c r="G58" s="22"/>
      <c r="H58" s="22"/>
    </row>
    <row r="59" spans="1:8" ht="15.75" x14ac:dyDescent="0.25">
      <c r="A59" s="22"/>
      <c r="B59" s="22"/>
      <c r="C59" s="22"/>
      <c r="D59" s="22"/>
      <c r="E59" s="22"/>
      <c r="F59" s="22"/>
      <c r="G59" s="22"/>
      <c r="H59" s="22"/>
    </row>
    <row r="60" spans="1:8" ht="15.75" x14ac:dyDescent="0.25">
      <c r="A60" s="22"/>
      <c r="B60" s="22"/>
      <c r="C60" s="22"/>
      <c r="D60" s="22"/>
      <c r="E60" s="22"/>
      <c r="F60" s="22"/>
      <c r="G60" s="22"/>
      <c r="H60" s="22"/>
    </row>
    <row r="61" spans="1:8" ht="15.75" x14ac:dyDescent="0.25">
      <c r="A61" s="22"/>
      <c r="B61" s="22"/>
      <c r="C61" s="22"/>
      <c r="D61" s="22"/>
      <c r="E61" s="22"/>
      <c r="F61" s="22"/>
      <c r="G61" s="22"/>
      <c r="H61" s="22"/>
    </row>
    <row r="62" spans="1:8" ht="15.75" x14ac:dyDescent="0.25">
      <c r="A62" s="22"/>
      <c r="B62" s="22"/>
      <c r="C62" s="22"/>
      <c r="D62" s="22"/>
      <c r="E62" s="22"/>
      <c r="F62" s="22"/>
      <c r="G62" s="22"/>
      <c r="H62" s="22"/>
    </row>
    <row r="63" spans="1:8" ht="15.75" x14ac:dyDescent="0.25">
      <c r="A63" s="22"/>
      <c r="B63" s="22"/>
      <c r="C63" s="22"/>
      <c r="D63" s="22"/>
      <c r="E63" s="22"/>
      <c r="F63" s="22"/>
      <c r="G63" s="22"/>
      <c r="H63" s="22"/>
    </row>
    <row r="64" spans="1:8" ht="15.75" x14ac:dyDescent="0.25">
      <c r="A64" s="22"/>
      <c r="B64" s="22"/>
      <c r="C64" s="22"/>
      <c r="D64" s="22"/>
      <c r="E64" s="22"/>
      <c r="F64" s="22"/>
      <c r="G64" s="22"/>
      <c r="H64" s="22"/>
    </row>
    <row r="65" spans="1:8" ht="15.75" x14ac:dyDescent="0.25">
      <c r="A65" s="22"/>
      <c r="B65" s="22"/>
      <c r="C65" s="22"/>
      <c r="D65" s="22"/>
      <c r="E65" s="22"/>
      <c r="F65" s="22"/>
      <c r="G65" s="22"/>
      <c r="H65" s="22"/>
    </row>
    <row r="66" spans="1:8" ht="15.75" x14ac:dyDescent="0.25">
      <c r="A66" s="22"/>
      <c r="B66" s="22"/>
      <c r="C66" s="22"/>
      <c r="D66" s="22"/>
      <c r="E66" s="22"/>
      <c r="F66" s="22"/>
      <c r="G66" s="22"/>
      <c r="H66" s="22"/>
    </row>
    <row r="67" spans="1:8" ht="15.75" x14ac:dyDescent="0.25">
      <c r="A67" s="22"/>
      <c r="B67" s="22"/>
      <c r="C67" s="22"/>
      <c r="D67" s="22"/>
      <c r="E67" s="22"/>
      <c r="F67" s="22"/>
      <c r="G67" s="22"/>
      <c r="H67" s="22"/>
    </row>
  </sheetData>
  <phoneticPr fontId="0" type="noConversion"/>
  <printOptions horizontalCentered="1"/>
  <pageMargins left="0" right="0" top="0.25" bottom="0.75" header="0.25" footer="0.25"/>
  <pageSetup scale="72" orientation="landscape" r:id="rId1"/>
  <headerFooter alignWithMargins="0">
    <oddFooter>&amp;L&amp;"Times New Roman,Regular"&amp;12&amp;F&amp;C&amp;"Times New Roman,Regular"&amp;12Page 3 of 5&amp;R&amp;"Times New Roman,Regular"&amp;12&amp;A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S53"/>
  <sheetViews>
    <sheetView zoomScale="80" zoomScaleNormal="80" zoomScaleSheetLayoutView="75" workbookViewId="0">
      <selection activeCell="M35" sqref="M35"/>
    </sheetView>
  </sheetViews>
  <sheetFormatPr defaultColWidth="9.42578125" defaultRowHeight="12.75" x14ac:dyDescent="0.2"/>
  <cols>
    <col min="1" max="1" width="5.140625" style="242" bestFit="1" customWidth="1"/>
    <col min="2" max="2" width="12.28515625" style="242" bestFit="1" customWidth="1"/>
    <col min="3" max="3" width="57.7109375" style="242" bestFit="1" customWidth="1"/>
    <col min="4" max="4" width="11.140625" style="373" customWidth="1"/>
    <col min="5" max="5" width="10" style="373" customWidth="1"/>
    <col min="6" max="6" width="11.140625" style="373" customWidth="1"/>
    <col min="7" max="7" width="12" style="373" customWidth="1"/>
    <col min="8" max="8" width="10" style="373" customWidth="1"/>
    <col min="9" max="11" width="11" style="373" customWidth="1"/>
    <col min="12" max="12" width="11.140625" style="373" customWidth="1"/>
    <col min="13" max="14" width="11.7109375" style="373" customWidth="1"/>
    <col min="15" max="16" width="15.7109375" style="373" customWidth="1"/>
    <col min="17" max="17" width="5.140625" style="242" bestFit="1" customWidth="1"/>
    <col min="18" max="18" width="2.5703125" style="242" bestFit="1" customWidth="1"/>
    <col min="19" max="16384" width="9.42578125" style="242"/>
  </cols>
  <sheetData>
    <row r="2" spans="1:18" ht="16.5" thickBot="1" x14ac:dyDescent="0.3">
      <c r="A2" s="55"/>
      <c r="B2" s="30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55"/>
    </row>
    <row r="3" spans="1:18" ht="38.85" customHeight="1" thickBot="1" x14ac:dyDescent="0.35">
      <c r="A3" s="314" t="s">
        <v>69</v>
      </c>
      <c r="B3" s="314" t="s">
        <v>421</v>
      </c>
      <c r="C3" s="540" t="s">
        <v>467</v>
      </c>
      <c r="D3" s="367">
        <f>'WP 10 ETC Costs'!D3</f>
        <v>45200</v>
      </c>
      <c r="E3" s="366">
        <f>'WP 10 ETC Costs'!E3</f>
        <v>45231</v>
      </c>
      <c r="F3" s="368">
        <f>'WP 10 ETC Costs'!F3</f>
        <v>45261</v>
      </c>
      <c r="G3" s="367">
        <f>'WP 10 ETC Costs'!G3</f>
        <v>45292</v>
      </c>
      <c r="H3" s="366">
        <f>'WP 10 ETC Costs'!H3</f>
        <v>45323</v>
      </c>
      <c r="I3" s="368">
        <f>'WP 10 ETC Costs'!I3</f>
        <v>45352</v>
      </c>
      <c r="J3" s="367">
        <f>'WP 10 ETC Costs'!J3</f>
        <v>45383</v>
      </c>
      <c r="K3" s="366">
        <f>'WP 10 ETC Costs'!K3</f>
        <v>45413</v>
      </c>
      <c r="L3" s="368">
        <f>'WP 10 ETC Costs'!L3</f>
        <v>45444</v>
      </c>
      <c r="M3" s="365">
        <f>'WP 10 ETC Costs'!M3</f>
        <v>45474</v>
      </c>
      <c r="N3" s="366">
        <f>'WP 10 ETC Costs'!N3</f>
        <v>45505</v>
      </c>
      <c r="O3" s="365">
        <f>'WP 10 ETC Costs'!O3</f>
        <v>45536</v>
      </c>
      <c r="P3" s="380" t="s">
        <v>18</v>
      </c>
      <c r="Q3" s="461" t="s">
        <v>69</v>
      </c>
    </row>
    <row r="4" spans="1:18" ht="15.75" x14ac:dyDescent="0.25">
      <c r="A4" s="313"/>
      <c r="B4" s="313"/>
      <c r="C4" s="783"/>
      <c r="D4" s="370"/>
      <c r="E4" s="369"/>
      <c r="F4" s="718"/>
      <c r="G4" s="370"/>
      <c r="H4" s="369"/>
      <c r="I4" s="718"/>
      <c r="J4" s="370"/>
      <c r="K4" s="369"/>
      <c r="L4" s="718"/>
      <c r="M4" s="539"/>
      <c r="N4" s="369"/>
      <c r="O4" s="539"/>
      <c r="P4" s="464"/>
      <c r="Q4" s="462"/>
      <c r="R4" s="3"/>
    </row>
    <row r="5" spans="1:18" ht="15.75" x14ac:dyDescent="0.25">
      <c r="A5" s="733">
        <f>A4+1</f>
        <v>1</v>
      </c>
      <c r="B5" s="733">
        <v>1592</v>
      </c>
      <c r="C5" s="888" t="s">
        <v>423</v>
      </c>
      <c r="D5" s="735">
        <v>0</v>
      </c>
      <c r="E5" s="736">
        <v>0</v>
      </c>
      <c r="F5" s="737">
        <v>0</v>
      </c>
      <c r="G5" s="735">
        <v>0</v>
      </c>
      <c r="H5" s="736">
        <v>0</v>
      </c>
      <c r="I5" s="737">
        <v>0</v>
      </c>
      <c r="J5" s="735">
        <v>-169.59916999999999</v>
      </c>
      <c r="K5" s="736">
        <v>-5.2891199999999996</v>
      </c>
      <c r="L5" s="737">
        <v>0</v>
      </c>
      <c r="M5" s="738">
        <v>0</v>
      </c>
      <c r="N5" s="736">
        <v>0</v>
      </c>
      <c r="O5" s="738">
        <v>0</v>
      </c>
      <c r="P5" s="739">
        <f>SUM(D5:O5)</f>
        <v>-174.88828999999998</v>
      </c>
      <c r="Q5" s="734">
        <f>A5</f>
        <v>1</v>
      </c>
      <c r="R5" s="3"/>
    </row>
    <row r="6" spans="1:18" ht="15.75" x14ac:dyDescent="0.25">
      <c r="A6" s="733">
        <f>A5+1</f>
        <v>2</v>
      </c>
      <c r="B6" s="733"/>
      <c r="C6" s="889"/>
      <c r="D6" s="370"/>
      <c r="E6" s="369"/>
      <c r="F6" s="718"/>
      <c r="G6" s="370"/>
      <c r="H6" s="369"/>
      <c r="I6" s="718"/>
      <c r="J6" s="370"/>
      <c r="K6" s="369"/>
      <c r="L6" s="718"/>
      <c r="M6" s="539"/>
      <c r="N6" s="369"/>
      <c r="O6" s="539"/>
      <c r="P6" s="464"/>
      <c r="Q6" s="734">
        <f t="shared" ref="Q6:Q17" si="0">A6</f>
        <v>2</v>
      </c>
      <c r="R6" s="3"/>
    </row>
    <row r="7" spans="1:18" ht="15.75" x14ac:dyDescent="0.25">
      <c r="A7" s="733">
        <f t="shared" ref="A7:A23" si="1">A6+1</f>
        <v>3</v>
      </c>
      <c r="B7" s="120">
        <v>7989</v>
      </c>
      <c r="C7" s="22" t="s">
        <v>437</v>
      </c>
      <c r="D7" s="117">
        <v>-2513.85</v>
      </c>
      <c r="E7" s="44">
        <v>-4525.13</v>
      </c>
      <c r="F7" s="119">
        <v>-46582.66</v>
      </c>
      <c r="G7" s="117">
        <v>-16683</v>
      </c>
      <c r="H7" s="44">
        <v>-12929.48</v>
      </c>
      <c r="I7" s="119">
        <v>-31015.23</v>
      </c>
      <c r="J7" s="117">
        <v>-22669.170000000002</v>
      </c>
      <c r="K7" s="44">
        <v>-30991.579999999998</v>
      </c>
      <c r="L7" s="119">
        <v>-81084.709999999992</v>
      </c>
      <c r="M7" s="93">
        <v>-1388.23</v>
      </c>
      <c r="N7" s="44">
        <v>0</v>
      </c>
      <c r="O7" s="93">
        <v>-571.39</v>
      </c>
      <c r="P7" s="148">
        <f>SUM(D7:O7)</f>
        <v>-250954.43</v>
      </c>
      <c r="Q7" s="734">
        <f t="shared" si="0"/>
        <v>3</v>
      </c>
    </row>
    <row r="8" spans="1:18" ht="15.75" x14ac:dyDescent="0.25">
      <c r="A8" s="733">
        <f t="shared" si="1"/>
        <v>4</v>
      </c>
      <c r="B8" s="120"/>
      <c r="C8" s="22"/>
      <c r="D8" s="350"/>
      <c r="E8" s="141"/>
      <c r="F8" s="328"/>
      <c r="G8" s="350"/>
      <c r="H8" s="141"/>
      <c r="I8" s="328"/>
      <c r="J8" s="350"/>
      <c r="K8" s="141"/>
      <c r="L8" s="328"/>
      <c r="M8" s="327"/>
      <c r="N8" s="141"/>
      <c r="O8" s="327"/>
      <c r="P8" s="465"/>
      <c r="Q8" s="734">
        <f t="shared" si="0"/>
        <v>4</v>
      </c>
    </row>
    <row r="9" spans="1:18" ht="15.75" x14ac:dyDescent="0.25">
      <c r="A9" s="733">
        <f t="shared" si="1"/>
        <v>5</v>
      </c>
      <c r="B9" s="120">
        <v>7999</v>
      </c>
      <c r="C9" s="22" t="s">
        <v>438</v>
      </c>
      <c r="D9" s="117">
        <v>17077.41</v>
      </c>
      <c r="E9" s="44">
        <v>3496.24</v>
      </c>
      <c r="F9" s="119">
        <v>93.33</v>
      </c>
      <c r="G9" s="117">
        <v>336.06</v>
      </c>
      <c r="H9" s="44">
        <v>5267.96</v>
      </c>
      <c r="I9" s="119">
        <v>17758.18</v>
      </c>
      <c r="J9" s="117">
        <v>1566.67</v>
      </c>
      <c r="K9" s="44">
        <v>0</v>
      </c>
      <c r="L9" s="119">
        <v>0</v>
      </c>
      <c r="M9" s="93">
        <v>184270.99</v>
      </c>
      <c r="N9" s="44">
        <v>228379.27</v>
      </c>
      <c r="O9" s="93">
        <v>166575.10999999999</v>
      </c>
      <c r="P9" s="148">
        <f>SUM(D9:O9)</f>
        <v>624821.22</v>
      </c>
      <c r="Q9" s="734">
        <f t="shared" si="0"/>
        <v>5</v>
      </c>
      <c r="R9" s="22"/>
    </row>
    <row r="10" spans="1:18" ht="15.75" x14ac:dyDescent="0.25">
      <c r="A10" s="733">
        <f t="shared" si="1"/>
        <v>6</v>
      </c>
      <c r="B10" s="120"/>
      <c r="C10" s="22"/>
      <c r="D10" s="117"/>
      <c r="E10" s="44"/>
      <c r="F10" s="119"/>
      <c r="G10" s="117"/>
      <c r="H10" s="44"/>
      <c r="I10" s="119"/>
      <c r="J10" s="117"/>
      <c r="K10" s="44"/>
      <c r="L10" s="119"/>
      <c r="M10" s="93"/>
      <c r="N10" s="44"/>
      <c r="O10" s="883" t="s">
        <v>468</v>
      </c>
      <c r="P10" s="148"/>
      <c r="Q10" s="734">
        <f t="shared" si="0"/>
        <v>6</v>
      </c>
      <c r="R10" s="22"/>
    </row>
    <row r="11" spans="1:18" ht="15.75" x14ac:dyDescent="0.25">
      <c r="A11" s="733">
        <f t="shared" si="1"/>
        <v>7</v>
      </c>
      <c r="B11" s="120">
        <v>8526</v>
      </c>
      <c r="C11" s="22" t="s">
        <v>469</v>
      </c>
      <c r="D11" s="117">
        <v>0</v>
      </c>
      <c r="E11" s="44">
        <v>0</v>
      </c>
      <c r="F11" s="119">
        <v>0</v>
      </c>
      <c r="G11" s="117">
        <v>0</v>
      </c>
      <c r="H11" s="44">
        <v>0</v>
      </c>
      <c r="I11" s="119">
        <v>0</v>
      </c>
      <c r="J11" s="117">
        <v>-18.822590000000002</v>
      </c>
      <c r="K11" s="44">
        <v>0</v>
      </c>
      <c r="L11" s="119">
        <v>0</v>
      </c>
      <c r="M11" s="93">
        <v>0</v>
      </c>
      <c r="N11" s="44">
        <v>0</v>
      </c>
      <c r="O11" s="93">
        <v>-1047410.4257</v>
      </c>
      <c r="P11" s="148">
        <f>SUM(D11:O11)</f>
        <v>-1047429.24829</v>
      </c>
      <c r="Q11" s="734">
        <f t="shared" si="0"/>
        <v>7</v>
      </c>
      <c r="R11" s="22"/>
    </row>
    <row r="12" spans="1:18" ht="15.75" x14ac:dyDescent="0.25">
      <c r="A12" s="733">
        <f t="shared" si="1"/>
        <v>8</v>
      </c>
      <c r="B12" s="120"/>
      <c r="C12" s="22"/>
      <c r="D12" s="117"/>
      <c r="E12" s="44"/>
      <c r="F12" s="119"/>
      <c r="G12" s="117"/>
      <c r="H12" s="44"/>
      <c r="I12" s="119"/>
      <c r="J12" s="117"/>
      <c r="K12" s="44"/>
      <c r="L12" s="119"/>
      <c r="M12" s="93"/>
      <c r="N12" s="44"/>
      <c r="O12" s="93"/>
      <c r="P12" s="148"/>
      <c r="Q12" s="734">
        <f t="shared" si="0"/>
        <v>8</v>
      </c>
      <c r="R12" s="22"/>
    </row>
    <row r="13" spans="1:18" ht="15.75" x14ac:dyDescent="0.25">
      <c r="A13" s="733">
        <f t="shared" si="1"/>
        <v>9</v>
      </c>
      <c r="B13" s="120">
        <v>8989</v>
      </c>
      <c r="C13" s="22" t="s">
        <v>470</v>
      </c>
      <c r="D13" s="117">
        <v>0</v>
      </c>
      <c r="E13" s="44">
        <v>0</v>
      </c>
      <c r="F13" s="119">
        <v>0</v>
      </c>
      <c r="G13" s="117">
        <v>0</v>
      </c>
      <c r="H13" s="44">
        <v>0</v>
      </c>
      <c r="I13" s="119">
        <v>0</v>
      </c>
      <c r="J13" s="117">
        <v>0</v>
      </c>
      <c r="K13" s="44">
        <v>0</v>
      </c>
      <c r="L13" s="119">
        <v>0</v>
      </c>
      <c r="M13" s="93">
        <v>0</v>
      </c>
      <c r="N13" s="44">
        <v>0</v>
      </c>
      <c r="O13" s="93">
        <v>0</v>
      </c>
      <c r="P13" s="148">
        <f>SUM(D13:O13)</f>
        <v>0</v>
      </c>
      <c r="Q13" s="734">
        <f t="shared" si="0"/>
        <v>9</v>
      </c>
      <c r="R13" s="22"/>
    </row>
    <row r="14" spans="1:18" ht="15.75" x14ac:dyDescent="0.25">
      <c r="A14" s="733">
        <f t="shared" si="1"/>
        <v>10</v>
      </c>
      <c r="B14" s="120"/>
      <c r="C14" s="22"/>
      <c r="D14" s="117"/>
      <c r="E14" s="44"/>
      <c r="F14" s="119"/>
      <c r="G14" s="117"/>
      <c r="H14" s="44"/>
      <c r="I14" s="119"/>
      <c r="J14" s="117"/>
      <c r="K14" s="44"/>
      <c r="L14" s="119"/>
      <c r="M14" s="93"/>
      <c r="N14" s="44"/>
      <c r="O14" s="93"/>
      <c r="P14" s="148"/>
      <c r="Q14" s="734">
        <f t="shared" si="0"/>
        <v>10</v>
      </c>
      <c r="R14" s="22"/>
    </row>
    <row r="15" spans="1:18" ht="15.75" x14ac:dyDescent="0.25">
      <c r="A15" s="733">
        <f t="shared" si="1"/>
        <v>11</v>
      </c>
      <c r="B15" s="120">
        <v>8999</v>
      </c>
      <c r="C15" s="22" t="s">
        <v>460</v>
      </c>
      <c r="D15" s="117">
        <v>0</v>
      </c>
      <c r="E15" s="44">
        <v>0</v>
      </c>
      <c r="F15" s="119">
        <v>0</v>
      </c>
      <c r="G15" s="117">
        <v>0</v>
      </c>
      <c r="H15" s="44">
        <v>0</v>
      </c>
      <c r="I15" s="119">
        <v>0</v>
      </c>
      <c r="J15" s="117">
        <v>0</v>
      </c>
      <c r="K15" s="44">
        <v>0</v>
      </c>
      <c r="L15" s="119">
        <v>0</v>
      </c>
      <c r="M15" s="93">
        <v>0</v>
      </c>
      <c r="N15" s="44">
        <v>0</v>
      </c>
      <c r="O15" s="93">
        <v>0</v>
      </c>
      <c r="P15" s="148">
        <f>SUM(D15:O15)</f>
        <v>0</v>
      </c>
      <c r="Q15" s="734">
        <f t="shared" si="0"/>
        <v>11</v>
      </c>
      <c r="R15" s="22"/>
    </row>
    <row r="16" spans="1:18" ht="15.75" x14ac:dyDescent="0.25">
      <c r="A16" s="733">
        <f t="shared" si="1"/>
        <v>12</v>
      </c>
      <c r="B16" s="120"/>
      <c r="C16" s="22"/>
      <c r="D16" s="482"/>
      <c r="E16" s="475"/>
      <c r="F16" s="483"/>
      <c r="G16" s="482"/>
      <c r="H16" s="475"/>
      <c r="I16" s="483"/>
      <c r="J16" s="482"/>
      <c r="K16" s="475"/>
      <c r="L16" s="483"/>
      <c r="M16" s="484"/>
      <c r="N16" s="475"/>
      <c r="O16" s="484"/>
      <c r="P16" s="486"/>
      <c r="Q16" s="734">
        <f t="shared" si="0"/>
        <v>12</v>
      </c>
      <c r="R16" s="22"/>
    </row>
    <row r="17" spans="1:19" ht="16.5" thickBot="1" x14ac:dyDescent="0.3">
      <c r="A17" s="733">
        <f t="shared" si="1"/>
        <v>13</v>
      </c>
      <c r="B17" s="186"/>
      <c r="C17" s="3" t="s">
        <v>461</v>
      </c>
      <c r="D17" s="488">
        <f t="shared" ref="D17:P17" si="2">SUM(D5:D15)</f>
        <v>14563.56</v>
      </c>
      <c r="E17" s="192">
        <f t="shared" si="2"/>
        <v>-1028.8900000000003</v>
      </c>
      <c r="F17" s="485">
        <f t="shared" si="2"/>
        <v>-46489.33</v>
      </c>
      <c r="G17" s="488">
        <f t="shared" si="2"/>
        <v>-16346.94</v>
      </c>
      <c r="H17" s="192">
        <f t="shared" si="2"/>
        <v>-7661.5199999999995</v>
      </c>
      <c r="I17" s="489">
        <f t="shared" si="2"/>
        <v>-13257.05</v>
      </c>
      <c r="J17" s="488">
        <f t="shared" si="2"/>
        <v>-21290.921760000001</v>
      </c>
      <c r="K17" s="192">
        <f t="shared" si="2"/>
        <v>-30996.869119999999</v>
      </c>
      <c r="L17" s="489">
        <f t="shared" si="2"/>
        <v>-81084.709999999992</v>
      </c>
      <c r="M17" s="488">
        <f t="shared" si="2"/>
        <v>182882.75999999998</v>
      </c>
      <c r="N17" s="192">
        <f t="shared" si="2"/>
        <v>228379.27</v>
      </c>
      <c r="O17" s="485">
        <f t="shared" si="2"/>
        <v>-881406.70570000005</v>
      </c>
      <c r="P17" s="487">
        <f t="shared" si="2"/>
        <v>-673737.34658000001</v>
      </c>
      <c r="Q17" s="734">
        <f t="shared" si="0"/>
        <v>13</v>
      </c>
      <c r="R17" s="22"/>
    </row>
    <row r="18" spans="1:19" ht="17.25" thickTop="1" thickBot="1" x14ac:dyDescent="0.3">
      <c r="A18" s="121">
        <f t="shared" si="1"/>
        <v>14</v>
      </c>
      <c r="B18" s="126"/>
      <c r="C18" s="856"/>
      <c r="D18" s="323"/>
      <c r="E18" s="318"/>
      <c r="F18" s="450"/>
      <c r="G18" s="449"/>
      <c r="H18" s="318"/>
      <c r="I18" s="450"/>
      <c r="J18" s="449"/>
      <c r="K18" s="318"/>
      <c r="L18" s="450"/>
      <c r="M18" s="317"/>
      <c r="N18" s="318"/>
      <c r="O18" s="317"/>
      <c r="P18" s="451"/>
      <c r="Q18" s="463">
        <f t="shared" ref="Q18:Q23" si="3">Q17+1</f>
        <v>14</v>
      </c>
      <c r="R18" s="22"/>
      <c r="S18" s="372"/>
    </row>
    <row r="19" spans="1:19" ht="15.75" x14ac:dyDescent="0.25">
      <c r="A19" s="150">
        <f t="shared" si="1"/>
        <v>15</v>
      </c>
      <c r="B19" s="246"/>
      <c r="C19" s="890"/>
      <c r="D19" s="311"/>
      <c r="E19" s="310"/>
      <c r="F19" s="312"/>
      <c r="G19" s="525"/>
      <c r="H19" s="303"/>
      <c r="I19" s="524"/>
      <c r="J19" s="311"/>
      <c r="K19" s="310"/>
      <c r="L19" s="312"/>
      <c r="M19" s="311"/>
      <c r="N19" s="310"/>
      <c r="O19" s="312"/>
      <c r="P19" s="721"/>
      <c r="Q19" s="459">
        <f t="shared" si="3"/>
        <v>15</v>
      </c>
      <c r="R19" s="22"/>
      <c r="S19" s="372"/>
    </row>
    <row r="20" spans="1:19" s="784" customFormat="1" ht="31.5" x14ac:dyDescent="0.2">
      <c r="A20" s="891">
        <f t="shared" si="1"/>
        <v>16</v>
      </c>
      <c r="B20" s="374"/>
      <c r="C20" s="892" t="s">
        <v>471</v>
      </c>
      <c r="D20" s="375">
        <f t="shared" ref="D20:O20" si="4">D17</f>
        <v>14563.56</v>
      </c>
      <c r="E20" s="357">
        <f t="shared" si="4"/>
        <v>-1028.8900000000003</v>
      </c>
      <c r="F20" s="376">
        <f t="shared" si="4"/>
        <v>-46489.33</v>
      </c>
      <c r="G20" s="375">
        <f t="shared" si="4"/>
        <v>-16346.94</v>
      </c>
      <c r="H20" s="357">
        <f t="shared" si="4"/>
        <v>-7661.5199999999995</v>
      </c>
      <c r="I20" s="376">
        <f t="shared" si="4"/>
        <v>-13257.05</v>
      </c>
      <c r="J20" s="375">
        <f t="shared" si="4"/>
        <v>-21290.921760000001</v>
      </c>
      <c r="K20" s="357">
        <f t="shared" si="4"/>
        <v>-30996.869119999999</v>
      </c>
      <c r="L20" s="376">
        <f t="shared" si="4"/>
        <v>-81084.709999999992</v>
      </c>
      <c r="M20" s="375">
        <f t="shared" si="4"/>
        <v>182882.75999999998</v>
      </c>
      <c r="N20" s="357">
        <f t="shared" si="4"/>
        <v>228379.27</v>
      </c>
      <c r="O20" s="376">
        <f t="shared" si="4"/>
        <v>-881406.70570000005</v>
      </c>
      <c r="P20" s="845">
        <f>P17</f>
        <v>-673737.34658000001</v>
      </c>
      <c r="Q20" s="844">
        <f t="shared" si="3"/>
        <v>16</v>
      </c>
      <c r="R20" s="371"/>
    </row>
    <row r="21" spans="1:19" ht="15.75" x14ac:dyDescent="0.25">
      <c r="A21" s="120">
        <f t="shared" si="1"/>
        <v>17</v>
      </c>
      <c r="B21" s="125"/>
      <c r="C21" s="219" t="s">
        <v>472</v>
      </c>
      <c r="D21" s="363">
        <f>'WP 4 Monthly TRBAA '!C20</f>
        <v>14563.56</v>
      </c>
      <c r="E21" s="154">
        <f>'WP 4 Monthly TRBAA '!D20</f>
        <v>-1028.8900000000003</v>
      </c>
      <c r="F21" s="364">
        <f>'WP 4 Monthly TRBAA '!E20</f>
        <v>-46489.33</v>
      </c>
      <c r="G21" s="363">
        <f>'WP 4 Monthly TRBAA '!F20</f>
        <v>-16346.94</v>
      </c>
      <c r="H21" s="154">
        <f>'WP 4 Monthly TRBAA '!G20</f>
        <v>-7661.5199999999995</v>
      </c>
      <c r="I21" s="364">
        <f>'WP 4 Monthly TRBAA '!H20</f>
        <v>-13257.05</v>
      </c>
      <c r="J21" s="363">
        <f>'WP 4 Monthly TRBAA '!I20</f>
        <v>-21290.921760000001</v>
      </c>
      <c r="K21" s="154">
        <f>'WP 4 Monthly TRBAA '!J20</f>
        <v>-30996.869119999999</v>
      </c>
      <c r="L21" s="364">
        <f>'WP 4 Monthly TRBAA '!K20</f>
        <v>-81084.709999999992</v>
      </c>
      <c r="M21" s="363">
        <f>'WP 4 Monthly TRBAA '!L20</f>
        <v>182882.75999999998</v>
      </c>
      <c r="N21" s="154">
        <f>'WP 4 Monthly TRBAA '!M20</f>
        <v>228379.27</v>
      </c>
      <c r="O21" s="364">
        <f>'WP 4 Monthly TRBAA '!N20</f>
        <v>-881406.70570000005</v>
      </c>
      <c r="P21" s="723">
        <f>'WP 4 Monthly TRBAA '!O20</f>
        <v>-673737.34658000013</v>
      </c>
      <c r="Q21" s="349">
        <f t="shared" si="3"/>
        <v>17</v>
      </c>
      <c r="R21" s="22"/>
    </row>
    <row r="22" spans="1:19" ht="16.5" thickBot="1" x14ac:dyDescent="0.3">
      <c r="A22" s="120">
        <f t="shared" si="1"/>
        <v>18</v>
      </c>
      <c r="B22" s="125"/>
      <c r="C22" s="219" t="s">
        <v>75</v>
      </c>
      <c r="D22" s="320">
        <f>D20-D21</f>
        <v>0</v>
      </c>
      <c r="E22" s="319">
        <f t="shared" ref="E22:P22" si="5">E20-E21</f>
        <v>0</v>
      </c>
      <c r="F22" s="322">
        <f t="shared" si="5"/>
        <v>0</v>
      </c>
      <c r="G22" s="320">
        <f t="shared" si="5"/>
        <v>0</v>
      </c>
      <c r="H22" s="155">
        <f t="shared" si="5"/>
        <v>0</v>
      </c>
      <c r="I22" s="321">
        <f t="shared" si="5"/>
        <v>0</v>
      </c>
      <c r="J22" s="320">
        <f t="shared" si="5"/>
        <v>0</v>
      </c>
      <c r="K22" s="155">
        <f t="shared" si="5"/>
        <v>0</v>
      </c>
      <c r="L22" s="321">
        <f t="shared" si="5"/>
        <v>0</v>
      </c>
      <c r="M22" s="320">
        <f t="shared" si="5"/>
        <v>0</v>
      </c>
      <c r="N22" s="155">
        <f t="shared" si="5"/>
        <v>0</v>
      </c>
      <c r="O22" s="321">
        <f t="shared" si="5"/>
        <v>0</v>
      </c>
      <c r="P22" s="724">
        <f t="shared" si="5"/>
        <v>0</v>
      </c>
      <c r="Q22" s="349">
        <f t="shared" si="3"/>
        <v>18</v>
      </c>
      <c r="R22" s="22"/>
    </row>
    <row r="23" spans="1:19" ht="17.25" thickTop="1" thickBot="1" x14ac:dyDescent="0.3">
      <c r="A23" s="121">
        <f t="shared" si="1"/>
        <v>19</v>
      </c>
      <c r="B23" s="126"/>
      <c r="C23" s="212"/>
      <c r="D23" s="323"/>
      <c r="E23" s="304"/>
      <c r="F23" s="128"/>
      <c r="G23" s="127"/>
      <c r="H23" s="304"/>
      <c r="I23" s="128"/>
      <c r="J23" s="127"/>
      <c r="K23" s="304"/>
      <c r="L23" s="128"/>
      <c r="M23" s="127"/>
      <c r="N23" s="304"/>
      <c r="O23" s="128"/>
      <c r="P23" s="725"/>
      <c r="Q23" s="463">
        <f t="shared" si="3"/>
        <v>19</v>
      </c>
      <c r="R23" s="22"/>
    </row>
    <row r="24" spans="1:19" ht="15.75" x14ac:dyDescent="0.25">
      <c r="B24" s="22"/>
      <c r="C24" s="22"/>
      <c r="D24" s="78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40"/>
    </row>
    <row r="25" spans="1:19" ht="33" customHeight="1" x14ac:dyDescent="0.25">
      <c r="A25" s="381" t="s">
        <v>414</v>
      </c>
      <c r="B25" s="992" t="s">
        <v>473</v>
      </c>
      <c r="C25" s="992"/>
      <c r="D25" s="992"/>
      <c r="E25" s="992"/>
      <c r="F25" s="992"/>
      <c r="G25" s="992"/>
      <c r="H25" s="992"/>
      <c r="I25" s="992"/>
      <c r="J25" s="992"/>
      <c r="K25" s="306"/>
      <c r="L25" s="306"/>
      <c r="M25" s="306"/>
      <c r="N25" s="306"/>
      <c r="O25" s="306"/>
      <c r="P25" s="151"/>
    </row>
    <row r="26" spans="1:19" ht="15.75" x14ac:dyDescent="0.25">
      <c r="B26" s="22"/>
      <c r="C26" s="22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19" ht="51.6" customHeight="1" x14ac:dyDescent="0.2">
      <c r="A27" s="893" t="s">
        <v>468</v>
      </c>
      <c r="B27" s="992" t="s">
        <v>526</v>
      </c>
      <c r="C27" s="992"/>
      <c r="D27" s="992"/>
      <c r="E27" s="992"/>
      <c r="F27" s="992"/>
      <c r="G27" s="992"/>
      <c r="H27" s="992"/>
      <c r="I27" s="992"/>
      <c r="J27" s="992"/>
    </row>
    <row r="28" spans="1:19" ht="18.75" x14ac:dyDescent="0.25">
      <c r="A28" s="893"/>
      <c r="B28" s="895"/>
      <c r="C28" s="895"/>
      <c r="D28" s="78"/>
      <c r="E28" s="78"/>
      <c r="F28" s="78"/>
      <c r="G28" s="78"/>
    </row>
    <row r="29" spans="1:19" ht="15.75" x14ac:dyDescent="0.25">
      <c r="B29" s="22" t="s">
        <v>228</v>
      </c>
      <c r="C29" s="894"/>
      <c r="D29" s="78"/>
      <c r="E29" s="78"/>
      <c r="F29" s="78"/>
      <c r="G29" s="78"/>
      <c r="H29" s="78"/>
      <c r="I29" s="78"/>
      <c r="J29" s="907"/>
      <c r="L29" s="78"/>
      <c r="M29" s="78"/>
      <c r="N29" s="78"/>
      <c r="O29" s="897">
        <v>-324866.67</v>
      </c>
      <c r="P29" s="898">
        <f>SUM(O29)</f>
        <v>-324866.67</v>
      </c>
    </row>
    <row r="30" spans="1:19" ht="15.75" x14ac:dyDescent="0.25">
      <c r="B30" s="22" t="s">
        <v>229</v>
      </c>
      <c r="C30" s="22"/>
      <c r="D30" s="78"/>
      <c r="E30" s="78"/>
      <c r="F30" s="78"/>
      <c r="G30" s="78"/>
      <c r="H30" s="78"/>
      <c r="I30" s="78"/>
      <c r="J30" s="884"/>
      <c r="L30" s="78"/>
      <c r="M30" s="78"/>
      <c r="N30" s="78"/>
      <c r="O30" s="897">
        <v>-722543.75</v>
      </c>
      <c r="P30" s="899">
        <f>SUM(O30)</f>
        <v>-722543.75</v>
      </c>
    </row>
    <row r="31" spans="1:19" ht="16.5" thickBot="1" x14ac:dyDescent="0.3">
      <c r="B31" s="22" t="s">
        <v>18</v>
      </c>
      <c r="C31" s="22"/>
      <c r="D31" s="78"/>
      <c r="E31" s="78"/>
      <c r="F31" s="78"/>
      <c r="G31" s="78"/>
      <c r="H31" s="78"/>
      <c r="I31" s="896"/>
      <c r="J31" s="907"/>
      <c r="L31" s="78"/>
      <c r="M31" s="78"/>
      <c r="N31" s="896" t="s">
        <v>468</v>
      </c>
      <c r="O31" s="900">
        <f>SUM(O29:O30)</f>
        <v>-1047410.4199999999</v>
      </c>
      <c r="P31" s="900">
        <f>SUM(P29:P30)</f>
        <v>-1047410.4199999999</v>
      </c>
    </row>
    <row r="32" spans="1:19" ht="16.5" thickTop="1" x14ac:dyDescent="0.25">
      <c r="B32" s="22"/>
      <c r="C32" s="22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2:16" ht="15.75" x14ac:dyDescent="0.25">
      <c r="B33" s="22"/>
      <c r="C33" s="22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2:16" ht="15.75" x14ac:dyDescent="0.25">
      <c r="B34" s="22"/>
      <c r="C34" s="22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2:16" ht="15.75" x14ac:dyDescent="0.25">
      <c r="B35" s="22"/>
      <c r="C35" s="22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2:16" ht="15.75" x14ac:dyDescent="0.25">
      <c r="B36" s="22"/>
      <c r="C36" s="22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2:16" ht="15.75" x14ac:dyDescent="0.25">
      <c r="B37" s="22"/>
      <c r="C37" s="22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2:16" ht="15.75" x14ac:dyDescent="0.25">
      <c r="B38" s="22"/>
      <c r="C38" s="22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2:16" ht="15.75" x14ac:dyDescent="0.25">
      <c r="B39" s="22"/>
      <c r="C39" s="22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2:16" ht="15.75" x14ac:dyDescent="0.25">
      <c r="B40" s="22"/>
      <c r="C40" s="22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2:16" ht="15.75" x14ac:dyDescent="0.25">
      <c r="B41" s="22"/>
      <c r="C41" s="22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2:16" ht="15.75" x14ac:dyDescent="0.25">
      <c r="B42" s="22"/>
      <c r="C42" s="22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2:16" ht="15.75" x14ac:dyDescent="0.25">
      <c r="B43" s="22"/>
      <c r="C43" s="22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2:16" ht="15.75" x14ac:dyDescent="0.25">
      <c r="B44" s="22"/>
      <c r="C44" s="22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2:16" ht="15.75" x14ac:dyDescent="0.25">
      <c r="B45" s="22"/>
      <c r="C45" s="22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2:16" ht="15.75" x14ac:dyDescent="0.25">
      <c r="B46" s="22"/>
      <c r="C46" s="22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2:16" ht="15.75" x14ac:dyDescent="0.25">
      <c r="B47" s="22"/>
      <c r="C47" s="22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2:16" ht="15.75" x14ac:dyDescent="0.25">
      <c r="B48" s="22"/>
      <c r="C48" s="22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2:16" ht="15.75" x14ac:dyDescent="0.25">
      <c r="B49" s="22"/>
      <c r="C49" s="22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2:16" ht="15.75" x14ac:dyDescent="0.25">
      <c r="B50" s="22"/>
      <c r="C50" s="22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2:16" ht="15.75" x14ac:dyDescent="0.25">
      <c r="B51" s="22"/>
      <c r="C51" s="22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2:16" ht="15.75" x14ac:dyDescent="0.25">
      <c r="B52" s="22"/>
      <c r="C52" s="22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2:16" ht="15.75" x14ac:dyDescent="0.25">
      <c r="B53" s="22"/>
      <c r="C53" s="22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</sheetData>
  <mergeCells count="2">
    <mergeCell ref="B27:J27"/>
    <mergeCell ref="B25:J25"/>
  </mergeCells>
  <printOptions horizontalCentered="1"/>
  <pageMargins left="0.25" right="0.25" top="0.75" bottom="0.5" header="0.5" footer="0.25"/>
  <pageSetup scale="60" orientation="landscape" r:id="rId1"/>
  <headerFooter alignWithMargins="0">
    <oddHeader xml:space="preserve">&amp;C&amp;"Times New Roman,Bold"&amp;12San Diego Gas &amp;&amp; Electric Company
2025 T&amp;K000000RBAA Rate Filing
Details of Monthly Other PTO Related Revenue (Credits)/Charges
</oddHeader>
    <oddFooter>&amp;L&amp;"Times New Roman,Regular"&amp;16&amp;F&amp;C&amp;"Times New Roman,Regular"&amp;16Page 12.&amp;P&amp;R&amp;"Times New Roman,Regular"&amp;16&amp;A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14"/>
  <sheetViews>
    <sheetView zoomScale="80" zoomScaleNormal="80" workbookViewId="0"/>
  </sheetViews>
  <sheetFormatPr defaultColWidth="9.28515625" defaultRowHeight="15" x14ac:dyDescent="0.25"/>
  <cols>
    <col min="1" max="1" width="20.5703125" style="769" customWidth="1"/>
    <col min="2" max="5" width="7.5703125" style="769" bestFit="1" customWidth="1"/>
    <col min="6" max="6" width="8.28515625" style="769" bestFit="1" customWidth="1"/>
    <col min="7" max="13" width="7.5703125" style="769" bestFit="1" customWidth="1"/>
    <col min="14" max="14" width="11.42578125" style="769" bestFit="1" customWidth="1"/>
    <col min="15" max="16384" width="9.28515625" style="769"/>
  </cols>
  <sheetData>
    <row r="2" spans="1:15" ht="15.75" x14ac:dyDescent="0.25">
      <c r="A2" s="974" t="s">
        <v>0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</row>
    <row r="3" spans="1:15" ht="15.75" x14ac:dyDescent="0.25">
      <c r="A3" s="974" t="s">
        <v>52</v>
      </c>
      <c r="B3" s="974"/>
      <c r="C3" s="974"/>
      <c r="D3" s="974"/>
      <c r="E3" s="974"/>
      <c r="F3" s="974"/>
      <c r="G3" s="974"/>
      <c r="H3" s="974"/>
      <c r="I3" s="974"/>
      <c r="J3" s="974"/>
      <c r="K3" s="974"/>
      <c r="L3" s="974"/>
      <c r="M3" s="974"/>
      <c r="N3" s="974"/>
    </row>
    <row r="4" spans="1:15" ht="15.75" x14ac:dyDescent="0.25">
      <c r="A4" s="974" t="s">
        <v>2</v>
      </c>
      <c r="B4" s="974"/>
      <c r="C4" s="974"/>
      <c r="D4" s="974"/>
      <c r="E4" s="974"/>
      <c r="F4" s="974"/>
      <c r="G4" s="974"/>
      <c r="H4" s="974"/>
      <c r="I4" s="974"/>
      <c r="J4" s="974"/>
      <c r="K4" s="974"/>
      <c r="L4" s="974"/>
      <c r="M4" s="974"/>
      <c r="N4" s="974"/>
    </row>
    <row r="5" spans="1:15" ht="15.75" x14ac:dyDescent="0.25">
      <c r="A5" s="974" t="s">
        <v>490</v>
      </c>
      <c r="B5" s="974"/>
      <c r="C5" s="974"/>
      <c r="D5" s="974"/>
      <c r="E5" s="974"/>
      <c r="F5" s="974"/>
      <c r="G5" s="974"/>
      <c r="H5" s="974"/>
      <c r="I5" s="974"/>
      <c r="J5" s="974"/>
      <c r="K5" s="974"/>
      <c r="L5" s="974"/>
      <c r="M5" s="974"/>
      <c r="N5" s="974"/>
    </row>
    <row r="6" spans="1:15" ht="15.75" x14ac:dyDescent="0.25">
      <c r="A6" s="974" t="s">
        <v>26</v>
      </c>
      <c r="B6" s="974"/>
      <c r="C6" s="974"/>
      <c r="D6" s="974"/>
      <c r="E6" s="974"/>
      <c r="F6" s="974"/>
      <c r="G6" s="974"/>
      <c r="H6" s="974"/>
      <c r="I6" s="974"/>
      <c r="J6" s="974"/>
      <c r="K6" s="974"/>
      <c r="L6" s="974"/>
      <c r="M6" s="974"/>
      <c r="N6" s="974"/>
    </row>
    <row r="7" spans="1:15" ht="16.5" thickBot="1" x14ac:dyDescent="0.3">
      <c r="A7" s="770"/>
      <c r="B7" s="770"/>
      <c r="C7" s="770"/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</row>
    <row r="8" spans="1:15" ht="15.75" thickBot="1" x14ac:dyDescent="0.3">
      <c r="A8" s="774" t="s">
        <v>491</v>
      </c>
      <c r="B8" s="771" t="s">
        <v>53</v>
      </c>
      <c r="C8" s="772" t="s">
        <v>54</v>
      </c>
      <c r="D8" s="772" t="s">
        <v>55</v>
      </c>
      <c r="E8" s="772" t="s">
        <v>56</v>
      </c>
      <c r="F8" s="772" t="s">
        <v>57</v>
      </c>
      <c r="G8" s="772" t="s">
        <v>58</v>
      </c>
      <c r="H8" s="772" t="s">
        <v>59</v>
      </c>
      <c r="I8" s="772" t="s">
        <v>60</v>
      </c>
      <c r="J8" s="772" t="s">
        <v>61</v>
      </c>
      <c r="K8" s="772" t="s">
        <v>62</v>
      </c>
      <c r="L8" s="772" t="s">
        <v>63</v>
      </c>
      <c r="M8" s="773" t="s">
        <v>64</v>
      </c>
      <c r="N8" s="774" t="s">
        <v>18</v>
      </c>
      <c r="O8" s="775"/>
    </row>
    <row r="9" spans="1:15" ht="43.5" thickBot="1" x14ac:dyDescent="0.3">
      <c r="A9" s="846" t="s">
        <v>65</v>
      </c>
      <c r="B9" s="847">
        <v>21.179830000000013</v>
      </c>
      <c r="C9" s="847">
        <v>21.166230000000024</v>
      </c>
      <c r="D9" s="847">
        <v>27.944400999999992</v>
      </c>
      <c r="E9" s="847">
        <v>27.944400999999992</v>
      </c>
      <c r="F9" s="847">
        <v>24.597759999999965</v>
      </c>
      <c r="G9" s="847">
        <v>28.451189999999976</v>
      </c>
      <c r="H9" s="847">
        <v>28.488360000000025</v>
      </c>
      <c r="I9" s="847">
        <v>31.378919999999962</v>
      </c>
      <c r="J9" s="847">
        <v>31.659669999999966</v>
      </c>
      <c r="K9" s="847">
        <v>33.755619999999972</v>
      </c>
      <c r="L9" s="847">
        <v>29.764959999999963</v>
      </c>
      <c r="M9" s="847">
        <v>29.001470000000012</v>
      </c>
      <c r="N9" s="848">
        <f>SUM(B9:M9)</f>
        <v>335.33281199999988</v>
      </c>
      <c r="O9" s="775"/>
    </row>
    <row r="10" spans="1:15" x14ac:dyDescent="0.25">
      <c r="A10" s="776"/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8"/>
      <c r="O10" s="775"/>
    </row>
    <row r="11" spans="1:15" x14ac:dyDescent="0.25">
      <c r="H11" s="769" t="s">
        <v>66</v>
      </c>
      <c r="N11" s="779">
        <v>1.0109316911627462</v>
      </c>
    </row>
    <row r="12" spans="1:15" x14ac:dyDescent="0.25">
      <c r="N12" s="780"/>
    </row>
    <row r="13" spans="1:15" ht="15.75" thickBot="1" x14ac:dyDescent="0.3">
      <c r="H13" s="769" t="s">
        <v>67</v>
      </c>
      <c r="N13" s="781">
        <f>N9*N11</f>
        <v>338.99856673751907</v>
      </c>
    </row>
    <row r="14" spans="1:15" ht="15.75" thickTop="1" x14ac:dyDescent="0.25">
      <c r="N14" s="782"/>
    </row>
  </sheetData>
  <mergeCells count="5">
    <mergeCell ref="A2:N2"/>
    <mergeCell ref="A3:N3"/>
    <mergeCell ref="A4:N4"/>
    <mergeCell ref="A5:N5"/>
    <mergeCell ref="A6:N6"/>
  </mergeCells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4 of 5&amp;R&amp;"Times New Roman,Regular"&amp;12&amp;A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DC20-797C-4235-8D22-6E9C71D54D96}">
  <sheetPr>
    <pageSetUpPr fitToPage="1"/>
  </sheetPr>
  <dimension ref="A2:E21"/>
  <sheetViews>
    <sheetView zoomScale="80" zoomScaleNormal="80" workbookViewId="0"/>
  </sheetViews>
  <sheetFormatPr defaultColWidth="9.28515625" defaultRowHeight="15" x14ac:dyDescent="0.25"/>
  <cols>
    <col min="1" max="1" width="9.28515625" style="829"/>
    <col min="2" max="2" width="54" style="838" customWidth="1"/>
    <col min="3" max="3" width="10.42578125" style="829" bestFit="1" customWidth="1"/>
    <col min="4" max="4" width="30.28515625" style="829" customWidth="1"/>
    <col min="5" max="5" width="12.42578125" style="829" customWidth="1"/>
    <col min="6" max="16384" width="9.28515625" style="829"/>
  </cols>
  <sheetData>
    <row r="2" spans="1:5" ht="15.75" x14ac:dyDescent="0.25">
      <c r="B2" s="975" t="s">
        <v>0</v>
      </c>
      <c r="C2" s="975"/>
      <c r="D2" s="975"/>
    </row>
    <row r="3" spans="1:5" ht="15.75" x14ac:dyDescent="0.25">
      <c r="B3" s="975" t="s">
        <v>52</v>
      </c>
      <c r="C3" s="975"/>
      <c r="D3" s="975"/>
    </row>
    <row r="4" spans="1:5" ht="15.75" x14ac:dyDescent="0.25">
      <c r="B4" s="975" t="s">
        <v>2</v>
      </c>
      <c r="C4" s="975"/>
      <c r="D4" s="975"/>
    </row>
    <row r="5" spans="1:5" ht="15.75" x14ac:dyDescent="0.25">
      <c r="B5" s="975" t="s">
        <v>68</v>
      </c>
      <c r="C5" s="975"/>
      <c r="D5" s="975"/>
    </row>
    <row r="6" spans="1:5" ht="15.75" x14ac:dyDescent="0.25">
      <c r="B6" s="975" t="s">
        <v>492</v>
      </c>
      <c r="C6" s="975"/>
      <c r="D6" s="975"/>
    </row>
    <row r="7" spans="1:5" ht="15.75" x14ac:dyDescent="0.25">
      <c r="B7" s="830"/>
      <c r="C7" s="830"/>
      <c r="D7" s="830"/>
    </row>
    <row r="8" spans="1:5" ht="16.5" thickBot="1" x14ac:dyDescent="0.3">
      <c r="A8" s="831" t="s">
        <v>69</v>
      </c>
      <c r="B8" s="831" t="s">
        <v>70</v>
      </c>
      <c r="C8" s="831" t="s">
        <v>71</v>
      </c>
      <c r="D8" s="831" t="s">
        <v>16</v>
      </c>
      <c r="E8" s="831" t="s">
        <v>69</v>
      </c>
    </row>
    <row r="9" spans="1:5" ht="15.75" x14ac:dyDescent="0.25">
      <c r="A9" s="832"/>
      <c r="B9" s="753"/>
      <c r="C9" s="754"/>
      <c r="D9" s="755"/>
      <c r="E9" s="833"/>
    </row>
    <row r="10" spans="1:5" ht="15.75" x14ac:dyDescent="0.25">
      <c r="A10" s="832">
        <v>1</v>
      </c>
      <c r="B10" s="754" t="s">
        <v>72</v>
      </c>
      <c r="C10" s="754">
        <v>5332.6547605940013</v>
      </c>
      <c r="D10" s="755" t="s">
        <v>73</v>
      </c>
      <c r="E10" s="832">
        <v>1</v>
      </c>
    </row>
    <row r="11" spans="1:5" ht="15.75" x14ac:dyDescent="0.25">
      <c r="A11" s="832"/>
      <c r="B11" s="754"/>
      <c r="C11" s="754"/>
      <c r="D11" s="755"/>
      <c r="E11" s="832"/>
    </row>
    <row r="12" spans="1:5" ht="15.75" x14ac:dyDescent="0.25">
      <c r="A12" s="832">
        <f>A10+1</f>
        <v>2</v>
      </c>
      <c r="B12" s="754" t="s">
        <v>74</v>
      </c>
      <c r="C12" s="756">
        <v>3956.4230170000001</v>
      </c>
      <c r="D12" s="755" t="s">
        <v>73</v>
      </c>
      <c r="E12" s="832">
        <f>E10+1</f>
        <v>2</v>
      </c>
    </row>
    <row r="13" spans="1:5" ht="15.75" x14ac:dyDescent="0.25">
      <c r="A13" s="832"/>
      <c r="B13" s="754"/>
      <c r="C13" s="754"/>
      <c r="D13" s="755"/>
      <c r="E13" s="832"/>
    </row>
    <row r="14" spans="1:5" ht="15.75" x14ac:dyDescent="0.25">
      <c r="A14" s="832">
        <f>A12+1</f>
        <v>3</v>
      </c>
      <c r="B14" s="754" t="s">
        <v>75</v>
      </c>
      <c r="C14" s="754">
        <f>C10-C12</f>
        <v>1376.2317435940013</v>
      </c>
      <c r="D14" s="755" t="s">
        <v>76</v>
      </c>
      <c r="E14" s="832">
        <f>E12+1</f>
        <v>3</v>
      </c>
    </row>
    <row r="15" spans="1:5" ht="15.75" x14ac:dyDescent="0.25">
      <c r="A15" s="832"/>
      <c r="B15" s="754"/>
      <c r="C15" s="754"/>
      <c r="D15" s="755"/>
      <c r="E15" s="832"/>
    </row>
    <row r="16" spans="1:5" ht="15.75" x14ac:dyDescent="0.25">
      <c r="A16" s="832">
        <f>A14+1</f>
        <v>4</v>
      </c>
      <c r="B16" s="834" t="s">
        <v>66</v>
      </c>
      <c r="C16" s="835">
        <v>1.0109316911627462</v>
      </c>
      <c r="D16" s="755" t="s">
        <v>73</v>
      </c>
      <c r="E16" s="832">
        <f>E14+1</f>
        <v>4</v>
      </c>
    </row>
    <row r="17" spans="1:5" ht="15.75" x14ac:dyDescent="0.25">
      <c r="A17" s="832"/>
      <c r="B17" s="834"/>
      <c r="C17" s="837"/>
      <c r="D17" s="836"/>
      <c r="E17" s="832"/>
    </row>
    <row r="18" spans="1:5" ht="18.75" x14ac:dyDescent="0.25">
      <c r="A18" s="839">
        <f>A16+1</f>
        <v>5</v>
      </c>
      <c r="B18" s="843" t="s">
        <v>77</v>
      </c>
      <c r="C18" s="840">
        <f>C14*C16</f>
        <v>1391.2762839833385</v>
      </c>
      <c r="D18" s="842" t="s">
        <v>78</v>
      </c>
      <c r="E18" s="839">
        <f>E16+1</f>
        <v>5</v>
      </c>
    </row>
    <row r="19" spans="1:5" ht="15.75" x14ac:dyDescent="0.25">
      <c r="A19" s="832"/>
    </row>
    <row r="20" spans="1:5" ht="18.75" x14ac:dyDescent="0.25">
      <c r="A20" s="413">
        <v>1</v>
      </c>
      <c r="B20" s="22" t="s">
        <v>79</v>
      </c>
    </row>
    <row r="21" spans="1:5" ht="15.75" x14ac:dyDescent="0.25">
      <c r="B21" s="841"/>
    </row>
  </sheetData>
  <mergeCells count="5">
    <mergeCell ref="B2:D2"/>
    <mergeCell ref="B3:D3"/>
    <mergeCell ref="B4:D4"/>
    <mergeCell ref="B5:D5"/>
    <mergeCell ref="B6:D6"/>
  </mergeCells>
  <printOptions horizontalCentered="1"/>
  <pageMargins left="0" right="0" top="0.5" bottom="0.75" header="0.25" footer="0.25"/>
  <pageSetup orientation="landscape" r:id="rId1"/>
  <headerFooter alignWithMargins="0">
    <oddFooter>&amp;L            &amp;F&amp;CPage 5 of 5&amp;R&amp;A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52"/>
  <sheetViews>
    <sheetView zoomScale="80" zoomScaleNormal="80" workbookViewId="0"/>
  </sheetViews>
  <sheetFormatPr defaultColWidth="9.28515625" defaultRowHeight="12.75" x14ac:dyDescent="0.2"/>
  <cols>
    <col min="1" max="1" width="5.5703125" style="242" customWidth="1"/>
    <col min="2" max="2" width="40.5703125" style="242" customWidth="1"/>
    <col min="3" max="6" width="20.5703125" style="242" customWidth="1"/>
    <col min="7" max="7" width="25.5703125" style="242" hidden="1" customWidth="1"/>
    <col min="8" max="8" width="35.5703125" style="242" customWidth="1"/>
    <col min="9" max="9" width="5.5703125" style="242" customWidth="1"/>
    <col min="10" max="16384" width="9.28515625" style="242"/>
  </cols>
  <sheetData>
    <row r="2" spans="1:9" ht="15.75" x14ac:dyDescent="0.2">
      <c r="A2" s="5" t="s">
        <v>80</v>
      </c>
      <c r="B2" s="417"/>
      <c r="C2" s="827"/>
      <c r="D2" s="827"/>
      <c r="E2" s="827"/>
      <c r="F2" s="827"/>
      <c r="G2" s="827"/>
      <c r="H2" s="827"/>
      <c r="I2" s="827"/>
    </row>
    <row r="3" spans="1:9" ht="15.75" x14ac:dyDescent="0.2">
      <c r="A3" s="5" t="s">
        <v>25</v>
      </c>
      <c r="B3" s="5"/>
      <c r="C3" s="41"/>
      <c r="D3" s="41"/>
      <c r="E3" s="41"/>
      <c r="F3" s="41"/>
      <c r="G3" s="41"/>
      <c r="H3" s="41"/>
      <c r="I3" s="41"/>
    </row>
    <row r="4" spans="1:9" ht="15.75" x14ac:dyDescent="0.2">
      <c r="A4" s="976" t="s">
        <v>81</v>
      </c>
      <c r="B4" s="976"/>
      <c r="C4" s="976"/>
      <c r="D4" s="976"/>
      <c r="E4" s="976"/>
      <c r="F4" s="976"/>
      <c r="G4" s="976"/>
      <c r="H4" s="976"/>
      <c r="I4" s="976"/>
    </row>
    <row r="5" spans="1:9" ht="15.75" x14ac:dyDescent="0.2">
      <c r="A5" s="976" t="s">
        <v>82</v>
      </c>
      <c r="B5" s="976"/>
      <c r="C5" s="976"/>
      <c r="D5" s="976"/>
      <c r="E5" s="976"/>
      <c r="F5" s="976"/>
      <c r="G5" s="976"/>
      <c r="H5" s="976"/>
      <c r="I5" s="976"/>
    </row>
    <row r="6" spans="1:9" ht="15.75" x14ac:dyDescent="0.2">
      <c r="A6" s="5" t="s">
        <v>493</v>
      </c>
      <c r="B6" s="5"/>
      <c r="C6" s="382"/>
      <c r="D6" s="382"/>
      <c r="E6" s="382"/>
      <c r="F6" s="383"/>
      <c r="G6" s="382"/>
      <c r="H6" s="382"/>
      <c r="I6" s="41"/>
    </row>
    <row r="7" spans="1:9" ht="16.5" thickBot="1" x14ac:dyDescent="0.3">
      <c r="A7" s="37"/>
      <c r="B7" s="89"/>
      <c r="C7" s="89"/>
      <c r="D7" s="89"/>
      <c r="E7" s="89"/>
      <c r="F7" s="89"/>
      <c r="G7" s="22"/>
      <c r="H7" s="22"/>
      <c r="I7" s="22"/>
    </row>
    <row r="8" spans="1:9" ht="15.75" x14ac:dyDescent="0.25">
      <c r="A8" s="555"/>
      <c r="B8" s="455"/>
      <c r="C8" s="556" t="s">
        <v>3</v>
      </c>
      <c r="D8" s="556" t="s">
        <v>4</v>
      </c>
      <c r="E8" s="556" t="s">
        <v>5</v>
      </c>
      <c r="F8" s="556" t="s">
        <v>83</v>
      </c>
      <c r="G8" s="455"/>
      <c r="H8" s="455"/>
      <c r="I8" s="557"/>
    </row>
    <row r="9" spans="1:9" ht="15.75" x14ac:dyDescent="0.25">
      <c r="A9" s="549"/>
      <c r="B9" s="75"/>
      <c r="C9" s="158" t="s">
        <v>84</v>
      </c>
      <c r="D9" s="158" t="s">
        <v>85</v>
      </c>
      <c r="E9" s="75"/>
      <c r="F9" s="75"/>
      <c r="G9" s="75"/>
      <c r="H9" s="75"/>
      <c r="I9" s="550"/>
    </row>
    <row r="10" spans="1:9" ht="15.75" x14ac:dyDescent="0.25">
      <c r="A10" s="549"/>
      <c r="B10" s="94"/>
      <c r="C10" s="75">
        <v>2025</v>
      </c>
      <c r="D10" s="75">
        <f>C10</f>
        <v>2025</v>
      </c>
      <c r="E10" s="75"/>
      <c r="F10" s="75"/>
      <c r="G10" s="75"/>
      <c r="H10" s="75"/>
      <c r="I10" s="550"/>
    </row>
    <row r="11" spans="1:9" ht="15.75" x14ac:dyDescent="0.25">
      <c r="A11" s="549" t="s">
        <v>8</v>
      </c>
      <c r="B11" s="94"/>
      <c r="C11" s="75" t="s">
        <v>86</v>
      </c>
      <c r="D11" s="75" t="s">
        <v>86</v>
      </c>
      <c r="E11" s="75"/>
      <c r="F11" s="158" t="s">
        <v>87</v>
      </c>
      <c r="G11" s="75"/>
      <c r="H11" s="75"/>
      <c r="I11" s="550" t="s">
        <v>8</v>
      </c>
    </row>
    <row r="12" spans="1:9" ht="19.5" thickBot="1" x14ac:dyDescent="0.3">
      <c r="A12" s="567" t="s">
        <v>11</v>
      </c>
      <c r="B12" s="153" t="s">
        <v>88</v>
      </c>
      <c r="C12" s="569" t="s">
        <v>89</v>
      </c>
      <c r="D12" s="569" t="s">
        <v>90</v>
      </c>
      <c r="E12" s="153" t="s">
        <v>91</v>
      </c>
      <c r="F12" s="153" t="s">
        <v>92</v>
      </c>
      <c r="G12" s="153" t="s">
        <v>16</v>
      </c>
      <c r="H12" s="153" t="s">
        <v>16</v>
      </c>
      <c r="I12" s="568" t="s">
        <v>11</v>
      </c>
    </row>
    <row r="13" spans="1:9" ht="15.75" x14ac:dyDescent="0.25">
      <c r="A13" s="262"/>
      <c r="B13" s="10"/>
      <c r="C13" s="75"/>
      <c r="D13" s="75"/>
      <c r="E13" s="10"/>
      <c r="F13" s="188"/>
      <c r="G13" s="10"/>
      <c r="H13" s="10"/>
      <c r="I13" s="263"/>
    </row>
    <row r="14" spans="1:9" ht="15.75" x14ac:dyDescent="0.25">
      <c r="A14" s="262">
        <v>1</v>
      </c>
      <c r="B14" s="17" t="s">
        <v>93</v>
      </c>
      <c r="C14" s="19">
        <f>'Stmt BG - Page 2'!I28</f>
        <v>-14844942.67727221</v>
      </c>
      <c r="D14" s="19">
        <f>'Stmt BH - Page 1'!I28</f>
        <v>-17510973.198904771</v>
      </c>
      <c r="E14" s="19">
        <f>C14-D14</f>
        <v>2666030.5216325615</v>
      </c>
      <c r="F14" s="25">
        <f>(C14-D14)/D14</f>
        <v>-0.15224913494809694</v>
      </c>
      <c r="G14" s="19"/>
      <c r="H14" s="26" t="s">
        <v>94</v>
      </c>
      <c r="I14" s="263">
        <v>1</v>
      </c>
    </row>
    <row r="15" spans="1:9" ht="15.75" x14ac:dyDescent="0.25">
      <c r="A15" s="262">
        <f>A14+1</f>
        <v>2</v>
      </c>
      <c r="B15" s="11"/>
      <c r="C15" s="19"/>
      <c r="D15" s="19"/>
      <c r="E15" s="19"/>
      <c r="F15" s="19"/>
      <c r="G15" s="384"/>
      <c r="H15" s="26" t="s">
        <v>95</v>
      </c>
      <c r="I15" s="263">
        <f>I14+1</f>
        <v>2</v>
      </c>
    </row>
    <row r="16" spans="1:9" ht="15.75" x14ac:dyDescent="0.25">
      <c r="A16" s="262">
        <f t="shared" ref="A16:A27" si="0">A15+1</f>
        <v>3</v>
      </c>
      <c r="B16" s="17" t="s">
        <v>96</v>
      </c>
      <c r="C16" s="31">
        <f>'Stmt BG - Page 2'!I30</f>
        <v>-5949308.6407001149</v>
      </c>
      <c r="D16" s="31">
        <f>'Stmt BH - Page 1'!I30</f>
        <v>-7017755.9067850346</v>
      </c>
      <c r="E16" s="31">
        <f>C16-D16</f>
        <v>1068447.2660849197</v>
      </c>
      <c r="F16" s="25">
        <f>(C16-D16)/D16</f>
        <v>-0.15224913494809703</v>
      </c>
      <c r="G16" s="19"/>
      <c r="H16" s="26" t="s">
        <v>97</v>
      </c>
      <c r="I16" s="263">
        <f t="shared" ref="I16:I27" si="1">I15+1</f>
        <v>3</v>
      </c>
    </row>
    <row r="17" spans="1:9" ht="15.75" x14ac:dyDescent="0.25">
      <c r="A17" s="262">
        <f t="shared" si="0"/>
        <v>4</v>
      </c>
      <c r="B17" s="385"/>
      <c r="C17" s="31"/>
      <c r="D17" s="31"/>
      <c r="E17" s="31"/>
      <c r="F17" s="25"/>
      <c r="G17" s="19"/>
      <c r="H17" s="26" t="s">
        <v>98</v>
      </c>
      <c r="I17" s="263">
        <f t="shared" si="1"/>
        <v>4</v>
      </c>
    </row>
    <row r="18" spans="1:9" ht="15.75" x14ac:dyDescent="0.25">
      <c r="A18" s="262">
        <f t="shared" si="0"/>
        <v>5</v>
      </c>
      <c r="B18" s="17" t="s">
        <v>99</v>
      </c>
      <c r="C18" s="31">
        <f>'Stmt BG - Page 2'!I32</f>
        <v>-22933784.84815608</v>
      </c>
      <c r="D18" s="31">
        <f>'Stmt BH - Page 1'!I32</f>
        <v>-27052505.392314728</v>
      </c>
      <c r="E18" s="31">
        <f>C18-D18</f>
        <v>4118720.5441586487</v>
      </c>
      <c r="F18" s="25">
        <f>(C18-D18)/D18</f>
        <v>-0.15224913494809708</v>
      </c>
      <c r="G18" s="19"/>
      <c r="H18" s="26" t="s">
        <v>100</v>
      </c>
      <c r="I18" s="263">
        <f t="shared" si="1"/>
        <v>5</v>
      </c>
    </row>
    <row r="19" spans="1:9" ht="15.75" x14ac:dyDescent="0.25">
      <c r="A19" s="262">
        <f t="shared" si="0"/>
        <v>6</v>
      </c>
      <c r="B19" s="17"/>
      <c r="C19" s="31"/>
      <c r="D19" s="31"/>
      <c r="E19" s="31"/>
      <c r="F19" s="25"/>
      <c r="G19" s="19"/>
      <c r="H19" s="26" t="s">
        <v>101</v>
      </c>
      <c r="I19" s="263">
        <f t="shared" si="1"/>
        <v>6</v>
      </c>
    </row>
    <row r="20" spans="1:9" ht="15.75" x14ac:dyDescent="0.25">
      <c r="A20" s="262">
        <f t="shared" si="0"/>
        <v>7</v>
      </c>
      <c r="B20" s="17" t="s">
        <v>102</v>
      </c>
      <c r="C20" s="31">
        <f>'Stmt BG - Page 2'!I34</f>
        <v>-62003.524723084127</v>
      </c>
      <c r="D20" s="31">
        <f>'Stmt BH - Page 1'!I34</f>
        <v>-73138.851612127808</v>
      </c>
      <c r="E20" s="31">
        <f>C20-D20</f>
        <v>11135.326889043681</v>
      </c>
      <c r="F20" s="25">
        <f>(C20-D20)/D20</f>
        <v>-0.15224913494809689</v>
      </c>
      <c r="G20" s="19"/>
      <c r="H20" s="26" t="s">
        <v>103</v>
      </c>
      <c r="I20" s="263">
        <f t="shared" si="1"/>
        <v>7</v>
      </c>
    </row>
    <row r="21" spans="1:9" ht="15.75" x14ac:dyDescent="0.25">
      <c r="A21" s="262">
        <f t="shared" si="0"/>
        <v>8</v>
      </c>
      <c r="B21" s="17"/>
      <c r="C21" s="31"/>
      <c r="D21" s="31"/>
      <c r="E21" s="31"/>
      <c r="F21" s="25"/>
      <c r="G21" s="19"/>
      <c r="H21" s="26" t="s">
        <v>104</v>
      </c>
      <c r="I21" s="263">
        <f t="shared" si="1"/>
        <v>8</v>
      </c>
    </row>
    <row r="22" spans="1:9" ht="15.75" x14ac:dyDescent="0.25">
      <c r="A22" s="262">
        <f t="shared" si="0"/>
        <v>9</v>
      </c>
      <c r="B22" s="17" t="s">
        <v>105</v>
      </c>
      <c r="C22" s="31">
        <f>'Stmt BG - Page 2'!I36</f>
        <v>-578376.52295647748</v>
      </c>
      <c r="D22" s="31">
        <f>'Stmt BH - Page 1'!I36</f>
        <v>-682248.22503845731</v>
      </c>
      <c r="E22" s="31">
        <f>C22-D22</f>
        <v>103871.70208197983</v>
      </c>
      <c r="F22" s="25">
        <f>(C22-D22)/D22</f>
        <v>-0.15224913494809714</v>
      </c>
      <c r="G22" s="19"/>
      <c r="H22" s="26" t="s">
        <v>106</v>
      </c>
      <c r="I22" s="263">
        <f t="shared" si="1"/>
        <v>9</v>
      </c>
    </row>
    <row r="23" spans="1:9" ht="15.75" x14ac:dyDescent="0.25">
      <c r="A23" s="262">
        <f t="shared" si="0"/>
        <v>10</v>
      </c>
      <c r="B23" s="17"/>
      <c r="C23" s="31"/>
      <c r="D23" s="31"/>
      <c r="E23" s="31"/>
      <c r="F23" s="25"/>
      <c r="G23" s="19"/>
      <c r="H23" s="26" t="s">
        <v>107</v>
      </c>
      <c r="I23" s="263">
        <f t="shared" si="1"/>
        <v>10</v>
      </c>
    </row>
    <row r="24" spans="1:9" ht="15.75" x14ac:dyDescent="0.25">
      <c r="A24" s="262">
        <f t="shared" si="0"/>
        <v>11</v>
      </c>
      <c r="B24" s="66" t="s">
        <v>108</v>
      </c>
      <c r="C24" s="31">
        <f>'Stmt BG - Page 2'!I38</f>
        <v>-196596.7629182777</v>
      </c>
      <c r="D24" s="54">
        <f>'Stmt BH - Page 1'!I38</f>
        <v>-231903.93666686636</v>
      </c>
      <c r="E24" s="31">
        <f>C24-D24</f>
        <v>35307.173748588655</v>
      </c>
      <c r="F24" s="521">
        <f>(C24-D24)/D24</f>
        <v>-0.15224913494809691</v>
      </c>
      <c r="G24" s="19"/>
      <c r="H24" s="26" t="s">
        <v>109</v>
      </c>
      <c r="I24" s="263">
        <f t="shared" si="1"/>
        <v>11</v>
      </c>
    </row>
    <row r="25" spans="1:9" ht="15.75" x14ac:dyDescent="0.25">
      <c r="A25" s="262">
        <f t="shared" si="0"/>
        <v>12</v>
      </c>
      <c r="B25" s="17"/>
      <c r="C25" s="31"/>
      <c r="D25" s="31"/>
      <c r="E25" s="31"/>
      <c r="F25" s="25"/>
      <c r="G25" s="19"/>
      <c r="H25" s="26" t="s">
        <v>110</v>
      </c>
      <c r="I25" s="263">
        <f t="shared" si="1"/>
        <v>12</v>
      </c>
    </row>
    <row r="26" spans="1:9" ht="15.75" x14ac:dyDescent="0.25">
      <c r="A26" s="262">
        <f t="shared" si="0"/>
        <v>13</v>
      </c>
      <c r="B26" s="17"/>
      <c r="C26" s="53"/>
      <c r="D26" s="53"/>
      <c r="E26" s="21"/>
      <c r="F26" s="21"/>
      <c r="G26" s="19"/>
      <c r="I26" s="263">
        <f t="shared" si="1"/>
        <v>13</v>
      </c>
    </row>
    <row r="27" spans="1:9" ht="16.5" thickBot="1" x14ac:dyDescent="0.3">
      <c r="A27" s="262">
        <f t="shared" si="0"/>
        <v>14</v>
      </c>
      <c r="B27" s="11" t="s">
        <v>111</v>
      </c>
      <c r="C27" s="386">
        <f>SUM(C14:C24)</f>
        <v>-44565012.976726241</v>
      </c>
      <c r="D27" s="386">
        <f>SUM(D14:D24)</f>
        <v>-52568525.511321984</v>
      </c>
      <c r="E27" s="386">
        <f>SUM(E14:E24)</f>
        <v>8003512.5345957428</v>
      </c>
      <c r="F27" s="387">
        <f>(C27-D27)/D27</f>
        <v>-0.15224913494809705</v>
      </c>
      <c r="G27" s="388"/>
      <c r="H27" s="389" t="s">
        <v>112</v>
      </c>
      <c r="I27" s="263">
        <f t="shared" si="1"/>
        <v>14</v>
      </c>
    </row>
    <row r="28" spans="1:9" ht="17.25" thickTop="1" thickBot="1" x14ac:dyDescent="0.3">
      <c r="A28" s="300"/>
      <c r="B28" s="81"/>
      <c r="C28" s="81"/>
      <c r="D28" s="81"/>
      <c r="E28" s="81"/>
      <c r="F28" s="81"/>
      <c r="G28" s="81"/>
      <c r="H28" s="81"/>
      <c r="I28" s="406"/>
    </row>
    <row r="29" spans="1:9" ht="15.75" x14ac:dyDescent="0.25">
      <c r="A29" s="37"/>
      <c r="B29" s="390"/>
    </row>
    <row r="30" spans="1:9" ht="18.75" x14ac:dyDescent="0.25">
      <c r="A30" s="83">
        <v>1</v>
      </c>
      <c r="B30" s="22" t="s">
        <v>511</v>
      </c>
    </row>
    <row r="31" spans="1:9" ht="18.75" x14ac:dyDescent="0.25">
      <c r="A31" s="69"/>
      <c r="B31" s="22"/>
    </row>
    <row r="32" spans="1:9" ht="15.75" x14ac:dyDescent="0.25">
      <c r="A32" s="37"/>
      <c r="B32" s="22"/>
    </row>
    <row r="33" spans="1:8" ht="18.75" x14ac:dyDescent="0.25">
      <c r="A33" s="69"/>
      <c r="B33" s="22"/>
    </row>
    <row r="34" spans="1:8" ht="15.75" x14ac:dyDescent="0.25">
      <c r="A34" s="826"/>
      <c r="B34" s="22"/>
    </row>
    <row r="35" spans="1:8" ht="15.75" x14ac:dyDescent="0.25">
      <c r="A35" s="826"/>
      <c r="B35" s="22"/>
      <c r="C35" s="22"/>
      <c r="D35" s="22"/>
      <c r="E35" s="140"/>
      <c r="F35" s="22"/>
      <c r="G35" s="22"/>
      <c r="H35" s="22"/>
    </row>
    <row r="36" spans="1:8" ht="15.75" x14ac:dyDescent="0.25">
      <c r="A36" s="826"/>
      <c r="B36" s="22"/>
      <c r="C36" s="22"/>
      <c r="D36" s="22"/>
      <c r="E36" s="391"/>
      <c r="F36" s="22"/>
      <c r="G36" s="22"/>
      <c r="H36" s="22"/>
    </row>
    <row r="37" spans="1:8" ht="15.75" x14ac:dyDescent="0.25">
      <c r="A37" s="826"/>
      <c r="B37" s="22"/>
      <c r="C37" s="22"/>
      <c r="D37" s="22"/>
      <c r="E37" s="22"/>
      <c r="F37" s="22"/>
      <c r="G37" s="22"/>
      <c r="H37" s="22"/>
    </row>
    <row r="38" spans="1:8" x14ac:dyDescent="0.2">
      <c r="A38" s="826"/>
    </row>
    <row r="39" spans="1:8" x14ac:dyDescent="0.2">
      <c r="A39" s="826"/>
    </row>
    <row r="40" spans="1:8" x14ac:dyDescent="0.2">
      <c r="A40" s="826"/>
    </row>
    <row r="41" spans="1:8" x14ac:dyDescent="0.2">
      <c r="A41" s="826"/>
    </row>
    <row r="42" spans="1:8" x14ac:dyDescent="0.2">
      <c r="A42" s="826"/>
    </row>
    <row r="43" spans="1:8" x14ac:dyDescent="0.2">
      <c r="A43" s="826"/>
    </row>
    <row r="44" spans="1:8" x14ac:dyDescent="0.2">
      <c r="A44" s="826"/>
    </row>
    <row r="45" spans="1:8" x14ac:dyDescent="0.2">
      <c r="A45" s="826"/>
    </row>
    <row r="46" spans="1:8" x14ac:dyDescent="0.2">
      <c r="A46" s="826"/>
    </row>
    <row r="47" spans="1:8" x14ac:dyDescent="0.2">
      <c r="A47" s="826"/>
    </row>
    <row r="48" spans="1:8" x14ac:dyDescent="0.2">
      <c r="A48" s="826"/>
    </row>
    <row r="49" spans="1:1" x14ac:dyDescent="0.2">
      <c r="A49" s="826"/>
    </row>
    <row r="50" spans="1:1" x14ac:dyDescent="0.2">
      <c r="A50" s="826"/>
    </row>
    <row r="51" spans="1:1" x14ac:dyDescent="0.2">
      <c r="A51" s="826"/>
    </row>
    <row r="52" spans="1:1" x14ac:dyDescent="0.2">
      <c r="A52" s="826"/>
    </row>
  </sheetData>
  <mergeCells count="2">
    <mergeCell ref="A5:I5"/>
    <mergeCell ref="A4:I4"/>
  </mergeCells>
  <printOptions horizontalCentered="1"/>
  <pageMargins left="0.25" right="0.25" top="0.5" bottom="0.5" header="0.25" footer="0.25"/>
  <pageSetup scale="80" orientation="landscape" r:id="rId1"/>
  <headerFooter alignWithMargins="0">
    <oddFooter>&amp;L&amp;"Times New Roman,Regular"&amp;14 &amp;F&amp;C&amp;"Times New Roman,Regular"&amp;14Page 1 of 4&amp;R&amp;"Times New Roman,Regular"&amp;14&amp;A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143"/>
  <sheetViews>
    <sheetView zoomScale="80" zoomScaleNormal="80" workbookViewId="0"/>
  </sheetViews>
  <sheetFormatPr defaultColWidth="9.28515625" defaultRowHeight="15.75" x14ac:dyDescent="0.2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2578125" style="22" bestFit="1" customWidth="1"/>
    <col min="10" max="10" width="6" style="22" bestFit="1" customWidth="1"/>
    <col min="11" max="14" width="17.28515625" style="22" bestFit="1" customWidth="1"/>
    <col min="15" max="15" width="18.42578125" style="22" bestFit="1" customWidth="1"/>
    <col min="16" max="16" width="8.5703125" style="22" bestFit="1" customWidth="1"/>
    <col min="17" max="16384" width="9.28515625" style="22"/>
  </cols>
  <sheetData>
    <row r="2" spans="1:16" ht="18" customHeight="1" x14ac:dyDescent="0.25">
      <c r="A2" s="976" t="s">
        <v>80</v>
      </c>
      <c r="B2" s="976"/>
      <c r="C2" s="976"/>
      <c r="D2" s="976"/>
      <c r="E2" s="976"/>
      <c r="F2" s="976"/>
      <c r="G2" s="976"/>
      <c r="H2" s="976"/>
      <c r="I2" s="976"/>
      <c r="J2" s="976"/>
      <c r="K2" s="515"/>
      <c r="L2" s="515"/>
      <c r="M2" s="515"/>
      <c r="N2" s="515"/>
      <c r="O2" s="515"/>
      <c r="P2" s="515"/>
    </row>
    <row r="3" spans="1:16" ht="18" customHeight="1" x14ac:dyDescent="0.25">
      <c r="A3" s="976" t="s">
        <v>25</v>
      </c>
      <c r="B3" s="976"/>
      <c r="C3" s="976"/>
      <c r="D3" s="976"/>
      <c r="E3" s="976"/>
      <c r="F3" s="976"/>
      <c r="G3" s="976"/>
      <c r="H3" s="976"/>
      <c r="I3" s="976"/>
      <c r="J3" s="976"/>
      <c r="K3" s="516"/>
      <c r="L3" s="516"/>
      <c r="M3" s="516"/>
      <c r="N3" s="516"/>
      <c r="O3" s="516"/>
      <c r="P3" s="516"/>
    </row>
    <row r="4" spans="1:16" ht="18" customHeight="1" x14ac:dyDescent="0.25">
      <c r="A4" s="976" t="str">
        <f>'Stmt BG - Page 1'!A4</f>
        <v>Transmission Revenue Balancing Account Adjustment (TRBAA) Revenues Data to Reflect Changed Rates</v>
      </c>
      <c r="B4" s="976"/>
      <c r="C4" s="976"/>
      <c r="D4" s="976"/>
      <c r="E4" s="976"/>
      <c r="F4" s="976"/>
      <c r="G4" s="976"/>
      <c r="H4" s="976"/>
      <c r="I4" s="976"/>
      <c r="J4" s="976"/>
      <c r="K4" s="516"/>
      <c r="L4" s="516"/>
      <c r="M4" s="516"/>
      <c r="N4" s="516"/>
      <c r="O4" s="516"/>
      <c r="P4" s="516"/>
    </row>
    <row r="5" spans="1:16" ht="18" customHeight="1" x14ac:dyDescent="0.25">
      <c r="A5" s="977" t="str">
        <f>'Stmt BG - Page 1'!A6</f>
        <v>Rate Effective Period - Twelve Months Ending December 31, 2025</v>
      </c>
      <c r="B5" s="977"/>
      <c r="C5" s="977"/>
      <c r="D5" s="977"/>
      <c r="E5" s="977"/>
      <c r="F5" s="977"/>
      <c r="G5" s="977"/>
      <c r="H5" s="977"/>
      <c r="I5" s="977"/>
      <c r="J5" s="977"/>
      <c r="K5" s="516"/>
      <c r="L5" s="516"/>
      <c r="M5" s="516"/>
      <c r="N5" s="516"/>
      <c r="O5" s="516"/>
      <c r="P5" s="516"/>
    </row>
    <row r="6" spans="1:16" ht="16.5" thickBot="1" x14ac:dyDescent="0.3">
      <c r="A6" s="517"/>
      <c r="B6" s="517"/>
      <c r="C6" s="517"/>
      <c r="D6" s="517"/>
      <c r="E6" s="517"/>
      <c r="F6" s="517"/>
      <c r="G6" s="517"/>
      <c r="H6" s="517"/>
      <c r="I6" s="517"/>
      <c r="J6" s="517"/>
      <c r="K6" s="41"/>
      <c r="L6" s="41"/>
      <c r="M6" s="41"/>
      <c r="N6" s="41"/>
      <c r="O6" s="41"/>
      <c r="P6" s="41"/>
    </row>
    <row r="7" spans="1:16" x14ac:dyDescent="0.25">
      <c r="A7" s="726" t="s">
        <v>8</v>
      </c>
      <c r="B7" s="544"/>
      <c r="C7" s="590" t="s">
        <v>3</v>
      </c>
      <c r="D7" s="455" t="s">
        <v>4</v>
      </c>
      <c r="E7" s="686" t="s">
        <v>113</v>
      </c>
      <c r="F7" s="455" t="s">
        <v>114</v>
      </c>
      <c r="G7" s="455" t="s">
        <v>115</v>
      </c>
      <c r="H7" s="686" t="s">
        <v>116</v>
      </c>
      <c r="I7" s="556" t="s">
        <v>117</v>
      </c>
      <c r="J7" s="729" t="s">
        <v>8</v>
      </c>
    </row>
    <row r="8" spans="1:16" ht="16.5" thickBot="1" x14ac:dyDescent="0.3">
      <c r="A8" s="727" t="s">
        <v>11</v>
      </c>
      <c r="B8" s="153" t="s">
        <v>88</v>
      </c>
      <c r="C8" s="828">
        <v>45658</v>
      </c>
      <c r="D8" s="828">
        <v>45689</v>
      </c>
      <c r="E8" s="828">
        <v>45717</v>
      </c>
      <c r="F8" s="828">
        <v>45748</v>
      </c>
      <c r="G8" s="828">
        <v>45778</v>
      </c>
      <c r="H8" s="828">
        <v>45809</v>
      </c>
      <c r="I8" s="687"/>
      <c r="J8" s="728" t="s">
        <v>11</v>
      </c>
    </row>
    <row r="9" spans="1:16" x14ac:dyDescent="0.25">
      <c r="A9" s="262"/>
      <c r="B9" s="10"/>
      <c r="C9" s="10"/>
      <c r="D9" s="10"/>
      <c r="E9" s="10"/>
      <c r="F9" s="10"/>
      <c r="G9" s="10"/>
      <c r="H9" s="10"/>
      <c r="I9" s="17"/>
      <c r="J9" s="263"/>
    </row>
    <row r="10" spans="1:16" ht="18.75" x14ac:dyDescent="0.25">
      <c r="A10" s="262">
        <v>1</v>
      </c>
      <c r="B10" s="17" t="s">
        <v>118</v>
      </c>
      <c r="C10" s="19">
        <f>'Stmt BG - Page 3'!C33</f>
        <v>-1552356.378240223</v>
      </c>
      <c r="D10" s="19">
        <f>'Stmt BG - Page 3'!D33</f>
        <v>-1262823.6750524091</v>
      </c>
      <c r="E10" s="19">
        <f>'Stmt BG - Page 3'!E33</f>
        <v>-1121240.3364916984</v>
      </c>
      <c r="F10" s="19">
        <f>'Stmt BG - Page 3'!F33</f>
        <v>-896634.87951083516</v>
      </c>
      <c r="G10" s="19">
        <f>'Stmt BG - Page 3'!G33</f>
        <v>-838667.06744202296</v>
      </c>
      <c r="H10" s="19">
        <f>'Stmt BG - Page 3'!H33</f>
        <v>-905018.93476437451</v>
      </c>
      <c r="I10" s="17"/>
      <c r="J10" s="263">
        <v>1</v>
      </c>
    </row>
    <row r="11" spans="1:16" x14ac:dyDescent="0.25">
      <c r="A11" s="262">
        <f>A10+1</f>
        <v>2</v>
      </c>
      <c r="B11" s="11"/>
      <c r="C11" s="392"/>
      <c r="D11" s="392"/>
      <c r="E11" s="392"/>
      <c r="F11" s="392"/>
      <c r="G11" s="392"/>
      <c r="H11" s="392"/>
      <c r="I11" s="17"/>
      <c r="J11" s="263">
        <f>J10+1</f>
        <v>2</v>
      </c>
    </row>
    <row r="12" spans="1:16" ht="18.75" x14ac:dyDescent="0.25">
      <c r="A12" s="262">
        <f t="shared" ref="A12:A22" si="0">A11+1</f>
        <v>3</v>
      </c>
      <c r="B12" s="17" t="s">
        <v>119</v>
      </c>
      <c r="C12" s="31">
        <f>'Stmt BG - Page 3'!C35</f>
        <v>-476003.89473078848</v>
      </c>
      <c r="D12" s="31">
        <f>'Stmt BG - Page 3'!D35</f>
        <v>-461497.21612030774</v>
      </c>
      <c r="E12" s="31">
        <f>'Stmt BG - Page 3'!E35</f>
        <v>-459601.67253804393</v>
      </c>
      <c r="F12" s="31">
        <f>'Stmt BG - Page 3'!F35</f>
        <v>-456009.99234513112</v>
      </c>
      <c r="G12" s="31">
        <f>'Stmt BG - Page 3'!G35</f>
        <v>-454853.85481156752</v>
      </c>
      <c r="H12" s="31">
        <f>'Stmt BG - Page 3'!H35</f>
        <v>-476176.69074614026</v>
      </c>
      <c r="I12" s="17"/>
      <c r="J12" s="263">
        <f t="shared" ref="J12:J22" si="1">J11+1</f>
        <v>3</v>
      </c>
    </row>
    <row r="13" spans="1:16" x14ac:dyDescent="0.25">
      <c r="A13" s="262">
        <f t="shared" si="0"/>
        <v>4</v>
      </c>
      <c r="B13" s="385"/>
      <c r="C13" s="393"/>
      <c r="D13" s="393"/>
      <c r="E13" s="393"/>
      <c r="F13" s="393"/>
      <c r="G13" s="393"/>
      <c r="H13" s="393"/>
      <c r="I13" s="17"/>
      <c r="J13" s="263">
        <f t="shared" si="1"/>
        <v>4</v>
      </c>
    </row>
    <row r="14" spans="1:16" ht="18.75" x14ac:dyDescent="0.25">
      <c r="A14" s="262">
        <f t="shared" si="0"/>
        <v>5</v>
      </c>
      <c r="B14" s="17" t="s">
        <v>120</v>
      </c>
      <c r="C14" s="31">
        <f>'Stmt BG - Page 3'!C37</f>
        <v>-1840421.0234025894</v>
      </c>
      <c r="D14" s="31">
        <f>'Stmt BG - Page 3'!D37</f>
        <v>-1748151.7675483916</v>
      </c>
      <c r="E14" s="31">
        <f>'Stmt BG - Page 3'!E37</f>
        <v>-1751153.7462152315</v>
      </c>
      <c r="F14" s="31">
        <f>'Stmt BG - Page 3'!F37</f>
        <v>-1760345.3321526675</v>
      </c>
      <c r="G14" s="31">
        <f>'Stmt BG - Page 3'!G37</f>
        <v>-1776046.3671383641</v>
      </c>
      <c r="H14" s="31">
        <f>'Stmt BG - Page 3'!H37</f>
        <v>-1862833.0042725801</v>
      </c>
      <c r="I14" s="17"/>
      <c r="J14" s="263">
        <f t="shared" si="1"/>
        <v>5</v>
      </c>
    </row>
    <row r="15" spans="1:16" x14ac:dyDescent="0.25">
      <c r="A15" s="262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3">
        <f t="shared" si="1"/>
        <v>6</v>
      </c>
    </row>
    <row r="16" spans="1:16" ht="18.75" x14ac:dyDescent="0.25">
      <c r="A16" s="262">
        <f t="shared" si="0"/>
        <v>7</v>
      </c>
      <c r="B16" s="56" t="s">
        <v>121</v>
      </c>
      <c r="C16" s="31">
        <f>'Stmt BG - Page 3'!C39</f>
        <v>-3323.6064960204121</v>
      </c>
      <c r="D16" s="31">
        <f>'Stmt BG - Page 3'!D39</f>
        <v>-3703.4244707826838</v>
      </c>
      <c r="E16" s="31">
        <f>'Stmt BG - Page 3'!E39</f>
        <v>-3217.5742139559206</v>
      </c>
      <c r="F16" s="31">
        <f>'Stmt BG - Page 3'!F39</f>
        <v>-3332.0479401704274</v>
      </c>
      <c r="G16" s="31">
        <f>'Stmt BG - Page 3'!G39</f>
        <v>-4720.4590075887463</v>
      </c>
      <c r="H16" s="31">
        <f>'Stmt BG - Page 3'!H39</f>
        <v>-5687.6131737857249</v>
      </c>
      <c r="I16" s="17"/>
      <c r="J16" s="263">
        <f t="shared" si="1"/>
        <v>7</v>
      </c>
    </row>
    <row r="17" spans="1:18" x14ac:dyDescent="0.25">
      <c r="A17" s="262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3">
        <f t="shared" si="1"/>
        <v>8</v>
      </c>
    </row>
    <row r="18" spans="1:18" ht="18.75" x14ac:dyDescent="0.25">
      <c r="A18" s="262">
        <f t="shared" si="0"/>
        <v>9</v>
      </c>
      <c r="B18" s="56" t="s">
        <v>122</v>
      </c>
      <c r="C18" s="31">
        <f>'Stmt BG - Page 3'!C41</f>
        <v>-41401.560626656137</v>
      </c>
      <c r="D18" s="31">
        <f>'Stmt BG - Page 3'!D41</f>
        <v>-44789.493300040929</v>
      </c>
      <c r="E18" s="31">
        <f>'Stmt BG - Page 3'!E41</f>
        <v>-40226.374229166759</v>
      </c>
      <c r="F18" s="31">
        <f>'Stmt BG - Page 3'!F41</f>
        <v>-42357.443667245847</v>
      </c>
      <c r="G18" s="31">
        <f>'Stmt BG - Page 3'!G41</f>
        <v>-49151.079735518739</v>
      </c>
      <c r="H18" s="31">
        <f>'Stmt BG - Page 3'!H41</f>
        <v>-50477.845696575445</v>
      </c>
      <c r="I18" s="17"/>
      <c r="J18" s="263">
        <f t="shared" si="1"/>
        <v>9</v>
      </c>
    </row>
    <row r="19" spans="1:18" x14ac:dyDescent="0.25">
      <c r="A19" s="262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3">
        <f t="shared" si="1"/>
        <v>10</v>
      </c>
    </row>
    <row r="20" spans="1:18" ht="18.75" x14ac:dyDescent="0.25">
      <c r="A20" s="262">
        <f t="shared" si="0"/>
        <v>11</v>
      </c>
      <c r="B20" s="17" t="s">
        <v>123</v>
      </c>
      <c r="C20" s="38">
        <f>'Stmt BG - Page 3'!C43</f>
        <v>-16671.468878469619</v>
      </c>
      <c r="D20" s="38">
        <f>'Stmt BG - Page 3'!D43</f>
        <v>-16552.217987851658</v>
      </c>
      <c r="E20" s="38">
        <f>'Stmt BG - Page 3'!E43</f>
        <v>-16217.500165966334</v>
      </c>
      <c r="F20" s="38">
        <f>'Stmt BG - Page 3'!F43</f>
        <v>-15962.953935044196</v>
      </c>
      <c r="G20" s="38">
        <f>'Stmt BG - Page 3'!G43</f>
        <v>-15834.421536218299</v>
      </c>
      <c r="H20" s="38">
        <f>'Stmt BG - Page 3'!H43</f>
        <v>-15964.017969606253</v>
      </c>
      <c r="I20" s="17"/>
      <c r="J20" s="263">
        <f t="shared" si="1"/>
        <v>11</v>
      </c>
    </row>
    <row r="21" spans="1:18" x14ac:dyDescent="0.25">
      <c r="A21" s="262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3">
        <f t="shared" si="1"/>
        <v>12</v>
      </c>
    </row>
    <row r="22" spans="1:18" x14ac:dyDescent="0.25">
      <c r="A22" s="262">
        <f t="shared" si="0"/>
        <v>13</v>
      </c>
      <c r="B22" s="11" t="s">
        <v>124</v>
      </c>
      <c r="C22" s="513">
        <f t="shared" ref="C22:H22" si="2">SUM(C10:C20)</f>
        <v>-3930177.932374747</v>
      </c>
      <c r="D22" s="513">
        <f t="shared" si="2"/>
        <v>-3537517.7944797836</v>
      </c>
      <c r="E22" s="513">
        <f t="shared" si="2"/>
        <v>-3391657.2038540631</v>
      </c>
      <c r="F22" s="513">
        <f t="shared" si="2"/>
        <v>-3174642.6495510945</v>
      </c>
      <c r="G22" s="513">
        <f t="shared" si="2"/>
        <v>-3139273.2496712804</v>
      </c>
      <c r="H22" s="513">
        <f t="shared" si="2"/>
        <v>-3316158.1066230624</v>
      </c>
      <c r="I22" s="12"/>
      <c r="J22" s="263">
        <f t="shared" si="1"/>
        <v>13</v>
      </c>
    </row>
    <row r="23" spans="1:18" ht="16.5" thickBot="1" x14ac:dyDescent="0.3">
      <c r="A23" s="300"/>
      <c r="B23" s="559"/>
      <c r="C23" s="560"/>
      <c r="D23" s="688"/>
      <c r="E23" s="561"/>
      <c r="F23" s="688"/>
      <c r="G23" s="561"/>
      <c r="H23" s="688"/>
      <c r="I23" s="562"/>
      <c r="J23" s="406"/>
      <c r="R23" s="143"/>
    </row>
    <row r="24" spans="1:18" ht="16.5" thickBot="1" x14ac:dyDescent="0.3">
      <c r="A24" s="37"/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</row>
    <row r="25" spans="1:18" x14ac:dyDescent="0.25">
      <c r="A25" s="759" t="s">
        <v>8</v>
      </c>
      <c r="B25" s="455"/>
      <c r="C25" s="556" t="str">
        <f t="shared" ref="C25:I25" si="3">C7</f>
        <v>(A)</v>
      </c>
      <c r="D25" s="556" t="str">
        <f t="shared" si="3"/>
        <v>(B)</v>
      </c>
      <c r="E25" s="556" t="str">
        <f t="shared" si="3"/>
        <v>(C)</v>
      </c>
      <c r="F25" s="556" t="str">
        <f t="shared" si="3"/>
        <v>(D)</v>
      </c>
      <c r="G25" s="556" t="str">
        <f t="shared" si="3"/>
        <v>(E)</v>
      </c>
      <c r="H25" s="556" t="str">
        <f t="shared" si="3"/>
        <v>(F)</v>
      </c>
      <c r="I25" s="556" t="str">
        <f t="shared" si="3"/>
        <v>(G)</v>
      </c>
      <c r="J25" s="760" t="s">
        <v>8</v>
      </c>
      <c r="K25" s="395"/>
      <c r="L25" s="395"/>
      <c r="M25" s="395"/>
      <c r="N25" s="395"/>
      <c r="O25" s="395"/>
    </row>
    <row r="26" spans="1:18" ht="16.5" thickBot="1" x14ac:dyDescent="0.3">
      <c r="A26" s="761" t="s">
        <v>11</v>
      </c>
      <c r="B26" s="153" t="s">
        <v>88</v>
      </c>
      <c r="C26" s="689">
        <v>45839</v>
      </c>
      <c r="D26" s="689">
        <v>45870</v>
      </c>
      <c r="E26" s="689">
        <v>45901</v>
      </c>
      <c r="F26" s="689">
        <v>45931</v>
      </c>
      <c r="G26" s="689">
        <v>45962</v>
      </c>
      <c r="H26" s="689">
        <v>45992</v>
      </c>
      <c r="I26" s="581"/>
      <c r="J26" s="570" t="s">
        <v>11</v>
      </c>
      <c r="K26" s="395"/>
      <c r="L26" s="395"/>
      <c r="M26" s="395"/>
      <c r="N26" s="395"/>
      <c r="O26" s="395"/>
    </row>
    <row r="27" spans="1:18" x14ac:dyDescent="0.25">
      <c r="A27" s="262"/>
      <c r="B27" s="10"/>
      <c r="C27" s="10"/>
      <c r="D27" s="10"/>
      <c r="E27" s="10"/>
      <c r="F27" s="10"/>
      <c r="G27" s="10"/>
      <c r="H27" s="10"/>
      <c r="I27" s="10"/>
      <c r="J27" s="263"/>
      <c r="K27" s="395"/>
      <c r="L27" s="395"/>
      <c r="M27" s="395"/>
      <c r="N27" s="395"/>
      <c r="O27" s="395"/>
    </row>
    <row r="28" spans="1:18" ht="18.75" x14ac:dyDescent="0.25">
      <c r="A28" s="262">
        <f>A22+1</f>
        <v>14</v>
      </c>
      <c r="B28" s="17" t="s">
        <v>118</v>
      </c>
      <c r="C28" s="19">
        <f>'Stmt BG - Page 4'!C33</f>
        <v>-1122025.2194268452</v>
      </c>
      <c r="D28" s="19">
        <f>'Stmt BG - Page 4'!D33</f>
        <v>-1547596.421330258</v>
      </c>
      <c r="E28" s="19">
        <f>'Stmt BG - Page 4'!E33</f>
        <v>-1790822.7854293585</v>
      </c>
      <c r="F28" s="19">
        <f>'Stmt BG - Page 4'!F33</f>
        <v>-1302228.7108975621</v>
      </c>
      <c r="G28" s="19">
        <f>'Stmt BG - Page 4'!G33</f>
        <v>-1103332.8228991143</v>
      </c>
      <c r="H28" s="19">
        <f>'Stmt BG - Page 4'!H33</f>
        <v>-1402195.4457875104</v>
      </c>
      <c r="I28" s="19">
        <f>SUM(C10:H10,C28:H28)</f>
        <v>-14844942.67727221</v>
      </c>
      <c r="J28" s="263">
        <f>J22+1</f>
        <v>14</v>
      </c>
      <c r="K28" s="395"/>
      <c r="L28" s="395"/>
      <c r="M28" s="395"/>
      <c r="N28" s="395"/>
      <c r="O28" s="395"/>
    </row>
    <row r="29" spans="1:18" x14ac:dyDescent="0.25">
      <c r="A29" s="262">
        <f>A28+1</f>
        <v>15</v>
      </c>
      <c r="B29" s="11"/>
      <c r="C29" s="392"/>
      <c r="D29" s="392"/>
      <c r="E29" s="392"/>
      <c r="F29" s="392"/>
      <c r="G29" s="392"/>
      <c r="H29" s="392"/>
      <c r="I29" s="392"/>
      <c r="J29" s="263">
        <f>J28+1</f>
        <v>15</v>
      </c>
      <c r="K29" s="395"/>
      <c r="L29" s="395"/>
      <c r="M29" s="395"/>
      <c r="N29" s="395"/>
      <c r="O29" s="395"/>
    </row>
    <row r="30" spans="1:18" ht="18.75" x14ac:dyDescent="0.25">
      <c r="A30" s="262">
        <f t="shared" ref="A30:A40" si="4">A29+1</f>
        <v>16</v>
      </c>
      <c r="B30" s="17" t="s">
        <v>119</v>
      </c>
      <c r="C30" s="31">
        <f>'Stmt BG - Page 4'!C35</f>
        <v>-533379.46806696337</v>
      </c>
      <c r="D30" s="31">
        <f>'Stmt BG - Page 4'!D35</f>
        <v>-563301.61089827062</v>
      </c>
      <c r="E30" s="31">
        <f>'Stmt BG - Page 4'!E35</f>
        <v>-591567.18385941896</v>
      </c>
      <c r="F30" s="31">
        <f>'Stmt BG - Page 4'!F35</f>
        <v>-524690.55442765937</v>
      </c>
      <c r="G30" s="31">
        <f>'Stmt BG - Page 4'!G35</f>
        <v>-484679.22933650389</v>
      </c>
      <c r="H30" s="31">
        <f>'Stmt BG - Page 4'!H35</f>
        <v>-467547.27281931986</v>
      </c>
      <c r="I30" s="19">
        <f>SUM(C12:H12,C30:H30)</f>
        <v>-5949308.6407001149</v>
      </c>
      <c r="J30" s="263">
        <f t="shared" ref="J30:J40" si="5">J29+1</f>
        <v>16</v>
      </c>
      <c r="K30" s="395"/>
      <c r="L30" s="395"/>
      <c r="M30" s="395"/>
      <c r="N30" s="395"/>
      <c r="O30" s="395"/>
    </row>
    <row r="31" spans="1:18" x14ac:dyDescent="0.25">
      <c r="A31" s="262">
        <f t="shared" si="4"/>
        <v>17</v>
      </c>
      <c r="B31" s="385"/>
      <c r="C31" s="393"/>
      <c r="D31" s="393"/>
      <c r="E31" s="393"/>
      <c r="F31" s="393"/>
      <c r="G31" s="393"/>
      <c r="H31" s="393"/>
      <c r="I31" s="31"/>
      <c r="J31" s="263">
        <f t="shared" si="5"/>
        <v>17</v>
      </c>
      <c r="K31" s="395"/>
      <c r="L31" s="395"/>
      <c r="M31" s="395"/>
      <c r="N31" s="395"/>
      <c r="O31" s="395"/>
    </row>
    <row r="32" spans="1:18" ht="18.75" x14ac:dyDescent="0.25">
      <c r="A32" s="262">
        <f t="shared" si="4"/>
        <v>18</v>
      </c>
      <c r="B32" s="17" t="s">
        <v>120</v>
      </c>
      <c r="C32" s="31">
        <f>'Stmt BG - Page 4'!C37</f>
        <v>-2055173.144339103</v>
      </c>
      <c r="D32" s="31">
        <f>'Stmt BG - Page 4'!D37</f>
        <v>-2144929.9380519134</v>
      </c>
      <c r="E32" s="31">
        <f>'Stmt BG - Page 4'!E37</f>
        <v>-2242163.6138750571</v>
      </c>
      <c r="F32" s="31">
        <f>'Stmt BG - Page 4'!F37</f>
        <v>-2035279.4219105078</v>
      </c>
      <c r="G32" s="31">
        <f>'Stmt BG - Page 4'!G37</f>
        <v>-1855609.2943362461</v>
      </c>
      <c r="H32" s="31">
        <f>'Stmt BG - Page 4'!H37</f>
        <v>-1861678.1949134266</v>
      </c>
      <c r="I32" s="19">
        <f>SUM(C14:H14,C32:H32)</f>
        <v>-22933784.84815608</v>
      </c>
      <c r="J32" s="263">
        <f t="shared" si="5"/>
        <v>18</v>
      </c>
      <c r="K32" s="395"/>
      <c r="L32" s="395"/>
      <c r="M32" s="395"/>
      <c r="N32" s="395"/>
      <c r="O32" s="395"/>
    </row>
    <row r="33" spans="1:15" x14ac:dyDescent="0.25">
      <c r="A33" s="262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3">
        <f t="shared" si="5"/>
        <v>19</v>
      </c>
      <c r="K33" s="395"/>
      <c r="L33" s="395"/>
      <c r="M33" s="395"/>
      <c r="N33" s="395"/>
      <c r="O33" s="395"/>
    </row>
    <row r="34" spans="1:15" ht="18.75" x14ac:dyDescent="0.25">
      <c r="A34" s="262">
        <f t="shared" si="4"/>
        <v>20</v>
      </c>
      <c r="B34" s="56" t="s">
        <v>121</v>
      </c>
      <c r="C34" s="31">
        <f>'Stmt BG - Page 4'!C39</f>
        <v>-6557.2103572514334</v>
      </c>
      <c r="D34" s="31">
        <f>'Stmt BG - Page 4'!D39</f>
        <v>-7130.4396776561098</v>
      </c>
      <c r="E34" s="31">
        <f>'Stmt BG - Page 4'!E39</f>
        <v>-7117.4699100219459</v>
      </c>
      <c r="F34" s="31">
        <f>'Stmt BG - Page 4'!F39</f>
        <v>-6471.8780382295072</v>
      </c>
      <c r="G34" s="31">
        <f>'Stmt BG - Page 4'!G39</f>
        <v>-5639.6517867735101</v>
      </c>
      <c r="H34" s="31">
        <f>'Stmt BG - Page 4'!H39</f>
        <v>-5102.1496508477039</v>
      </c>
      <c r="I34" s="19">
        <f>SUM(C16:H16,C34:H34)</f>
        <v>-62003.524723084127</v>
      </c>
      <c r="J34" s="263">
        <f t="shared" si="5"/>
        <v>20</v>
      </c>
      <c r="K34" s="395"/>
      <c r="L34" s="395"/>
      <c r="M34" s="395"/>
      <c r="N34" s="395"/>
      <c r="O34" s="395"/>
    </row>
    <row r="35" spans="1:15" x14ac:dyDescent="0.25">
      <c r="A35" s="262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3">
        <f t="shared" si="5"/>
        <v>21</v>
      </c>
      <c r="K35" s="395"/>
      <c r="L35" s="395"/>
      <c r="M35" s="395"/>
      <c r="N35" s="395"/>
      <c r="O35" s="395"/>
    </row>
    <row r="36" spans="1:15" ht="18.75" x14ac:dyDescent="0.25">
      <c r="A36" s="262">
        <f t="shared" si="4"/>
        <v>22</v>
      </c>
      <c r="B36" s="56" t="s">
        <v>122</v>
      </c>
      <c r="C36" s="31">
        <f>'Stmt BG - Page 4'!C41</f>
        <v>-56360.132503861292</v>
      </c>
      <c r="D36" s="31">
        <f>'Stmt BG - Page 4'!D41</f>
        <v>-56014.718778003022</v>
      </c>
      <c r="E36" s="31">
        <f>'Stmt BG - Page 4'!E41</f>
        <v>-53796.144150842629</v>
      </c>
      <c r="F36" s="31">
        <f>'Stmt BG - Page 4'!F41</f>
        <v>-52829.760771657733</v>
      </c>
      <c r="G36" s="31">
        <f>'Stmt BG - Page 4'!G41</f>
        <v>-46515.599715715602</v>
      </c>
      <c r="H36" s="31">
        <f>'Stmt BG - Page 4'!H41</f>
        <v>-44456.369781193433</v>
      </c>
      <c r="I36" s="19">
        <f>SUM(C18:H18,C36:H36)</f>
        <v>-578376.52295647748</v>
      </c>
      <c r="J36" s="263">
        <f t="shared" si="5"/>
        <v>22</v>
      </c>
      <c r="K36" s="395"/>
      <c r="L36" s="395"/>
      <c r="M36" s="395"/>
      <c r="N36" s="395"/>
      <c r="O36" s="395"/>
    </row>
    <row r="37" spans="1:15" x14ac:dyDescent="0.25">
      <c r="A37" s="262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3">
        <f t="shared" si="5"/>
        <v>23</v>
      </c>
      <c r="K37" s="395"/>
      <c r="L37" s="395"/>
      <c r="M37" s="395"/>
      <c r="N37" s="395"/>
      <c r="O37" s="395"/>
    </row>
    <row r="38" spans="1:15" ht="18.75" x14ac:dyDescent="0.25">
      <c r="A38" s="262">
        <f t="shared" si="4"/>
        <v>24</v>
      </c>
      <c r="B38" s="17" t="s">
        <v>123</v>
      </c>
      <c r="C38" s="38">
        <f>'Stmt BG - Page 4'!C43</f>
        <v>-15905.523197936222</v>
      </c>
      <c r="D38" s="38">
        <f>'Stmt BG - Page 4'!D43</f>
        <v>-16440.991265677134</v>
      </c>
      <c r="E38" s="38">
        <f>'Stmt BG - Page 4'!E43</f>
        <v>-15962.225365689632</v>
      </c>
      <c r="F38" s="38">
        <f>'Stmt BG - Page 4'!F43</f>
        <v>-16080.139640330681</v>
      </c>
      <c r="G38" s="38">
        <f>'Stmt BG - Page 4'!G43</f>
        <v>-17056.801852808658</v>
      </c>
      <c r="H38" s="38">
        <f>'Stmt BG - Page 4'!H43</f>
        <v>-17948.501122679005</v>
      </c>
      <c r="I38" s="14">
        <f>SUM(C20:H20,C38:H38)</f>
        <v>-196596.7629182777</v>
      </c>
      <c r="J38" s="263">
        <f t="shared" si="5"/>
        <v>24</v>
      </c>
      <c r="K38" s="395"/>
      <c r="L38" s="395"/>
      <c r="M38" s="395"/>
      <c r="N38" s="395"/>
      <c r="O38" s="395"/>
    </row>
    <row r="39" spans="1:15" x14ac:dyDescent="0.25">
      <c r="A39" s="262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3">
        <f t="shared" si="5"/>
        <v>25</v>
      </c>
      <c r="K39" s="395"/>
      <c r="L39" s="395"/>
      <c r="M39" s="395"/>
      <c r="N39" s="395"/>
      <c r="O39" s="395"/>
    </row>
    <row r="40" spans="1:15" x14ac:dyDescent="0.25">
      <c r="A40" s="262">
        <f t="shared" si="4"/>
        <v>26</v>
      </c>
      <c r="B40" s="11" t="s">
        <v>124</v>
      </c>
      <c r="C40" s="513">
        <f t="shared" ref="C40:I40" si="6">SUM(C28:C38)</f>
        <v>-3789400.6978919609</v>
      </c>
      <c r="D40" s="513">
        <f t="shared" si="6"/>
        <v>-4335414.120001778</v>
      </c>
      <c r="E40" s="513">
        <f t="shared" si="6"/>
        <v>-4701429.4225903898</v>
      </c>
      <c r="F40" s="513">
        <f t="shared" si="6"/>
        <v>-3937580.4656859473</v>
      </c>
      <c r="G40" s="513">
        <f t="shared" si="6"/>
        <v>-3512833.3999271626</v>
      </c>
      <c r="H40" s="513">
        <f t="shared" si="6"/>
        <v>-3798927.9340749769</v>
      </c>
      <c r="I40" s="513">
        <f t="shared" si="6"/>
        <v>-44565012.976726241</v>
      </c>
      <c r="J40" s="263">
        <f t="shared" si="5"/>
        <v>26</v>
      </c>
      <c r="K40" s="395"/>
      <c r="L40" s="395"/>
      <c r="M40" s="395"/>
      <c r="N40" s="395"/>
      <c r="O40" s="395"/>
    </row>
    <row r="41" spans="1:15" ht="16.5" thickBot="1" x14ac:dyDescent="0.3">
      <c r="A41" s="300"/>
      <c r="B41" s="559"/>
      <c r="C41" s="688"/>
      <c r="D41" s="561"/>
      <c r="E41" s="560"/>
      <c r="F41" s="688"/>
      <c r="G41" s="561"/>
      <c r="H41" s="688"/>
      <c r="I41" s="260"/>
      <c r="J41" s="406"/>
      <c r="K41" s="395"/>
      <c r="L41" s="395"/>
      <c r="M41" s="395"/>
      <c r="N41" s="395"/>
      <c r="O41" s="395"/>
    </row>
    <row r="42" spans="1:15" x14ac:dyDescent="0.25">
      <c r="A42" s="50"/>
      <c r="B42" s="395"/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395"/>
      <c r="N42" s="395"/>
      <c r="O42" s="396"/>
    </row>
    <row r="43" spans="1:15" ht="18.75" x14ac:dyDescent="0.25">
      <c r="A43" s="83" t="s">
        <v>125</v>
      </c>
      <c r="B43" s="22" t="s">
        <v>126</v>
      </c>
      <c r="C43" s="242"/>
      <c r="D43" s="242"/>
      <c r="F43" s="519">
        <v>4</v>
      </c>
      <c r="G43" s="22" t="s">
        <v>127</v>
      </c>
    </row>
    <row r="44" spans="1:15" ht="18.75" x14ac:dyDescent="0.25">
      <c r="A44" s="83">
        <v>2</v>
      </c>
      <c r="B44" s="22" t="s">
        <v>128</v>
      </c>
      <c r="C44" s="827"/>
      <c r="D44" s="827"/>
      <c r="F44" s="519">
        <v>5</v>
      </c>
      <c r="G44" s="22" t="s">
        <v>129</v>
      </c>
    </row>
    <row r="45" spans="1:15" ht="18.75" x14ac:dyDescent="0.25">
      <c r="A45" s="83">
        <v>3</v>
      </c>
      <c r="B45" s="22" t="s">
        <v>130</v>
      </c>
      <c r="C45" s="242"/>
      <c r="D45" s="242"/>
      <c r="F45" s="519">
        <v>6</v>
      </c>
      <c r="G45" s="22" t="s">
        <v>131</v>
      </c>
    </row>
    <row r="46" spans="1:15" x14ac:dyDescent="0.25">
      <c r="C46" s="242"/>
      <c r="D46" s="242"/>
    </row>
    <row r="47" spans="1:15" x14ac:dyDescent="0.25">
      <c r="C47" s="242"/>
      <c r="D47" s="242"/>
    </row>
    <row r="48" spans="1:15" x14ac:dyDescent="0.25">
      <c r="C48" s="242"/>
      <c r="D48" s="242"/>
    </row>
    <row r="49" spans="1:1" x14ac:dyDescent="0.25">
      <c r="A49" s="37"/>
    </row>
    <row r="50" spans="1:1" x14ac:dyDescent="0.25">
      <c r="A50" s="37"/>
    </row>
    <row r="51" spans="1:1" x14ac:dyDescent="0.25">
      <c r="A51" s="37"/>
    </row>
    <row r="52" spans="1:1" x14ac:dyDescent="0.25">
      <c r="A52" s="37"/>
    </row>
    <row r="53" spans="1:1" x14ac:dyDescent="0.25">
      <c r="A53" s="37"/>
    </row>
    <row r="54" spans="1:1" x14ac:dyDescent="0.25">
      <c r="A54" s="37"/>
    </row>
    <row r="55" spans="1:1" x14ac:dyDescent="0.25">
      <c r="A55" s="37"/>
    </row>
    <row r="56" spans="1:1" x14ac:dyDescent="0.25">
      <c r="A56" s="37"/>
    </row>
    <row r="57" spans="1:1" x14ac:dyDescent="0.25">
      <c r="A57" s="37"/>
    </row>
    <row r="58" spans="1:1" x14ac:dyDescent="0.25">
      <c r="A58" s="37"/>
    </row>
    <row r="59" spans="1:1" x14ac:dyDescent="0.25">
      <c r="A59" s="37"/>
    </row>
    <row r="60" spans="1:1" x14ac:dyDescent="0.25">
      <c r="A60" s="37"/>
    </row>
    <row r="61" spans="1:1" x14ac:dyDescent="0.25">
      <c r="A61" s="37"/>
    </row>
    <row r="62" spans="1:1" x14ac:dyDescent="0.25">
      <c r="A62" s="37"/>
    </row>
    <row r="63" spans="1:1" x14ac:dyDescent="0.25">
      <c r="A63" s="37"/>
    </row>
    <row r="64" spans="1:1" x14ac:dyDescent="0.25">
      <c r="A64" s="37"/>
    </row>
    <row r="65" spans="1:1" x14ac:dyDescent="0.25">
      <c r="A65" s="37"/>
    </row>
    <row r="66" spans="1:1" x14ac:dyDescent="0.25">
      <c r="A66" s="37"/>
    </row>
    <row r="67" spans="1:1" x14ac:dyDescent="0.25">
      <c r="A67" s="37"/>
    </row>
    <row r="68" spans="1:1" x14ac:dyDescent="0.25">
      <c r="A68" s="37"/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7"/>
    </row>
    <row r="73" spans="1:1" x14ac:dyDescent="0.25">
      <c r="A73" s="37"/>
    </row>
    <row r="74" spans="1:1" x14ac:dyDescent="0.25">
      <c r="A74" s="37"/>
    </row>
    <row r="75" spans="1:1" x14ac:dyDescent="0.25">
      <c r="A75" s="37"/>
    </row>
    <row r="76" spans="1:1" x14ac:dyDescent="0.25">
      <c r="A76" s="37"/>
    </row>
    <row r="77" spans="1:1" x14ac:dyDescent="0.25">
      <c r="A77" s="37"/>
    </row>
    <row r="78" spans="1:1" x14ac:dyDescent="0.25">
      <c r="A78" s="37"/>
    </row>
    <row r="79" spans="1:1" x14ac:dyDescent="0.25">
      <c r="A79" s="37"/>
    </row>
    <row r="80" spans="1:1" x14ac:dyDescent="0.25">
      <c r="A80" s="37"/>
    </row>
    <row r="81" spans="1:1" x14ac:dyDescent="0.25">
      <c r="A81" s="37"/>
    </row>
    <row r="82" spans="1:1" x14ac:dyDescent="0.25">
      <c r="A82" s="37"/>
    </row>
    <row r="83" spans="1:1" x14ac:dyDescent="0.25">
      <c r="A83" s="37"/>
    </row>
    <row r="84" spans="1:1" x14ac:dyDescent="0.25">
      <c r="A84" s="37"/>
    </row>
    <row r="85" spans="1:1" x14ac:dyDescent="0.25">
      <c r="A85" s="37"/>
    </row>
    <row r="86" spans="1:1" x14ac:dyDescent="0.25">
      <c r="A86" s="37"/>
    </row>
    <row r="87" spans="1:1" x14ac:dyDescent="0.25">
      <c r="A87" s="37"/>
    </row>
    <row r="88" spans="1:1" x14ac:dyDescent="0.25">
      <c r="A88" s="37"/>
    </row>
    <row r="89" spans="1:1" x14ac:dyDescent="0.25">
      <c r="A89" s="37"/>
    </row>
    <row r="90" spans="1:1" x14ac:dyDescent="0.25">
      <c r="A90" s="37"/>
    </row>
    <row r="91" spans="1:1" x14ac:dyDescent="0.25">
      <c r="A91" s="37"/>
    </row>
    <row r="92" spans="1:1" x14ac:dyDescent="0.25">
      <c r="A92" s="37"/>
    </row>
    <row r="93" spans="1:1" x14ac:dyDescent="0.25">
      <c r="A93" s="37"/>
    </row>
    <row r="94" spans="1:1" x14ac:dyDescent="0.25">
      <c r="A94" s="37"/>
    </row>
    <row r="95" spans="1:1" x14ac:dyDescent="0.25">
      <c r="A95" s="37"/>
    </row>
    <row r="96" spans="1:1" x14ac:dyDescent="0.25">
      <c r="A96" s="37"/>
    </row>
    <row r="97" spans="1:1" x14ac:dyDescent="0.25">
      <c r="A97" s="37"/>
    </row>
    <row r="98" spans="1:1" x14ac:dyDescent="0.25">
      <c r="A98" s="37"/>
    </row>
    <row r="99" spans="1:1" x14ac:dyDescent="0.25">
      <c r="A99" s="37"/>
    </row>
    <row r="100" spans="1:1" x14ac:dyDescent="0.25">
      <c r="A100" s="37"/>
    </row>
    <row r="101" spans="1:1" x14ac:dyDescent="0.25">
      <c r="A101" s="37"/>
    </row>
    <row r="102" spans="1:1" x14ac:dyDescent="0.25">
      <c r="A102" s="37"/>
    </row>
    <row r="103" spans="1:1" x14ac:dyDescent="0.25">
      <c r="A103" s="37"/>
    </row>
    <row r="104" spans="1:1" x14ac:dyDescent="0.25">
      <c r="A104" s="37"/>
    </row>
    <row r="105" spans="1:1" x14ac:dyDescent="0.25">
      <c r="A105" s="37"/>
    </row>
    <row r="106" spans="1:1" x14ac:dyDescent="0.25">
      <c r="A106" s="37"/>
    </row>
    <row r="107" spans="1:1" x14ac:dyDescent="0.25">
      <c r="A107" s="37"/>
    </row>
    <row r="108" spans="1:1" x14ac:dyDescent="0.25">
      <c r="A108" s="37"/>
    </row>
    <row r="109" spans="1:1" x14ac:dyDescent="0.25">
      <c r="A109" s="37"/>
    </row>
    <row r="110" spans="1:1" x14ac:dyDescent="0.25">
      <c r="A110" s="37"/>
    </row>
    <row r="111" spans="1:1" x14ac:dyDescent="0.25">
      <c r="A111" s="37"/>
    </row>
    <row r="112" spans="1:1" x14ac:dyDescent="0.25">
      <c r="A112" s="37"/>
    </row>
    <row r="113" spans="1:1" x14ac:dyDescent="0.25">
      <c r="A113" s="37"/>
    </row>
    <row r="114" spans="1:1" x14ac:dyDescent="0.25">
      <c r="A114" s="37"/>
    </row>
    <row r="115" spans="1:1" x14ac:dyDescent="0.25">
      <c r="A115" s="37"/>
    </row>
    <row r="116" spans="1:1" x14ac:dyDescent="0.25">
      <c r="A116" s="37"/>
    </row>
    <row r="117" spans="1:1" x14ac:dyDescent="0.25">
      <c r="A117" s="37"/>
    </row>
    <row r="118" spans="1:1" x14ac:dyDescent="0.25">
      <c r="A118" s="37"/>
    </row>
    <row r="119" spans="1:1" x14ac:dyDescent="0.25">
      <c r="A119" s="37"/>
    </row>
    <row r="120" spans="1:1" x14ac:dyDescent="0.25">
      <c r="A120" s="37"/>
    </row>
    <row r="121" spans="1:1" x14ac:dyDescent="0.25">
      <c r="A121" s="37"/>
    </row>
    <row r="122" spans="1:1" x14ac:dyDescent="0.25">
      <c r="A122" s="37"/>
    </row>
    <row r="123" spans="1:1" x14ac:dyDescent="0.25">
      <c r="A123" s="37"/>
    </row>
    <row r="124" spans="1:1" x14ac:dyDescent="0.25">
      <c r="A124" s="37"/>
    </row>
    <row r="125" spans="1:1" x14ac:dyDescent="0.25">
      <c r="A125" s="37"/>
    </row>
    <row r="126" spans="1:1" x14ac:dyDescent="0.25">
      <c r="A126" s="37"/>
    </row>
    <row r="127" spans="1:1" x14ac:dyDescent="0.25">
      <c r="A127" s="37"/>
    </row>
    <row r="128" spans="1:1" x14ac:dyDescent="0.25">
      <c r="A128" s="37"/>
    </row>
    <row r="129" spans="1:1" x14ac:dyDescent="0.25">
      <c r="A129" s="37"/>
    </row>
    <row r="130" spans="1:1" x14ac:dyDescent="0.25">
      <c r="A130" s="37"/>
    </row>
    <row r="131" spans="1:1" x14ac:dyDescent="0.25">
      <c r="A131" s="37"/>
    </row>
    <row r="132" spans="1:1" x14ac:dyDescent="0.25">
      <c r="A132" s="37"/>
    </row>
    <row r="133" spans="1:1" x14ac:dyDescent="0.25">
      <c r="A133" s="37"/>
    </row>
    <row r="134" spans="1:1" x14ac:dyDescent="0.25">
      <c r="A134" s="37"/>
    </row>
    <row r="135" spans="1:1" x14ac:dyDescent="0.25">
      <c r="A135" s="37"/>
    </row>
    <row r="136" spans="1:1" x14ac:dyDescent="0.25">
      <c r="A136" s="37"/>
    </row>
    <row r="137" spans="1:1" x14ac:dyDescent="0.25">
      <c r="A137" s="37"/>
    </row>
    <row r="138" spans="1:1" x14ac:dyDescent="0.25">
      <c r="A138" s="37"/>
    </row>
    <row r="139" spans="1:1" x14ac:dyDescent="0.25">
      <c r="A139" s="37"/>
    </row>
    <row r="140" spans="1:1" x14ac:dyDescent="0.25">
      <c r="A140" s="37"/>
    </row>
    <row r="141" spans="1:1" x14ac:dyDescent="0.25">
      <c r="A141" s="37"/>
    </row>
    <row r="142" spans="1:1" x14ac:dyDescent="0.25">
      <c r="A142" s="37"/>
    </row>
    <row r="143" spans="1:1" x14ac:dyDescent="0.2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2" orientation="landscape" r:id="rId1"/>
  <headerFooter alignWithMargins="0">
    <oddFooter>&amp;L&amp;"Times New Roman,Regular"&amp;12&amp;F&amp;C&amp;"Times New Roman,Regular"&amp;12Page 2 of 4&amp;R&amp;"Times New Roman,Regular"&amp;12Stmt BG - Page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122"/>
  <sheetViews>
    <sheetView zoomScale="80" zoomScaleNormal="80" workbookViewId="0"/>
  </sheetViews>
  <sheetFormatPr defaultColWidth="9.28515625" defaultRowHeight="12.75" x14ac:dyDescent="0.2"/>
  <cols>
    <col min="1" max="1" width="5.5703125" style="242" customWidth="1"/>
    <col min="2" max="2" width="45.5703125" style="242" customWidth="1"/>
    <col min="3" max="8" width="15.5703125" style="242" customWidth="1"/>
    <col min="9" max="9" width="40.5703125" style="242" customWidth="1"/>
    <col min="10" max="10" width="5.5703125" style="242" customWidth="1"/>
    <col min="11" max="16384" width="9.28515625" style="242"/>
  </cols>
  <sheetData>
    <row r="2" spans="1:10" ht="15.75" x14ac:dyDescent="0.2">
      <c r="A2" s="5" t="s">
        <v>80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x14ac:dyDescent="0.2">
      <c r="A3" s="418" t="s">
        <v>52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6" customHeight="1" x14ac:dyDescent="0.2">
      <c r="A4" s="978" t="str">
        <f>'Stmt BG - Page 1'!A4</f>
        <v>Transmission Revenue Balancing Account Adjustment (TRBAA) Revenues Data to Reflect Changed Rates</v>
      </c>
      <c r="B4" s="978"/>
      <c r="C4" s="978"/>
      <c r="D4" s="978"/>
      <c r="E4" s="978"/>
      <c r="F4" s="978"/>
      <c r="G4" s="978"/>
      <c r="H4" s="978"/>
      <c r="I4" s="978"/>
      <c r="J4" s="978"/>
    </row>
    <row r="5" spans="1:10" ht="15.75" x14ac:dyDescent="0.2">
      <c r="A5" s="418" t="str">
        <f>'Stmt BG - Page 1'!A6</f>
        <v>Rate Effective Period - Twelve Months Ending December 31, 2025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.5" thickBo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15.75" x14ac:dyDescent="0.25">
      <c r="A7" s="555"/>
      <c r="B7" s="455"/>
      <c r="C7" s="563" t="s">
        <v>3</v>
      </c>
      <c r="D7" s="563" t="s">
        <v>4</v>
      </c>
      <c r="E7" s="563" t="s">
        <v>113</v>
      </c>
      <c r="F7" s="563" t="s">
        <v>114</v>
      </c>
      <c r="G7" s="563" t="s">
        <v>115</v>
      </c>
      <c r="H7" s="564" t="s">
        <v>116</v>
      </c>
      <c r="I7" s="564" t="s">
        <v>117</v>
      </c>
      <c r="J7" s="557"/>
    </row>
    <row r="8" spans="1:10" ht="15.75" x14ac:dyDescent="0.25">
      <c r="A8" s="549" t="s">
        <v>8</v>
      </c>
      <c r="B8" s="75"/>
      <c r="C8" s="565">
        <f>'Stmt BG - Page 2'!C8</f>
        <v>45658</v>
      </c>
      <c r="D8" s="565">
        <f>'Stmt BG - Page 2'!D8</f>
        <v>45689</v>
      </c>
      <c r="E8" s="565">
        <f>'Stmt BG - Page 2'!E8</f>
        <v>45717</v>
      </c>
      <c r="F8" s="565">
        <f>'Stmt BG - Page 2'!F8</f>
        <v>45748</v>
      </c>
      <c r="G8" s="565">
        <f>'Stmt BG - Page 2'!G8</f>
        <v>45778</v>
      </c>
      <c r="H8" s="565">
        <f>'Stmt BG - Page 2'!H8</f>
        <v>45809</v>
      </c>
      <c r="I8" s="566"/>
      <c r="J8" s="550" t="s">
        <v>8</v>
      </c>
    </row>
    <row r="9" spans="1:10" ht="16.5" thickBot="1" x14ac:dyDescent="0.3">
      <c r="A9" s="567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16</v>
      </c>
      <c r="J9" s="568" t="s">
        <v>11</v>
      </c>
    </row>
    <row r="10" spans="1:10" ht="15.75" x14ac:dyDescent="0.25">
      <c r="A10" s="262"/>
      <c r="B10" s="10"/>
      <c r="C10" s="74"/>
      <c r="D10" s="10"/>
      <c r="E10" s="10"/>
      <c r="F10" s="10"/>
      <c r="G10" s="10"/>
      <c r="H10" s="10"/>
      <c r="I10" s="10"/>
      <c r="J10" s="263"/>
    </row>
    <row r="11" spans="1:10" ht="15.75" x14ac:dyDescent="0.25">
      <c r="A11" s="262">
        <v>1</v>
      </c>
      <c r="B11" s="11" t="s">
        <v>93</v>
      </c>
      <c r="C11" s="31">
        <f>'WP 1.2 Forecast Sales'!C6*1000</f>
        <v>633614848.26131558</v>
      </c>
      <c r="D11" s="31">
        <f>'WP 1.2 Forecast Sales'!D6*1000</f>
        <v>515438234.71526903</v>
      </c>
      <c r="E11" s="31">
        <f>'WP 1.2 Forecast Sales'!E6*1000</f>
        <v>457649116.93538713</v>
      </c>
      <c r="F11" s="31">
        <f>'WP 1.2 Forecast Sales'!F6*1000</f>
        <v>365973420.20850414</v>
      </c>
      <c r="G11" s="31">
        <f>'WP 1.2 Forecast Sales'!G6*1000</f>
        <v>342313088.75184613</v>
      </c>
      <c r="H11" s="31">
        <f>'WP 1.2 Forecast Sales'!H6*1000</f>
        <v>369395483.57729572</v>
      </c>
      <c r="I11" s="240" t="s">
        <v>133</v>
      </c>
      <c r="J11" s="263">
        <v>1</v>
      </c>
    </row>
    <row r="12" spans="1:10" ht="15.75" x14ac:dyDescent="0.25">
      <c r="A12" s="262">
        <f>A11+1</f>
        <v>2</v>
      </c>
      <c r="B12" s="11"/>
      <c r="C12" s="398"/>
      <c r="D12" s="398"/>
      <c r="E12" s="398"/>
      <c r="F12" s="398"/>
      <c r="G12" s="398"/>
      <c r="H12" s="398"/>
      <c r="I12" s="399"/>
      <c r="J12" s="263">
        <f>J11+1</f>
        <v>2</v>
      </c>
    </row>
    <row r="13" spans="1:10" ht="15.75" x14ac:dyDescent="0.25">
      <c r="A13" s="262">
        <f t="shared" ref="A13:A45" si="0">A12+1</f>
        <v>3</v>
      </c>
      <c r="B13" s="11" t="s">
        <v>134</v>
      </c>
      <c r="C13" s="31">
        <f>'WP 1.2 Forecast Sales'!C7*1000</f>
        <v>194287303.97175041</v>
      </c>
      <c r="D13" s="31">
        <f>'WP 1.2 Forecast Sales'!D7*1000</f>
        <v>188366210.6613501</v>
      </c>
      <c r="E13" s="31">
        <f>'WP 1.2 Forecast Sales'!E7*1000</f>
        <v>187592519.40328324</v>
      </c>
      <c r="F13" s="31">
        <f>'WP 1.2 Forecast Sales'!F7*1000</f>
        <v>186126527.48780861</v>
      </c>
      <c r="G13" s="31">
        <f>'WP 1.2 Forecast Sales'!G7*1000</f>
        <v>185654634.61696634</v>
      </c>
      <c r="H13" s="31">
        <f>'WP 1.2 Forecast Sales'!H7*1000</f>
        <v>194357832.95760828</v>
      </c>
      <c r="I13" s="240" t="s">
        <v>135</v>
      </c>
      <c r="J13" s="263">
        <f t="shared" ref="J13:J45" si="1">J12+1</f>
        <v>3</v>
      </c>
    </row>
    <row r="14" spans="1:10" ht="15.75" x14ac:dyDescent="0.25">
      <c r="A14" s="262">
        <f t="shared" si="0"/>
        <v>4</v>
      </c>
      <c r="B14" s="385"/>
      <c r="C14" s="393"/>
      <c r="D14" s="393"/>
      <c r="E14" s="393"/>
      <c r="F14" s="393"/>
      <c r="G14" s="393"/>
      <c r="H14" s="393"/>
      <c r="I14" s="400"/>
      <c r="J14" s="263">
        <f t="shared" si="1"/>
        <v>4</v>
      </c>
    </row>
    <row r="15" spans="1:10" ht="15.75" x14ac:dyDescent="0.25">
      <c r="A15" s="262">
        <f t="shared" si="0"/>
        <v>5</v>
      </c>
      <c r="B15" s="17" t="s">
        <v>99</v>
      </c>
      <c r="C15" s="31">
        <f>'WP 1.2 Forecast Sales'!C8*1000</f>
        <v>751192254.45003653</v>
      </c>
      <c r="D15" s="31">
        <f>'WP 1.2 Forecast Sales'!D8*1000</f>
        <v>713531333.69322109</v>
      </c>
      <c r="E15" s="31">
        <f>'WP 1.2 Forecast Sales'!E8*1000</f>
        <v>714756631.10825777</v>
      </c>
      <c r="F15" s="31">
        <f>'WP 1.2 Forecast Sales'!F8*1000</f>
        <v>718508298.83782351</v>
      </c>
      <c r="G15" s="31">
        <f>'WP 1.2 Forecast Sales'!G8*1000</f>
        <v>724916884.54627109</v>
      </c>
      <c r="H15" s="31">
        <f>'WP 1.2 Forecast Sales'!H8*1000</f>
        <v>760340001.74391031</v>
      </c>
      <c r="I15" s="240" t="s">
        <v>136</v>
      </c>
      <c r="J15" s="263">
        <f t="shared" si="1"/>
        <v>5</v>
      </c>
    </row>
    <row r="16" spans="1:10" ht="15.75" x14ac:dyDescent="0.25">
      <c r="A16" s="262">
        <f t="shared" si="0"/>
        <v>6</v>
      </c>
      <c r="B16" s="11"/>
      <c r="C16" s="31"/>
      <c r="D16" s="31"/>
      <c r="E16" s="31"/>
      <c r="F16" s="31"/>
      <c r="G16" s="31"/>
      <c r="H16" s="31"/>
      <c r="I16" s="401"/>
      <c r="J16" s="263">
        <f t="shared" si="1"/>
        <v>6</v>
      </c>
    </row>
    <row r="17" spans="1:10" ht="15.75" x14ac:dyDescent="0.25">
      <c r="A17" s="262">
        <f t="shared" si="0"/>
        <v>7</v>
      </c>
      <c r="B17" s="11" t="s">
        <v>102</v>
      </c>
      <c r="C17" s="31">
        <f>'WP 1.2 Forecast Sales'!C10*1000</f>
        <v>1356574.0800083315</v>
      </c>
      <c r="D17" s="31">
        <f>'WP 1.2 Forecast Sales'!D10*1000</f>
        <v>1511601.8248092588</v>
      </c>
      <c r="E17" s="31">
        <f>'WP 1.2 Forecast Sales'!E10*1000</f>
        <v>1313295.5975330288</v>
      </c>
      <c r="F17" s="31">
        <f>'WP 1.2 Forecast Sales'!F10*1000</f>
        <v>1360019.567416501</v>
      </c>
      <c r="G17" s="31">
        <f>'WP 1.2 Forecast Sales'!G10*1000</f>
        <v>1926717.9622811209</v>
      </c>
      <c r="H17" s="31">
        <f>'WP 1.2 Forecast Sales'!H10*1000</f>
        <v>2321474.7648105002</v>
      </c>
      <c r="I17" s="240" t="s">
        <v>137</v>
      </c>
      <c r="J17" s="263">
        <f t="shared" si="1"/>
        <v>7</v>
      </c>
    </row>
    <row r="18" spans="1:10" ht="15.75" x14ac:dyDescent="0.25">
      <c r="A18" s="262">
        <f t="shared" si="0"/>
        <v>8</v>
      </c>
      <c r="B18" s="11"/>
      <c r="C18" s="31"/>
      <c r="D18" s="31"/>
      <c r="E18" s="31"/>
      <c r="F18" s="31"/>
      <c r="G18" s="31"/>
      <c r="H18" s="31"/>
      <c r="I18" s="401"/>
      <c r="J18" s="263">
        <f t="shared" si="1"/>
        <v>8</v>
      </c>
    </row>
    <row r="19" spans="1:10" ht="15.75" x14ac:dyDescent="0.25">
      <c r="A19" s="262">
        <f t="shared" si="0"/>
        <v>9</v>
      </c>
      <c r="B19" s="11" t="s">
        <v>105</v>
      </c>
      <c r="C19" s="31">
        <f>'WP 1.2 Forecast Sales'!C11*1000</f>
        <v>16898596.174145363</v>
      </c>
      <c r="D19" s="31">
        <f>'WP 1.2 Forecast Sales'!D11*1000</f>
        <v>18281425.836751401</v>
      </c>
      <c r="E19" s="31">
        <f>'WP 1.2 Forecast Sales'!E11*1000</f>
        <v>16418928.25680276</v>
      </c>
      <c r="F19" s="31">
        <f>'WP 1.2 Forecast Sales'!F11*1000</f>
        <v>17288752.517243203</v>
      </c>
      <c r="G19" s="31">
        <f>'WP 1.2 Forecast Sales'!G11*1000</f>
        <v>20061665.198170915</v>
      </c>
      <c r="H19" s="31">
        <f>'WP 1.2 Forecast Sales'!H11*1000</f>
        <v>20603202.325132836</v>
      </c>
      <c r="I19" s="240" t="s">
        <v>138</v>
      </c>
      <c r="J19" s="263">
        <f t="shared" si="1"/>
        <v>9</v>
      </c>
    </row>
    <row r="20" spans="1:10" ht="15.75" x14ac:dyDescent="0.25">
      <c r="A20" s="262">
        <f t="shared" si="0"/>
        <v>10</v>
      </c>
      <c r="B20" s="11"/>
      <c r="C20" s="31"/>
      <c r="D20" s="31"/>
      <c r="E20" s="31"/>
      <c r="F20" s="31"/>
      <c r="G20" s="31"/>
      <c r="H20" s="31"/>
      <c r="I20" s="401"/>
      <c r="J20" s="263">
        <f t="shared" si="1"/>
        <v>10</v>
      </c>
    </row>
    <row r="21" spans="1:10" ht="15.75" x14ac:dyDescent="0.25">
      <c r="A21" s="262">
        <f t="shared" si="0"/>
        <v>11</v>
      </c>
      <c r="B21" s="11" t="s">
        <v>139</v>
      </c>
      <c r="C21" s="38">
        <f>'WP 1.2 Forecast Sales'!C12*1000</f>
        <v>6804681.1748855589</v>
      </c>
      <c r="D21" s="38">
        <f>'WP 1.2 Forecast Sales'!D12*1000</f>
        <v>6756007.3419802682</v>
      </c>
      <c r="E21" s="38">
        <f>'WP 1.2 Forecast Sales'!E12*1000</f>
        <v>6619387.8228434017</v>
      </c>
      <c r="F21" s="38">
        <f>'WP 1.2 Forecast Sales'!F12*1000</f>
        <v>6515491.4020588556</v>
      </c>
      <c r="G21" s="38">
        <f>'WP 1.2 Forecast Sales'!G12*1000</f>
        <v>6463029.1984564485</v>
      </c>
      <c r="H21" s="38">
        <f>'WP 1.2 Forecast Sales'!H12*1000</f>
        <v>6515925.7018801039</v>
      </c>
      <c r="I21" s="240" t="s">
        <v>140</v>
      </c>
      <c r="J21" s="263">
        <f t="shared" si="1"/>
        <v>11</v>
      </c>
    </row>
    <row r="22" spans="1:10" ht="15.75" x14ac:dyDescent="0.25">
      <c r="A22" s="262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263">
        <f t="shared" si="1"/>
        <v>12</v>
      </c>
    </row>
    <row r="23" spans="1:10" ht="16.5" thickBot="1" x14ac:dyDescent="0.3">
      <c r="A23" s="262">
        <f t="shared" si="0"/>
        <v>13</v>
      </c>
      <c r="B23" s="11" t="s">
        <v>124</v>
      </c>
      <c r="C23" s="474">
        <f>SUM(C11:C21)</f>
        <v>1604154258.1121418</v>
      </c>
      <c r="D23" s="474">
        <f t="shared" ref="D23:H23" si="2">SUM(D11:D21)</f>
        <v>1443884814.0733812</v>
      </c>
      <c r="E23" s="474">
        <f t="shared" si="2"/>
        <v>1384349879.1241071</v>
      </c>
      <c r="F23" s="474">
        <f t="shared" si="2"/>
        <v>1295772510.0208547</v>
      </c>
      <c r="G23" s="474">
        <f t="shared" si="2"/>
        <v>1281336020.2739921</v>
      </c>
      <c r="H23" s="474">
        <f t="shared" si="2"/>
        <v>1353533921.0706379</v>
      </c>
      <c r="I23" s="399" t="s">
        <v>141</v>
      </c>
      <c r="J23" s="263">
        <f t="shared" si="1"/>
        <v>13</v>
      </c>
    </row>
    <row r="24" spans="1:10" ht="17.25" thickTop="1" thickBot="1" x14ac:dyDescent="0.3">
      <c r="A24" s="300">
        <f t="shared" si="0"/>
        <v>14</v>
      </c>
      <c r="B24" s="419"/>
      <c r="C24" s="825"/>
      <c r="D24" s="58"/>
      <c r="E24" s="58"/>
      <c r="F24" s="58"/>
      <c r="G24" s="58"/>
      <c r="H24" s="58"/>
      <c r="I24" s="58"/>
      <c r="J24" s="301">
        <f t="shared" si="1"/>
        <v>14</v>
      </c>
    </row>
    <row r="25" spans="1:10" ht="15.75" x14ac:dyDescent="0.25">
      <c r="A25" s="262">
        <f t="shared" si="0"/>
        <v>15</v>
      </c>
      <c r="B25" s="11"/>
      <c r="C25" s="17"/>
      <c r="D25" s="17"/>
      <c r="E25" s="17"/>
      <c r="F25" s="17"/>
      <c r="G25" s="17"/>
      <c r="H25" s="17"/>
      <c r="I25" s="17"/>
      <c r="J25" s="263">
        <f t="shared" si="1"/>
        <v>15</v>
      </c>
    </row>
    <row r="26" spans="1:10" ht="16.5" thickBot="1" x14ac:dyDescent="0.3">
      <c r="A26" s="300">
        <f>A25+1</f>
        <v>16</v>
      </c>
      <c r="B26" s="419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301">
        <f>J25+1</f>
        <v>16</v>
      </c>
    </row>
    <row r="27" spans="1:10" ht="15.75" x14ac:dyDescent="0.25">
      <c r="A27" s="262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263">
        <f t="shared" si="1"/>
        <v>17</v>
      </c>
    </row>
    <row r="28" spans="1:10" ht="15.75" x14ac:dyDescent="0.25">
      <c r="A28" s="262">
        <f t="shared" si="0"/>
        <v>18</v>
      </c>
      <c r="B28" s="11" t="s">
        <v>143</v>
      </c>
      <c r="C28" s="384">
        <f>('Stmnt BL (Retail) - TRBAA'!C36)</f>
        <v>-2.4499999999999999E-3</v>
      </c>
      <c r="D28" s="384">
        <f>$C28</f>
        <v>-2.4499999999999999E-3</v>
      </c>
      <c r="E28" s="384">
        <f>$C28</f>
        <v>-2.4499999999999999E-3</v>
      </c>
      <c r="F28" s="384">
        <f>$C28</f>
        <v>-2.4499999999999999E-3</v>
      </c>
      <c r="G28" s="384">
        <f>$C28</f>
        <v>-2.4499999999999999E-3</v>
      </c>
      <c r="H28" s="384">
        <f>$C28</f>
        <v>-2.4499999999999999E-3</v>
      </c>
      <c r="I28" s="402" t="s">
        <v>144</v>
      </c>
      <c r="J28" s="263">
        <f t="shared" si="1"/>
        <v>18</v>
      </c>
    </row>
    <row r="29" spans="1:10" ht="16.5" thickBot="1" x14ac:dyDescent="0.3">
      <c r="A29" s="300">
        <f>A28+1</f>
        <v>19</v>
      </c>
      <c r="B29" s="419"/>
      <c r="C29" s="58"/>
      <c r="D29" s="58"/>
      <c r="E29" s="58"/>
      <c r="F29" s="58"/>
      <c r="G29" s="58"/>
      <c r="H29" s="58"/>
      <c r="I29" s="58"/>
      <c r="J29" s="301">
        <f>J28+1</f>
        <v>19</v>
      </c>
    </row>
    <row r="30" spans="1:10" ht="15.75" x14ac:dyDescent="0.25">
      <c r="A30" s="262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263">
        <f t="shared" si="1"/>
        <v>20</v>
      </c>
    </row>
    <row r="31" spans="1:10" ht="34.5" customHeight="1" thickBot="1" x14ac:dyDescent="0.3">
      <c r="A31" s="300">
        <f t="shared" si="0"/>
        <v>21</v>
      </c>
      <c r="B31" s="419"/>
      <c r="C31" s="403" t="s">
        <v>145</v>
      </c>
      <c r="D31" s="403" t="s">
        <v>145</v>
      </c>
      <c r="E31" s="403" t="s">
        <v>145</v>
      </c>
      <c r="F31" s="403" t="s">
        <v>145</v>
      </c>
      <c r="G31" s="403" t="s">
        <v>145</v>
      </c>
      <c r="H31" s="403" t="s">
        <v>145</v>
      </c>
      <c r="I31" s="57"/>
      <c r="J31" s="301">
        <f t="shared" si="1"/>
        <v>21</v>
      </c>
    </row>
    <row r="32" spans="1:10" ht="15.75" x14ac:dyDescent="0.25">
      <c r="A32" s="262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263">
        <f t="shared" si="1"/>
        <v>22</v>
      </c>
    </row>
    <row r="33" spans="1:10" ht="15.75" x14ac:dyDescent="0.25">
      <c r="A33" s="262">
        <f t="shared" si="0"/>
        <v>23</v>
      </c>
      <c r="B33" s="11" t="s">
        <v>93</v>
      </c>
      <c r="C33" s="141">
        <f>C11*C$28</f>
        <v>-1552356.378240223</v>
      </c>
      <c r="D33" s="141">
        <f t="shared" ref="D33:H33" si="3">D11*D$28</f>
        <v>-1262823.6750524091</v>
      </c>
      <c r="E33" s="141">
        <f t="shared" si="3"/>
        <v>-1121240.3364916984</v>
      </c>
      <c r="F33" s="141">
        <f t="shared" si="3"/>
        <v>-896634.87951083516</v>
      </c>
      <c r="G33" s="141">
        <f t="shared" si="3"/>
        <v>-838667.06744202296</v>
      </c>
      <c r="H33" s="141">
        <f t="shared" si="3"/>
        <v>-905018.93476437451</v>
      </c>
      <c r="I33" s="26" t="s">
        <v>146</v>
      </c>
      <c r="J33" s="263">
        <f t="shared" si="1"/>
        <v>23</v>
      </c>
    </row>
    <row r="34" spans="1:10" ht="15.75" x14ac:dyDescent="0.25">
      <c r="A34" s="262">
        <f t="shared" si="0"/>
        <v>24</v>
      </c>
      <c r="B34" s="11"/>
      <c r="C34" s="398"/>
      <c r="D34" s="398"/>
      <c r="E34" s="398"/>
      <c r="F34" s="398"/>
      <c r="G34" s="398"/>
      <c r="H34" s="398"/>
      <c r="I34" s="404"/>
      <c r="J34" s="263">
        <f t="shared" si="1"/>
        <v>24</v>
      </c>
    </row>
    <row r="35" spans="1:10" ht="15.75" x14ac:dyDescent="0.25">
      <c r="A35" s="262">
        <f t="shared" si="0"/>
        <v>25</v>
      </c>
      <c r="B35" s="11" t="s">
        <v>134</v>
      </c>
      <c r="C35" s="44">
        <f>C13*C$28</f>
        <v>-476003.89473078848</v>
      </c>
      <c r="D35" s="44">
        <f t="shared" ref="D35:H35" si="4">D13*D$28</f>
        <v>-461497.21612030774</v>
      </c>
      <c r="E35" s="44">
        <f t="shared" si="4"/>
        <v>-459601.67253804393</v>
      </c>
      <c r="F35" s="44">
        <f t="shared" si="4"/>
        <v>-456009.99234513112</v>
      </c>
      <c r="G35" s="44">
        <f t="shared" si="4"/>
        <v>-454853.85481156752</v>
      </c>
      <c r="H35" s="44">
        <f t="shared" si="4"/>
        <v>-476176.69074614026</v>
      </c>
      <c r="I35" s="26" t="s">
        <v>147</v>
      </c>
      <c r="J35" s="263">
        <f t="shared" si="1"/>
        <v>25</v>
      </c>
    </row>
    <row r="36" spans="1:10" ht="15.75" x14ac:dyDescent="0.25">
      <c r="A36" s="262">
        <f t="shared" si="0"/>
        <v>26</v>
      </c>
      <c r="B36" s="385"/>
      <c r="C36" s="393"/>
      <c r="D36" s="393"/>
      <c r="E36" s="393"/>
      <c r="F36" s="393"/>
      <c r="G36" s="393"/>
      <c r="H36" s="393"/>
      <c r="I36" s="26"/>
      <c r="J36" s="263">
        <f t="shared" si="1"/>
        <v>26</v>
      </c>
    </row>
    <row r="37" spans="1:10" ht="15.75" x14ac:dyDescent="0.25">
      <c r="A37" s="262">
        <f t="shared" si="0"/>
        <v>27</v>
      </c>
      <c r="B37" s="17" t="s">
        <v>99</v>
      </c>
      <c r="C37" s="44">
        <f>C15*C$28</f>
        <v>-1840421.0234025894</v>
      </c>
      <c r="D37" s="44">
        <f t="shared" ref="D37:H37" si="5">D15*D$28</f>
        <v>-1748151.7675483916</v>
      </c>
      <c r="E37" s="44">
        <f t="shared" si="5"/>
        <v>-1751153.7462152315</v>
      </c>
      <c r="F37" s="44">
        <f t="shared" si="5"/>
        <v>-1760345.3321526675</v>
      </c>
      <c r="G37" s="44">
        <f t="shared" si="5"/>
        <v>-1776046.3671383641</v>
      </c>
      <c r="H37" s="44">
        <f t="shared" si="5"/>
        <v>-1862833.0042725801</v>
      </c>
      <c r="I37" s="26" t="s">
        <v>148</v>
      </c>
      <c r="J37" s="263">
        <f t="shared" si="1"/>
        <v>27</v>
      </c>
    </row>
    <row r="38" spans="1:10" ht="15.75" x14ac:dyDescent="0.25">
      <c r="A38" s="262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263">
        <f t="shared" si="1"/>
        <v>28</v>
      </c>
    </row>
    <row r="39" spans="1:10" ht="15.75" x14ac:dyDescent="0.25">
      <c r="A39" s="262">
        <f t="shared" si="0"/>
        <v>29</v>
      </c>
      <c r="B39" s="11" t="s">
        <v>102</v>
      </c>
      <c r="C39" s="44">
        <f>C17*C$28</f>
        <v>-3323.6064960204121</v>
      </c>
      <c r="D39" s="44">
        <f t="shared" ref="D39:H39" si="6">D17*D$28</f>
        <v>-3703.4244707826838</v>
      </c>
      <c r="E39" s="44">
        <f t="shared" si="6"/>
        <v>-3217.5742139559206</v>
      </c>
      <c r="F39" s="44">
        <f t="shared" si="6"/>
        <v>-3332.0479401704274</v>
      </c>
      <c r="G39" s="44">
        <f t="shared" si="6"/>
        <v>-4720.4590075887463</v>
      </c>
      <c r="H39" s="44">
        <f t="shared" si="6"/>
        <v>-5687.6131737857249</v>
      </c>
      <c r="I39" s="26" t="s">
        <v>149</v>
      </c>
      <c r="J39" s="263">
        <f t="shared" si="1"/>
        <v>29</v>
      </c>
    </row>
    <row r="40" spans="1:10" ht="15.75" x14ac:dyDescent="0.25">
      <c r="A40" s="262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263">
        <f t="shared" si="1"/>
        <v>30</v>
      </c>
    </row>
    <row r="41" spans="1:10" ht="15.75" x14ac:dyDescent="0.25">
      <c r="A41" s="262">
        <f t="shared" si="0"/>
        <v>31</v>
      </c>
      <c r="B41" s="11" t="s">
        <v>105</v>
      </c>
      <c r="C41" s="44">
        <f>C19*C$28</f>
        <v>-41401.560626656137</v>
      </c>
      <c r="D41" s="44">
        <f t="shared" ref="D41:H41" si="7">D19*D$28</f>
        <v>-44789.493300040929</v>
      </c>
      <c r="E41" s="44">
        <f t="shared" si="7"/>
        <v>-40226.374229166759</v>
      </c>
      <c r="F41" s="44">
        <f t="shared" si="7"/>
        <v>-42357.443667245847</v>
      </c>
      <c r="G41" s="44">
        <f t="shared" si="7"/>
        <v>-49151.079735518739</v>
      </c>
      <c r="H41" s="44">
        <f t="shared" si="7"/>
        <v>-50477.845696575445</v>
      </c>
      <c r="I41" s="26" t="s">
        <v>150</v>
      </c>
      <c r="J41" s="263">
        <f t="shared" si="1"/>
        <v>31</v>
      </c>
    </row>
    <row r="42" spans="1:10" ht="15.75" x14ac:dyDescent="0.25">
      <c r="A42" s="262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263">
        <f t="shared" si="1"/>
        <v>32</v>
      </c>
    </row>
    <row r="43" spans="1:10" ht="15.75" x14ac:dyDescent="0.25">
      <c r="A43" s="262">
        <f t="shared" si="0"/>
        <v>33</v>
      </c>
      <c r="B43" s="11" t="s">
        <v>139</v>
      </c>
      <c r="C43" s="51">
        <f>C21*C$28</f>
        <v>-16671.468878469619</v>
      </c>
      <c r="D43" s="51">
        <f t="shared" ref="D43:H43" si="8">D21*D$28</f>
        <v>-16552.217987851658</v>
      </c>
      <c r="E43" s="51">
        <f t="shared" si="8"/>
        <v>-16217.500165966334</v>
      </c>
      <c r="F43" s="51">
        <f t="shared" si="8"/>
        <v>-15962.953935044196</v>
      </c>
      <c r="G43" s="51">
        <f t="shared" si="8"/>
        <v>-15834.421536218299</v>
      </c>
      <c r="H43" s="51">
        <f t="shared" si="8"/>
        <v>-15964.017969606253</v>
      </c>
      <c r="I43" s="26" t="s">
        <v>151</v>
      </c>
      <c r="J43" s="263">
        <f t="shared" si="1"/>
        <v>33</v>
      </c>
    </row>
    <row r="44" spans="1:10" ht="15.75" x14ac:dyDescent="0.25">
      <c r="A44" s="262">
        <f t="shared" si="0"/>
        <v>34</v>
      </c>
      <c r="B44" s="11"/>
      <c r="C44" s="141"/>
      <c r="D44" s="141"/>
      <c r="E44" s="141"/>
      <c r="F44" s="141"/>
      <c r="G44" s="141"/>
      <c r="H44" s="141"/>
      <c r="I44" s="26"/>
      <c r="J44" s="263">
        <f t="shared" si="1"/>
        <v>34</v>
      </c>
    </row>
    <row r="45" spans="1:10" ht="16.5" thickBot="1" x14ac:dyDescent="0.3">
      <c r="A45" s="262">
        <f t="shared" si="0"/>
        <v>35</v>
      </c>
      <c r="B45" s="11" t="s">
        <v>124</v>
      </c>
      <c r="C45" s="512">
        <f>SUM(C33:C43)</f>
        <v>-3930177.932374747</v>
      </c>
      <c r="D45" s="512">
        <f t="shared" ref="D45:H45" si="9">SUM(D33:D43)</f>
        <v>-3537517.7944797836</v>
      </c>
      <c r="E45" s="512">
        <f t="shared" si="9"/>
        <v>-3391657.2038540631</v>
      </c>
      <c r="F45" s="512">
        <f t="shared" si="9"/>
        <v>-3174642.6495510945</v>
      </c>
      <c r="G45" s="512">
        <f t="shared" si="9"/>
        <v>-3139273.2496712804</v>
      </c>
      <c r="H45" s="512">
        <f t="shared" si="9"/>
        <v>-3316158.1066230624</v>
      </c>
      <c r="I45" s="405" t="s">
        <v>152</v>
      </c>
      <c r="J45" s="263">
        <f t="shared" si="1"/>
        <v>35</v>
      </c>
    </row>
    <row r="46" spans="1:10" ht="17.25" thickTop="1" thickBot="1" x14ac:dyDescent="0.3">
      <c r="A46" s="300"/>
      <c r="B46" s="81"/>
      <c r="C46" s="825"/>
      <c r="D46" s="58"/>
      <c r="E46" s="58"/>
      <c r="F46" s="58"/>
      <c r="G46" s="58"/>
      <c r="H46" s="58"/>
      <c r="I46" s="58"/>
      <c r="J46" s="406"/>
    </row>
    <row r="47" spans="1:10" ht="15.75" x14ac:dyDescent="0.25">
      <c r="A47" s="37"/>
      <c r="B47" s="390"/>
      <c r="C47" s="22"/>
      <c r="D47" s="22"/>
      <c r="E47" s="22"/>
      <c r="F47" s="22"/>
      <c r="G47" s="22"/>
      <c r="H47" s="22"/>
      <c r="I47" s="22"/>
      <c r="J47" s="22"/>
    </row>
    <row r="48" spans="1:10" ht="18.75" x14ac:dyDescent="0.25">
      <c r="A48" s="69"/>
      <c r="B48" s="22"/>
      <c r="C48" s="22"/>
      <c r="D48" s="22"/>
      <c r="E48" s="22"/>
      <c r="F48" s="22"/>
      <c r="G48" s="22"/>
      <c r="H48" s="22"/>
      <c r="I48" s="22"/>
      <c r="J48" s="22"/>
    </row>
    <row r="49" spans="1:10" ht="15.75" x14ac:dyDescent="0.25">
      <c r="A49" s="826"/>
      <c r="B49" s="22"/>
      <c r="C49" s="22"/>
      <c r="D49" s="22"/>
      <c r="E49" s="22"/>
      <c r="F49" s="22"/>
      <c r="G49" s="22"/>
      <c r="H49" s="22"/>
      <c r="I49" s="22"/>
      <c r="J49" s="22"/>
    </row>
    <row r="50" spans="1:10" ht="15.75" x14ac:dyDescent="0.25">
      <c r="A50" s="826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15.75" x14ac:dyDescent="0.25">
      <c r="A51" s="37"/>
      <c r="B51" s="22"/>
      <c r="C51" s="22"/>
      <c r="D51" s="22"/>
      <c r="E51" s="22"/>
      <c r="F51" s="22"/>
      <c r="G51" s="22"/>
      <c r="H51" s="22"/>
      <c r="I51" s="22"/>
      <c r="J51" s="22"/>
    </row>
    <row r="52" spans="1:10" ht="15.75" x14ac:dyDescent="0.2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75" x14ac:dyDescent="0.2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75" x14ac:dyDescent="0.2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75" x14ac:dyDescent="0.2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75" x14ac:dyDescent="0.2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75" x14ac:dyDescent="0.2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75" x14ac:dyDescent="0.2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75" x14ac:dyDescent="0.2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75" x14ac:dyDescent="0.2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75" x14ac:dyDescent="0.2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75" x14ac:dyDescent="0.2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75" x14ac:dyDescent="0.2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75" x14ac:dyDescent="0.2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75" x14ac:dyDescent="0.2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75" x14ac:dyDescent="0.2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75" x14ac:dyDescent="0.2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75" x14ac:dyDescent="0.2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75" x14ac:dyDescent="0.2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75" x14ac:dyDescent="0.2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75" x14ac:dyDescent="0.2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75" x14ac:dyDescent="0.2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75" x14ac:dyDescent="0.2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75" x14ac:dyDescent="0.2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75" x14ac:dyDescent="0.2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75" x14ac:dyDescent="0.2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75" x14ac:dyDescent="0.2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75" x14ac:dyDescent="0.2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">
      <c r="A79" s="826"/>
    </row>
    <row r="80" spans="1:10" x14ac:dyDescent="0.2">
      <c r="A80" s="826"/>
    </row>
    <row r="81" spans="1:1" x14ac:dyDescent="0.2">
      <c r="A81" s="826"/>
    </row>
    <row r="82" spans="1:1" x14ac:dyDescent="0.2">
      <c r="A82" s="826"/>
    </row>
    <row r="83" spans="1:1" x14ac:dyDescent="0.2">
      <c r="A83" s="826"/>
    </row>
    <row r="84" spans="1:1" x14ac:dyDescent="0.2">
      <c r="A84" s="826"/>
    </row>
    <row r="85" spans="1:1" x14ac:dyDescent="0.2">
      <c r="A85" s="826"/>
    </row>
    <row r="86" spans="1:1" x14ac:dyDescent="0.2">
      <c r="A86" s="826"/>
    </row>
    <row r="87" spans="1:1" x14ac:dyDescent="0.2">
      <c r="A87" s="826"/>
    </row>
    <row r="88" spans="1:1" x14ac:dyDescent="0.2">
      <c r="A88" s="826"/>
    </row>
    <row r="89" spans="1:1" x14ac:dyDescent="0.2">
      <c r="A89" s="826"/>
    </row>
    <row r="90" spans="1:1" x14ac:dyDescent="0.2">
      <c r="A90" s="826"/>
    </row>
    <row r="91" spans="1:1" x14ac:dyDescent="0.2">
      <c r="A91" s="826"/>
    </row>
    <row r="92" spans="1:1" x14ac:dyDescent="0.2">
      <c r="A92" s="826"/>
    </row>
    <row r="93" spans="1:1" x14ac:dyDescent="0.2">
      <c r="A93" s="826"/>
    </row>
    <row r="94" spans="1:1" x14ac:dyDescent="0.2">
      <c r="A94" s="826"/>
    </row>
    <row r="95" spans="1:1" x14ac:dyDescent="0.2">
      <c r="A95" s="826"/>
    </row>
    <row r="96" spans="1:1" x14ac:dyDescent="0.2">
      <c r="A96" s="826"/>
    </row>
    <row r="97" spans="1:1" x14ac:dyDescent="0.2">
      <c r="A97" s="826"/>
    </row>
    <row r="98" spans="1:1" x14ac:dyDescent="0.2">
      <c r="A98" s="826"/>
    </row>
    <row r="99" spans="1:1" x14ac:dyDescent="0.2">
      <c r="A99" s="826"/>
    </row>
    <row r="100" spans="1:1" x14ac:dyDescent="0.2">
      <c r="A100" s="826"/>
    </row>
    <row r="101" spans="1:1" x14ac:dyDescent="0.2">
      <c r="A101" s="826"/>
    </row>
    <row r="102" spans="1:1" x14ac:dyDescent="0.2">
      <c r="A102" s="826"/>
    </row>
    <row r="103" spans="1:1" x14ac:dyDescent="0.2">
      <c r="A103" s="826"/>
    </row>
    <row r="104" spans="1:1" x14ac:dyDescent="0.2">
      <c r="A104" s="826"/>
    </row>
    <row r="105" spans="1:1" x14ac:dyDescent="0.2">
      <c r="A105" s="826"/>
    </row>
    <row r="106" spans="1:1" x14ac:dyDescent="0.2">
      <c r="A106" s="826"/>
    </row>
    <row r="107" spans="1:1" x14ac:dyDescent="0.2">
      <c r="A107" s="826"/>
    </row>
    <row r="108" spans="1:1" x14ac:dyDescent="0.2">
      <c r="A108" s="826"/>
    </row>
    <row r="109" spans="1:1" x14ac:dyDescent="0.2">
      <c r="A109" s="826"/>
    </row>
    <row r="110" spans="1:1" x14ac:dyDescent="0.2">
      <c r="A110" s="826"/>
    </row>
    <row r="111" spans="1:1" x14ac:dyDescent="0.2">
      <c r="A111" s="826"/>
    </row>
    <row r="112" spans="1:1" x14ac:dyDescent="0.2">
      <c r="A112" s="826"/>
    </row>
    <row r="113" spans="1:1" x14ac:dyDescent="0.2">
      <c r="A113" s="826"/>
    </row>
    <row r="114" spans="1:1" x14ac:dyDescent="0.2">
      <c r="A114" s="826"/>
    </row>
    <row r="115" spans="1:1" x14ac:dyDescent="0.2">
      <c r="A115" s="826"/>
    </row>
    <row r="116" spans="1:1" x14ac:dyDescent="0.2">
      <c r="A116" s="826"/>
    </row>
    <row r="117" spans="1:1" x14ac:dyDescent="0.2">
      <c r="A117" s="826"/>
    </row>
    <row r="118" spans="1:1" x14ac:dyDescent="0.2">
      <c r="A118" s="826"/>
    </row>
    <row r="119" spans="1:1" x14ac:dyDescent="0.2">
      <c r="A119" s="826"/>
    </row>
    <row r="120" spans="1:1" x14ac:dyDescent="0.2">
      <c r="A120" s="826"/>
    </row>
    <row r="121" spans="1:1" x14ac:dyDescent="0.2">
      <c r="A121" s="826"/>
    </row>
    <row r="122" spans="1:1" x14ac:dyDescent="0.2">
      <c r="A122" s="826"/>
    </row>
  </sheetData>
  <mergeCells count="1">
    <mergeCell ref="A4:J4"/>
  </mergeCells>
  <printOptions horizontalCentered="1"/>
  <pageMargins left="0.25" right="0.25" top="0.5" bottom="0.5" header="0.25" footer="0.25"/>
  <pageSetup scale="71" orientation="landscape" r:id="rId1"/>
  <headerFooter scaleWithDoc="0" alignWithMargins="0">
    <oddFooter>&amp;L&amp;"Times New Roman,Regular"&amp;F&amp;C&amp;"Times New Roman,Regular"Page 3 of 4&amp;R&amp;"Times New Roman,Regular"&amp;A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122"/>
  <sheetViews>
    <sheetView zoomScale="80" zoomScaleNormal="80" workbookViewId="0"/>
  </sheetViews>
  <sheetFormatPr defaultColWidth="9.28515625" defaultRowHeight="12.75" x14ac:dyDescent="0.2"/>
  <cols>
    <col min="1" max="1" width="5.5703125" style="242" customWidth="1"/>
    <col min="2" max="2" width="45.5703125" style="242" customWidth="1"/>
    <col min="3" max="8" width="15.5703125" style="242" customWidth="1"/>
    <col min="9" max="9" width="18.5703125" style="242" customWidth="1"/>
    <col min="10" max="10" width="40.5703125" style="242" customWidth="1"/>
    <col min="11" max="11" width="5.5703125" style="242" customWidth="1"/>
    <col min="12" max="16384" width="9.28515625" style="242"/>
  </cols>
  <sheetData>
    <row r="2" spans="1:11" ht="15.75" x14ac:dyDescent="0.2">
      <c r="A2" s="5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 x14ac:dyDescent="0.2">
      <c r="A3" s="5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75" x14ac:dyDescent="0.2">
      <c r="A4" s="5" t="str">
        <f>'Stmt BG - Page 1'!A4</f>
        <v>Transmission Revenue Balancing Account Adjustment (TRBAA) Revenues Data to Reflect Changed Rates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75" x14ac:dyDescent="0.2">
      <c r="A5" s="418" t="str">
        <f>'Stmt BG - Page 1'!A6</f>
        <v>Rate Effective Period - Twelve Months Ending December 31, 2025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.5" thickBot="1" x14ac:dyDescent="0.3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.75" x14ac:dyDescent="0.25">
      <c r="A7" s="75"/>
      <c r="B7" s="75"/>
      <c r="C7" s="571" t="s">
        <v>153</v>
      </c>
      <c r="D7" s="571" t="s">
        <v>154</v>
      </c>
      <c r="E7" s="571" t="s">
        <v>155</v>
      </c>
      <c r="F7" s="571" t="s">
        <v>156</v>
      </c>
      <c r="G7" s="571" t="s">
        <v>157</v>
      </c>
      <c r="H7" s="571" t="s">
        <v>158</v>
      </c>
      <c r="I7" s="571" t="s">
        <v>159</v>
      </c>
      <c r="J7" s="571" t="s">
        <v>160</v>
      </c>
      <c r="K7" s="75"/>
    </row>
    <row r="8" spans="1:11" ht="15.75" x14ac:dyDescent="0.25">
      <c r="A8" s="75" t="s">
        <v>8</v>
      </c>
      <c r="B8" s="75"/>
      <c r="C8" s="572">
        <f>'Stmt BG - Page 2'!C26</f>
        <v>45839</v>
      </c>
      <c r="D8" s="572">
        <f>'Stmt BG - Page 2'!D26</f>
        <v>45870</v>
      </c>
      <c r="E8" s="572">
        <f>'Stmt BG - Page 2'!E26</f>
        <v>45901</v>
      </c>
      <c r="F8" s="572">
        <f>'Stmt BG - Page 2'!F26</f>
        <v>45931</v>
      </c>
      <c r="G8" s="572">
        <f>'Stmt BG - Page 2'!G26</f>
        <v>45962</v>
      </c>
      <c r="H8" s="572">
        <f>'Stmt BG - Page 2'!H26</f>
        <v>45992</v>
      </c>
      <c r="I8" s="572" t="s">
        <v>18</v>
      </c>
      <c r="J8" s="566"/>
      <c r="K8" s="75" t="s">
        <v>8</v>
      </c>
    </row>
    <row r="9" spans="1:11" ht="16.5" thickBot="1" x14ac:dyDescent="0.3">
      <c r="A9" s="153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132</v>
      </c>
      <c r="J9" s="153" t="s">
        <v>16</v>
      </c>
      <c r="K9" s="153" t="s">
        <v>11</v>
      </c>
    </row>
    <row r="10" spans="1:11" ht="15.75" x14ac:dyDescent="0.2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75" x14ac:dyDescent="0.25">
      <c r="A11" s="10">
        <v>1</v>
      </c>
      <c r="B11" s="11" t="s">
        <v>93</v>
      </c>
      <c r="C11" s="31">
        <f>'WP 1.2 Forecast Sales'!I6*1000</f>
        <v>457969477.31707972</v>
      </c>
      <c r="D11" s="31">
        <f>'WP 1.2 Forecast Sales'!J6*1000</f>
        <v>631672008.70622778</v>
      </c>
      <c r="E11" s="31">
        <f>'WP 1.2 Forecast Sales'!K6*1000</f>
        <v>730948075.68545246</v>
      </c>
      <c r="F11" s="31">
        <f>'WP 1.2 Forecast Sales'!L6*1000</f>
        <v>531521922.81533152</v>
      </c>
      <c r="G11" s="31">
        <f>'WP 1.2 Forecast Sales'!M6*1000</f>
        <v>450339927.71392423</v>
      </c>
      <c r="H11" s="31">
        <f>'WP 1.2 Forecast Sales'!N6*1000</f>
        <v>572324671.75000429</v>
      </c>
      <c r="I11" s="31">
        <f>SUM('Stmt BG - Page 3'!C11:H11)+SUM('Stmt BG - Page 4'!C11:H11)</f>
        <v>6059160276.4376383</v>
      </c>
      <c r="J11" s="399" t="s">
        <v>133</v>
      </c>
      <c r="K11" s="10">
        <v>1</v>
      </c>
    </row>
    <row r="12" spans="1:11" ht="15.75" x14ac:dyDescent="0.25">
      <c r="A12" s="10">
        <f>A11+1</f>
        <v>2</v>
      </c>
      <c r="B12" s="11"/>
      <c r="C12" s="398"/>
      <c r="D12" s="398"/>
      <c r="E12" s="398"/>
      <c r="F12" s="398"/>
      <c r="G12" s="398"/>
      <c r="H12" s="398"/>
      <c r="I12" s="398"/>
      <c r="J12" s="404"/>
      <c r="K12" s="10">
        <f>K11+1</f>
        <v>2</v>
      </c>
    </row>
    <row r="13" spans="1:11" ht="15.75" x14ac:dyDescent="0.25">
      <c r="A13" s="10">
        <f t="shared" ref="A13:A45" si="0">A12+1</f>
        <v>3</v>
      </c>
      <c r="B13" s="11" t="s">
        <v>134</v>
      </c>
      <c r="C13" s="31">
        <f>'WP 1.2 Forecast Sales'!I7*1000</f>
        <v>217705905.33345446</v>
      </c>
      <c r="D13" s="31">
        <f>'WP 1.2 Forecast Sales'!J7*1000</f>
        <v>229919024.856437</v>
      </c>
      <c r="E13" s="31">
        <f>'WP 1.2 Forecast Sales'!K7*1000</f>
        <v>241455993.41200775</v>
      </c>
      <c r="F13" s="31">
        <f>'WP 1.2 Forecast Sales'!L7*1000</f>
        <v>214159409.97047323</v>
      </c>
      <c r="G13" s="31">
        <f>'WP 1.2 Forecast Sales'!M7*1000</f>
        <v>197828256.87204242</v>
      </c>
      <c r="H13" s="31">
        <f>'WP 1.2 Forecast Sales'!N7*1000</f>
        <v>190835621.55890608</v>
      </c>
      <c r="I13" s="31">
        <f>SUM('Stmt BG - Page 3'!C13:H13)+SUM('Stmt BG - Page 4'!C13:H13)</f>
        <v>2428289241.102088</v>
      </c>
      <c r="J13" s="399" t="s">
        <v>135</v>
      </c>
      <c r="K13" s="10">
        <f t="shared" ref="K13:K45" si="1">K12+1</f>
        <v>3</v>
      </c>
    </row>
    <row r="14" spans="1:11" ht="15.75" x14ac:dyDescent="0.25">
      <c r="A14" s="10">
        <f t="shared" si="0"/>
        <v>4</v>
      </c>
      <c r="B14" s="385"/>
      <c r="C14" s="393"/>
      <c r="D14" s="393"/>
      <c r="E14" s="393"/>
      <c r="F14" s="393"/>
      <c r="G14" s="393"/>
      <c r="H14" s="393"/>
      <c r="I14" s="31"/>
      <c r="J14" s="407"/>
      <c r="K14" s="10">
        <f t="shared" si="1"/>
        <v>4</v>
      </c>
    </row>
    <row r="15" spans="1:11" ht="15.75" x14ac:dyDescent="0.25">
      <c r="A15" s="10">
        <f t="shared" si="0"/>
        <v>5</v>
      </c>
      <c r="B15" s="17" t="s">
        <v>99</v>
      </c>
      <c r="C15" s="31">
        <f>'WP 1.2 Forecast Sales'!I8*1000</f>
        <v>838846181.36289918</v>
      </c>
      <c r="D15" s="31">
        <f>'WP 1.2 Forecast Sales'!J8*1000</f>
        <v>875481607.36812794</v>
      </c>
      <c r="E15" s="31">
        <f>'WP 1.2 Forecast Sales'!K8*1000</f>
        <v>915168821.98981917</v>
      </c>
      <c r="F15" s="31">
        <f>'WP 1.2 Forecast Sales'!L8*1000</f>
        <v>830726294.65735018</v>
      </c>
      <c r="G15" s="31">
        <f>'WP 1.2 Forecast Sales'!M8*1000</f>
        <v>757391548.70867193</v>
      </c>
      <c r="H15" s="31">
        <f>'WP 1.2 Forecast Sales'!N8*1000</f>
        <v>759868650.98507214</v>
      </c>
      <c r="I15" s="31">
        <f>SUM('Stmt BG - Page 3'!C15:H15)+SUM('Stmt BG - Page 4'!C15:H15)</f>
        <v>9360728509.4514618</v>
      </c>
      <c r="J15" s="399" t="s">
        <v>136</v>
      </c>
      <c r="K15" s="10">
        <f t="shared" si="1"/>
        <v>5</v>
      </c>
    </row>
    <row r="16" spans="1:11" ht="15.75" x14ac:dyDescent="0.2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34"/>
      <c r="K16" s="10">
        <f t="shared" si="1"/>
        <v>6</v>
      </c>
    </row>
    <row r="17" spans="1:11" ht="15.75" x14ac:dyDescent="0.25">
      <c r="A17" s="10">
        <f t="shared" si="0"/>
        <v>7</v>
      </c>
      <c r="B17" s="11" t="s">
        <v>102</v>
      </c>
      <c r="C17" s="31">
        <f>'WP 1.2 Forecast Sales'!I10*1000</f>
        <v>2676412.3907148708</v>
      </c>
      <c r="D17" s="31">
        <f>'WP 1.2 Forecast Sales'!J10*1000</f>
        <v>2910383.5419004532</v>
      </c>
      <c r="E17" s="31">
        <f>'WP 1.2 Forecast Sales'!K10*1000</f>
        <v>2905089.7591926311</v>
      </c>
      <c r="F17" s="31">
        <f>'WP 1.2 Forecast Sales'!L10*1000</f>
        <v>2641582.8727467377</v>
      </c>
      <c r="G17" s="31">
        <f>'WP 1.2 Forecast Sales'!M10*1000</f>
        <v>2301898.6884789839</v>
      </c>
      <c r="H17" s="31">
        <f>'WP 1.2 Forecast Sales'!N10*1000</f>
        <v>2082510.0615704914</v>
      </c>
      <c r="I17" s="31">
        <f>SUM('Stmt BG - Page 3'!C17:H17)+SUM('Stmt BG - Page 4'!C17:H17)</f>
        <v>25307561.11146291</v>
      </c>
      <c r="J17" s="399" t="s">
        <v>137</v>
      </c>
      <c r="K17" s="10">
        <f t="shared" si="1"/>
        <v>7</v>
      </c>
    </row>
    <row r="18" spans="1:11" ht="15.75" x14ac:dyDescent="0.2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34"/>
      <c r="K18" s="10">
        <f t="shared" si="1"/>
        <v>8</v>
      </c>
    </row>
    <row r="19" spans="1:11" ht="15.75" x14ac:dyDescent="0.25">
      <c r="A19" s="10">
        <f t="shared" si="0"/>
        <v>9</v>
      </c>
      <c r="B19" s="11" t="s">
        <v>105</v>
      </c>
      <c r="C19" s="31">
        <f>'WP 1.2 Forecast Sales'!I11*1000</f>
        <v>23004135.715861753</v>
      </c>
      <c r="D19" s="31">
        <f>'WP 1.2 Forecast Sales'!J11*1000</f>
        <v>22863150.521633886</v>
      </c>
      <c r="E19" s="31">
        <f>'WP 1.2 Forecast Sales'!K11*1000</f>
        <v>21957609.857486788</v>
      </c>
      <c r="F19" s="31">
        <f>'WP 1.2 Forecast Sales'!L11*1000</f>
        <v>21563167.661901116</v>
      </c>
      <c r="G19" s="31">
        <f>'WP 1.2 Forecast Sales'!M11*1000</f>
        <v>18985959.067639023</v>
      </c>
      <c r="H19" s="31">
        <f>'WP 1.2 Forecast Sales'!N11*1000</f>
        <v>18145457.05354834</v>
      </c>
      <c r="I19" s="31">
        <f>SUM('Stmt BG - Page 3'!C19:H19)+SUM('Stmt BG - Page 4'!C19:H19)</f>
        <v>236072050.18631738</v>
      </c>
      <c r="J19" s="399" t="s">
        <v>138</v>
      </c>
      <c r="K19" s="10">
        <f t="shared" si="1"/>
        <v>9</v>
      </c>
    </row>
    <row r="20" spans="1:11" ht="15.75" x14ac:dyDescent="0.2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34"/>
      <c r="K20" s="10">
        <f t="shared" si="1"/>
        <v>10</v>
      </c>
    </row>
    <row r="21" spans="1:11" ht="15.75" x14ac:dyDescent="0.25">
      <c r="A21" s="10">
        <f t="shared" si="0"/>
        <v>11</v>
      </c>
      <c r="B21" s="11" t="s">
        <v>139</v>
      </c>
      <c r="C21" s="38">
        <f>'WP 1.2 Forecast Sales'!I12*1000</f>
        <v>6492050.2848719275</v>
      </c>
      <c r="D21" s="38">
        <f>'WP 1.2 Forecast Sales'!J12*1000</f>
        <v>6710608.6798682185</v>
      </c>
      <c r="E21" s="38">
        <f>'WP 1.2 Forecast Sales'!K12*1000</f>
        <v>6515194.0268120952</v>
      </c>
      <c r="F21" s="38">
        <f>'WP 1.2 Forecast Sales'!L12*1000</f>
        <v>6563322.3021757882</v>
      </c>
      <c r="G21" s="38">
        <f>'WP 1.2 Forecast Sales'!M12*1000</f>
        <v>6961959.9399219016</v>
      </c>
      <c r="H21" s="38">
        <f>'WP 1.2 Forecast Sales'!N12*1000</f>
        <v>7325918.825583267</v>
      </c>
      <c r="I21" s="38">
        <f>SUM('Stmt BG - Page 3'!C21:H21)+SUM('Stmt BG - Page 4'!C21:H21)</f>
        <v>80243576.701337829</v>
      </c>
      <c r="J21" s="399" t="s">
        <v>140</v>
      </c>
      <c r="K21" s="10">
        <f t="shared" si="1"/>
        <v>11</v>
      </c>
    </row>
    <row r="22" spans="1:11" ht="15.75" x14ac:dyDescent="0.2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404"/>
      <c r="K22" s="10">
        <f t="shared" si="1"/>
        <v>12</v>
      </c>
    </row>
    <row r="23" spans="1:11" ht="16.5" thickBot="1" x14ac:dyDescent="0.3">
      <c r="A23" s="10">
        <f t="shared" si="0"/>
        <v>13</v>
      </c>
      <c r="B23" s="11" t="s">
        <v>161</v>
      </c>
      <c r="C23" s="474">
        <f>SUM(C11:C21)</f>
        <v>1546694162.404882</v>
      </c>
      <c r="D23" s="474">
        <f t="shared" ref="D23:I23" si="2">SUM(D11:D21)</f>
        <v>1769556783.6741953</v>
      </c>
      <c r="E23" s="474">
        <f t="shared" si="2"/>
        <v>1918950784.7307708</v>
      </c>
      <c r="F23" s="474">
        <f t="shared" si="2"/>
        <v>1607175700.2799785</v>
      </c>
      <c r="G23" s="474">
        <f t="shared" si="2"/>
        <v>1433809550.9906785</v>
      </c>
      <c r="H23" s="474">
        <f t="shared" si="2"/>
        <v>1550582830.2346845</v>
      </c>
      <c r="I23" s="474">
        <f t="shared" si="2"/>
        <v>18189801214.990307</v>
      </c>
      <c r="J23" s="399" t="s">
        <v>141</v>
      </c>
      <c r="K23" s="10">
        <f t="shared" si="1"/>
        <v>13</v>
      </c>
    </row>
    <row r="24" spans="1:11" ht="17.25" thickTop="1" thickBot="1" x14ac:dyDescent="0.3">
      <c r="A24" s="57">
        <f t="shared" si="0"/>
        <v>14</v>
      </c>
      <c r="B24" s="419"/>
      <c r="C24" s="825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75" x14ac:dyDescent="0.25">
      <c r="A25" s="10">
        <f t="shared" si="0"/>
        <v>15</v>
      </c>
      <c r="B25" s="420"/>
      <c r="C25" s="408"/>
      <c r="D25" s="408"/>
      <c r="E25" s="408"/>
      <c r="F25" s="408"/>
      <c r="G25" s="408"/>
      <c r="H25" s="408"/>
      <c r="I25" s="408"/>
      <c r="J25" s="408"/>
      <c r="K25" s="10">
        <f t="shared" si="1"/>
        <v>15</v>
      </c>
    </row>
    <row r="26" spans="1:11" ht="16.5" thickBot="1" x14ac:dyDescent="0.3">
      <c r="A26" s="57">
        <f>A25+1</f>
        <v>16</v>
      </c>
      <c r="B26" s="419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57"/>
      <c r="K26" s="57">
        <f>K25+1</f>
        <v>16</v>
      </c>
    </row>
    <row r="27" spans="1:11" ht="15.75" x14ac:dyDescent="0.25">
      <c r="A27" s="10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10"/>
      <c r="K27" s="10">
        <f t="shared" si="1"/>
        <v>17</v>
      </c>
    </row>
    <row r="28" spans="1:11" ht="15.75" x14ac:dyDescent="0.25">
      <c r="A28" s="10">
        <f t="shared" si="0"/>
        <v>18</v>
      </c>
      <c r="B28" s="11" t="str">
        <f>'Stmt BG - Page 3'!B28</f>
        <v>Retail TRBAA Rate ($/kWh) @ Changed Rate</v>
      </c>
      <c r="C28" s="384">
        <f>'Stmt BG - Page 3'!C28</f>
        <v>-2.4499999999999999E-3</v>
      </c>
      <c r="D28" s="384">
        <f>$C28</f>
        <v>-2.4499999999999999E-3</v>
      </c>
      <c r="E28" s="384">
        <f>$C28</f>
        <v>-2.4499999999999999E-3</v>
      </c>
      <c r="F28" s="384">
        <f>$C28</f>
        <v>-2.4499999999999999E-3</v>
      </c>
      <c r="G28" s="384">
        <f>$C28</f>
        <v>-2.4499999999999999E-3</v>
      </c>
      <c r="H28" s="384">
        <f>$C28</f>
        <v>-2.4499999999999999E-3</v>
      </c>
      <c r="I28" s="31"/>
      <c r="J28" s="402" t="str">
        <f>'Stmt BG - Page 3'!I28</f>
        <v>Statement BL (Retail); Page 1; Line 27</v>
      </c>
      <c r="K28" s="10">
        <f t="shared" si="1"/>
        <v>18</v>
      </c>
    </row>
    <row r="29" spans="1:11" ht="16.5" thickBot="1" x14ac:dyDescent="0.3">
      <c r="A29" s="57">
        <f>A28+1</f>
        <v>19</v>
      </c>
      <c r="B29" s="419"/>
      <c r="C29" s="58"/>
      <c r="D29" s="58"/>
      <c r="E29" s="58"/>
      <c r="F29" s="58"/>
      <c r="G29" s="58"/>
      <c r="H29" s="58"/>
      <c r="I29" s="58"/>
      <c r="J29" s="58"/>
      <c r="K29" s="57">
        <f>K28+1</f>
        <v>19</v>
      </c>
    </row>
    <row r="30" spans="1:11" ht="15.75" x14ac:dyDescent="0.2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7"/>
      <c r="K30" s="10">
        <f t="shared" si="1"/>
        <v>20</v>
      </c>
    </row>
    <row r="31" spans="1:11" ht="34.5" customHeight="1" thickBot="1" x14ac:dyDescent="0.3">
      <c r="A31" s="57">
        <f t="shared" si="0"/>
        <v>21</v>
      </c>
      <c r="B31" s="419"/>
      <c r="C31" s="403" t="s">
        <v>145</v>
      </c>
      <c r="D31" s="403" t="s">
        <v>145</v>
      </c>
      <c r="E31" s="403" t="s">
        <v>145</v>
      </c>
      <c r="F31" s="403" t="s">
        <v>145</v>
      </c>
      <c r="G31" s="403" t="s">
        <v>145</v>
      </c>
      <c r="H31" s="403" t="s">
        <v>145</v>
      </c>
      <c r="I31" s="403" t="s">
        <v>145</v>
      </c>
      <c r="J31" s="57"/>
      <c r="K31" s="57">
        <f t="shared" si="1"/>
        <v>21</v>
      </c>
    </row>
    <row r="32" spans="1:11" ht="15.75" x14ac:dyDescent="0.2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1"/>
        <v>22</v>
      </c>
    </row>
    <row r="33" spans="1:11" ht="15.75" x14ac:dyDescent="0.25">
      <c r="A33" s="10">
        <f t="shared" si="0"/>
        <v>23</v>
      </c>
      <c r="B33" s="11" t="s">
        <v>93</v>
      </c>
      <c r="C33" s="141">
        <f>C11*C$28</f>
        <v>-1122025.2194268452</v>
      </c>
      <c r="D33" s="141">
        <f t="shared" ref="D33:H33" si="3">D11*D$28</f>
        <v>-1547596.421330258</v>
      </c>
      <c r="E33" s="141">
        <f t="shared" si="3"/>
        <v>-1790822.7854293585</v>
      </c>
      <c r="F33" s="141">
        <f t="shared" si="3"/>
        <v>-1302228.7108975621</v>
      </c>
      <c r="G33" s="141">
        <f t="shared" si="3"/>
        <v>-1103332.8228991143</v>
      </c>
      <c r="H33" s="141">
        <f t="shared" si="3"/>
        <v>-1402195.4457875104</v>
      </c>
      <c r="I33" s="141">
        <f>SUM('Stmt BG - Page 3'!C33:H33)+SUM('Stmt BG - Page 4'!C33:H33)</f>
        <v>-14844942.677272212</v>
      </c>
      <c r="J33" s="26" t="s">
        <v>146</v>
      </c>
      <c r="K33" s="10">
        <f t="shared" si="1"/>
        <v>23</v>
      </c>
    </row>
    <row r="34" spans="1:11" ht="15.75" x14ac:dyDescent="0.25">
      <c r="A34" s="10">
        <f t="shared" si="0"/>
        <v>24</v>
      </c>
      <c r="B34" s="11"/>
      <c r="C34" s="398"/>
      <c r="D34" s="398"/>
      <c r="E34" s="398"/>
      <c r="F34" s="398"/>
      <c r="G34" s="398"/>
      <c r="H34" s="398"/>
      <c r="I34" s="398"/>
      <c r="J34" s="404"/>
      <c r="K34" s="10">
        <f t="shared" si="1"/>
        <v>24</v>
      </c>
    </row>
    <row r="35" spans="1:11" ht="15.75" x14ac:dyDescent="0.25">
      <c r="A35" s="10">
        <f t="shared" si="0"/>
        <v>25</v>
      </c>
      <c r="B35" s="11" t="s">
        <v>134</v>
      </c>
      <c r="C35" s="44">
        <f>C13*C$28</f>
        <v>-533379.46806696337</v>
      </c>
      <c r="D35" s="44">
        <f t="shared" ref="D35:H35" si="4">D13*D$28</f>
        <v>-563301.61089827062</v>
      </c>
      <c r="E35" s="44">
        <f t="shared" si="4"/>
        <v>-591567.18385941896</v>
      </c>
      <c r="F35" s="44">
        <f t="shared" si="4"/>
        <v>-524690.55442765937</v>
      </c>
      <c r="G35" s="44">
        <f t="shared" si="4"/>
        <v>-484679.22933650389</v>
      </c>
      <c r="H35" s="44">
        <f t="shared" si="4"/>
        <v>-467547.27281931986</v>
      </c>
      <c r="I35" s="44">
        <f>SUM('Stmt BG - Page 3'!C35:H35)+SUM('Stmt BG - Page 4'!C35:H35)</f>
        <v>-5949308.6407001149</v>
      </c>
      <c r="J35" s="26" t="s">
        <v>147</v>
      </c>
      <c r="K35" s="10">
        <f t="shared" si="1"/>
        <v>25</v>
      </c>
    </row>
    <row r="36" spans="1:11" ht="15.75" x14ac:dyDescent="0.25">
      <c r="A36" s="10">
        <f t="shared" si="0"/>
        <v>26</v>
      </c>
      <c r="B36" s="385"/>
      <c r="C36" s="393"/>
      <c r="D36" s="393"/>
      <c r="E36" s="393"/>
      <c r="F36" s="393"/>
      <c r="G36" s="393"/>
      <c r="H36" s="393"/>
      <c r="I36" s="44"/>
      <c r="J36" s="26"/>
      <c r="K36" s="10">
        <f t="shared" si="1"/>
        <v>26</v>
      </c>
    </row>
    <row r="37" spans="1:11" ht="15.75" x14ac:dyDescent="0.25">
      <c r="A37" s="10">
        <f t="shared" si="0"/>
        <v>27</v>
      </c>
      <c r="B37" s="17" t="s">
        <v>99</v>
      </c>
      <c r="C37" s="44">
        <f>C15*C$28</f>
        <v>-2055173.144339103</v>
      </c>
      <c r="D37" s="44">
        <f t="shared" ref="D37:H37" si="5">D15*D$28</f>
        <v>-2144929.9380519134</v>
      </c>
      <c r="E37" s="44">
        <f t="shared" si="5"/>
        <v>-2242163.6138750571</v>
      </c>
      <c r="F37" s="44">
        <f t="shared" si="5"/>
        <v>-2035279.4219105078</v>
      </c>
      <c r="G37" s="44">
        <f t="shared" si="5"/>
        <v>-1855609.2943362461</v>
      </c>
      <c r="H37" s="44">
        <f t="shared" si="5"/>
        <v>-1861678.1949134266</v>
      </c>
      <c r="I37" s="44">
        <f>SUM('Stmt BG - Page 3'!C37:H37)+SUM('Stmt BG - Page 4'!C37:H37)</f>
        <v>-22933784.84815608</v>
      </c>
      <c r="J37" s="26" t="s">
        <v>148</v>
      </c>
      <c r="K37" s="10">
        <f t="shared" si="1"/>
        <v>27</v>
      </c>
    </row>
    <row r="38" spans="1:11" ht="15.75" x14ac:dyDescent="0.2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1"/>
        <v>28</v>
      </c>
    </row>
    <row r="39" spans="1:11" ht="15.75" x14ac:dyDescent="0.25">
      <c r="A39" s="10">
        <f t="shared" si="0"/>
        <v>29</v>
      </c>
      <c r="B39" s="11" t="s">
        <v>102</v>
      </c>
      <c r="C39" s="44">
        <f>C17*C$28</f>
        <v>-6557.2103572514334</v>
      </c>
      <c r="D39" s="44">
        <f t="shared" ref="D39:H39" si="6">D17*D$28</f>
        <v>-7130.4396776561098</v>
      </c>
      <c r="E39" s="44">
        <f t="shared" si="6"/>
        <v>-7117.4699100219459</v>
      </c>
      <c r="F39" s="44">
        <f t="shared" si="6"/>
        <v>-6471.8780382295072</v>
      </c>
      <c r="G39" s="44">
        <f t="shared" si="6"/>
        <v>-5639.6517867735101</v>
      </c>
      <c r="H39" s="44">
        <f t="shared" si="6"/>
        <v>-5102.1496508477039</v>
      </c>
      <c r="I39" s="44">
        <f>SUM('Stmt BG - Page 3'!C39:H39)+SUM('Stmt BG - Page 4'!C39:H39)</f>
        <v>-62003.52472308412</v>
      </c>
      <c r="J39" s="26" t="s">
        <v>149</v>
      </c>
      <c r="K39" s="10">
        <f t="shared" si="1"/>
        <v>29</v>
      </c>
    </row>
    <row r="40" spans="1:11" ht="15.75" x14ac:dyDescent="0.2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1"/>
        <v>30</v>
      </c>
    </row>
    <row r="41" spans="1:11" ht="15.75" x14ac:dyDescent="0.25">
      <c r="A41" s="10">
        <f t="shared" si="0"/>
        <v>31</v>
      </c>
      <c r="B41" s="11" t="s">
        <v>105</v>
      </c>
      <c r="C41" s="44">
        <f>C19*C$28</f>
        <v>-56360.132503861292</v>
      </c>
      <c r="D41" s="44">
        <f t="shared" ref="D41:H41" si="7">D19*D$28</f>
        <v>-56014.718778003022</v>
      </c>
      <c r="E41" s="44">
        <f t="shared" si="7"/>
        <v>-53796.144150842629</v>
      </c>
      <c r="F41" s="44">
        <f t="shared" si="7"/>
        <v>-52829.760771657733</v>
      </c>
      <c r="G41" s="44">
        <f t="shared" si="7"/>
        <v>-46515.599715715602</v>
      </c>
      <c r="H41" s="44">
        <f t="shared" si="7"/>
        <v>-44456.369781193433</v>
      </c>
      <c r="I41" s="44">
        <f>SUM('Stmt BG - Page 3'!C41:H41)+SUM('Stmt BG - Page 4'!C41:H41)</f>
        <v>-578376.52295647748</v>
      </c>
      <c r="J41" s="26" t="s">
        <v>150</v>
      </c>
      <c r="K41" s="10">
        <f t="shared" si="1"/>
        <v>31</v>
      </c>
    </row>
    <row r="42" spans="1:11" ht="15.75" x14ac:dyDescent="0.2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1"/>
        <v>32</v>
      </c>
    </row>
    <row r="43" spans="1:11" ht="15.75" x14ac:dyDescent="0.25">
      <c r="A43" s="10">
        <f t="shared" si="0"/>
        <v>33</v>
      </c>
      <c r="B43" s="11" t="s">
        <v>139</v>
      </c>
      <c r="C43" s="51">
        <f>C21*C$28</f>
        <v>-15905.523197936222</v>
      </c>
      <c r="D43" s="51">
        <f t="shared" ref="D43:H43" si="8">D21*D$28</f>
        <v>-16440.991265677134</v>
      </c>
      <c r="E43" s="51">
        <f t="shared" si="8"/>
        <v>-15962.225365689632</v>
      </c>
      <c r="F43" s="51">
        <f t="shared" si="8"/>
        <v>-16080.139640330681</v>
      </c>
      <c r="G43" s="51">
        <f t="shared" si="8"/>
        <v>-17056.801852808658</v>
      </c>
      <c r="H43" s="51">
        <f t="shared" si="8"/>
        <v>-17948.501122679005</v>
      </c>
      <c r="I43" s="44">
        <f>SUM('Stmt BG - Page 3'!C43:H43)+SUM('Stmt BG - Page 4'!C43:H43)</f>
        <v>-196596.7629182777</v>
      </c>
      <c r="J43" s="26" t="s">
        <v>151</v>
      </c>
      <c r="K43" s="10">
        <f t="shared" si="1"/>
        <v>33</v>
      </c>
    </row>
    <row r="44" spans="1:11" ht="15.75" x14ac:dyDescent="0.25">
      <c r="A44" s="10">
        <f t="shared" si="0"/>
        <v>34</v>
      </c>
      <c r="B44" s="11"/>
      <c r="C44" s="475"/>
      <c r="D44" s="475"/>
      <c r="E44" s="475"/>
      <c r="F44" s="475"/>
      <c r="G44" s="475"/>
      <c r="H44" s="475"/>
      <c r="I44" s="475"/>
      <c r="J44" s="26"/>
      <c r="K44" s="10">
        <f t="shared" si="1"/>
        <v>34</v>
      </c>
    </row>
    <row r="45" spans="1:11" ht="15.75" x14ac:dyDescent="0.25">
      <c r="A45" s="10">
        <f t="shared" si="0"/>
        <v>35</v>
      </c>
      <c r="B45" s="11" t="s">
        <v>161</v>
      </c>
      <c r="C45" s="513">
        <f>SUM(C33:C43)</f>
        <v>-3789400.6978919609</v>
      </c>
      <c r="D45" s="513">
        <f t="shared" ref="D45:I45" si="9">SUM(D33:D43)</f>
        <v>-4335414.120001778</v>
      </c>
      <c r="E45" s="513">
        <f t="shared" si="9"/>
        <v>-4701429.4225903898</v>
      </c>
      <c r="F45" s="513">
        <f t="shared" si="9"/>
        <v>-3937580.4656859473</v>
      </c>
      <c r="G45" s="513">
        <f t="shared" si="9"/>
        <v>-3512833.3999271626</v>
      </c>
      <c r="H45" s="513">
        <f t="shared" si="9"/>
        <v>-3798927.9340749769</v>
      </c>
      <c r="I45" s="513">
        <f t="shared" si="9"/>
        <v>-44565012.976726241</v>
      </c>
      <c r="J45" s="405" t="s">
        <v>152</v>
      </c>
      <c r="K45" s="10">
        <f t="shared" si="1"/>
        <v>35</v>
      </c>
    </row>
    <row r="46" spans="1:11" ht="16.5" thickBot="1" x14ac:dyDescent="0.3">
      <c r="A46" s="57"/>
      <c r="B46" s="57"/>
      <c r="C46" s="825"/>
      <c r="D46" s="58"/>
      <c r="E46" s="58"/>
      <c r="F46" s="58"/>
      <c r="G46" s="58"/>
      <c r="H46" s="58"/>
      <c r="I46" s="58"/>
      <c r="J46" s="58"/>
      <c r="K46" s="57"/>
    </row>
    <row r="47" spans="1:11" ht="15.75" x14ac:dyDescent="0.25">
      <c r="A47" s="37"/>
      <c r="B47" s="390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75" x14ac:dyDescent="0.25">
      <c r="A48" s="69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5.75" x14ac:dyDescent="0.25">
      <c r="A49" s="826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5.75" x14ac:dyDescent="0.25">
      <c r="A50" s="826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5.75" x14ac:dyDescent="0.25">
      <c r="A51" s="37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5.75" x14ac:dyDescent="0.2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75" x14ac:dyDescent="0.2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75" x14ac:dyDescent="0.2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75" x14ac:dyDescent="0.2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75" x14ac:dyDescent="0.2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75" x14ac:dyDescent="0.2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75" x14ac:dyDescent="0.2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75" x14ac:dyDescent="0.2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75" x14ac:dyDescent="0.2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75" x14ac:dyDescent="0.2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75" x14ac:dyDescent="0.2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75" x14ac:dyDescent="0.2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75" x14ac:dyDescent="0.2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75" x14ac:dyDescent="0.2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75" x14ac:dyDescent="0.2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75" x14ac:dyDescent="0.2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75" x14ac:dyDescent="0.2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75" x14ac:dyDescent="0.2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75" x14ac:dyDescent="0.2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75" x14ac:dyDescent="0.2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75" x14ac:dyDescent="0.2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75" x14ac:dyDescent="0.2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75" x14ac:dyDescent="0.2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75" x14ac:dyDescent="0.2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75" x14ac:dyDescent="0.2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75" x14ac:dyDescent="0.2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75" x14ac:dyDescent="0.2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75" x14ac:dyDescent="0.2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75" x14ac:dyDescent="0.2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75" x14ac:dyDescent="0.2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75" x14ac:dyDescent="0.2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75" x14ac:dyDescent="0.2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75" x14ac:dyDescent="0.2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75" x14ac:dyDescent="0.2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75" x14ac:dyDescent="0.2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75" x14ac:dyDescent="0.2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75" x14ac:dyDescent="0.2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75" x14ac:dyDescent="0.2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75" x14ac:dyDescent="0.2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75" x14ac:dyDescent="0.2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75" x14ac:dyDescent="0.2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75" x14ac:dyDescent="0.2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75" x14ac:dyDescent="0.2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75" x14ac:dyDescent="0.2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75" x14ac:dyDescent="0.2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75" x14ac:dyDescent="0.2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75" x14ac:dyDescent="0.2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75" x14ac:dyDescent="0.2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75" x14ac:dyDescent="0.2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75" x14ac:dyDescent="0.2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75" x14ac:dyDescent="0.2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75" x14ac:dyDescent="0.2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75" x14ac:dyDescent="0.2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75" x14ac:dyDescent="0.2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75" x14ac:dyDescent="0.2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75" x14ac:dyDescent="0.2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75" x14ac:dyDescent="0.2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75" x14ac:dyDescent="0.2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75" x14ac:dyDescent="0.2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75" x14ac:dyDescent="0.2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">
      <c r="A112" s="826"/>
    </row>
    <row r="113" spans="1:1" x14ac:dyDescent="0.2">
      <c r="A113" s="826"/>
    </row>
    <row r="114" spans="1:1" x14ac:dyDescent="0.2">
      <c r="A114" s="826"/>
    </row>
    <row r="115" spans="1:1" x14ac:dyDescent="0.2">
      <c r="A115" s="826"/>
    </row>
    <row r="116" spans="1:1" x14ac:dyDescent="0.2">
      <c r="A116" s="826"/>
    </row>
    <row r="117" spans="1:1" x14ac:dyDescent="0.2">
      <c r="A117" s="826"/>
    </row>
    <row r="118" spans="1:1" x14ac:dyDescent="0.2">
      <c r="A118" s="826"/>
    </row>
    <row r="119" spans="1:1" x14ac:dyDescent="0.2">
      <c r="A119" s="826"/>
    </row>
    <row r="120" spans="1:1" x14ac:dyDescent="0.2">
      <c r="A120" s="826"/>
    </row>
    <row r="121" spans="1:1" x14ac:dyDescent="0.2">
      <c r="A121" s="826"/>
    </row>
    <row r="122" spans="1:1" x14ac:dyDescent="0.2">
      <c r="A122" s="826"/>
    </row>
  </sheetData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Roman,Regular"&amp;12&amp;F&amp;C&amp;"Times New Roman,Regular"&amp;12Page 4 of 4&amp;R&amp;"Times New Roman,Regular"&amp;12&amp;A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AF033832634A47ACBF5D0BC7D2D682" ma:contentTypeVersion="9" ma:contentTypeDescription="Create a new document." ma:contentTypeScope="" ma:versionID="8a9456939c326a8a5424d6c96046d55e">
  <xsd:schema xmlns:xsd="http://www.w3.org/2001/XMLSchema" xmlns:xs="http://www.w3.org/2001/XMLSchema" xmlns:p="http://schemas.microsoft.com/office/2006/metadata/properties" xmlns:ns2="6fc4548d-ff52-42f9-a254-3bffe5157158" xmlns:ns3="d3533485-01ac-4c85-a144-d07c02817ce0" targetNamespace="http://schemas.microsoft.com/office/2006/metadata/properties" ma:root="true" ma:fieldsID="5b5a555ea9c8a33db3630162d45a898b" ns2:_="" ns3:_="">
    <xsd:import namespace="6fc4548d-ff52-42f9-a254-3bffe5157158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4548d-ff52-42f9-a254-3bffe5157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c4548d-ff52-42f9-a254-3bffe5157158">
      <Terms xmlns="http://schemas.microsoft.com/office/infopath/2007/PartnerControls"/>
    </lcf76f155ced4ddcb4097134ff3c332f>
    <TaxCatchAll xmlns="d3533485-01ac-4c85-a144-d07c02817ce0" xsi:nil="true"/>
  </documentManagement>
</p:properties>
</file>

<file path=customXml/itemProps1.xml><?xml version="1.0" encoding="utf-8"?>
<ds:datastoreItem xmlns:ds="http://schemas.openxmlformats.org/officeDocument/2006/customXml" ds:itemID="{19D883E1-D7F1-4B52-B5CA-7803708D1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6078CD-FC3B-4F36-A1E2-1C5273CC9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4548d-ff52-42f9-a254-3bffe5157158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297B1-FE97-4212-A05A-D269667DDA0A}">
  <ds:schemaRefs>
    <ds:schemaRef ds:uri="d3533485-01ac-4c85-a144-d07c02817ce0"/>
    <ds:schemaRef ds:uri="http://www.w3.org/XML/1998/namespace"/>
    <ds:schemaRef ds:uri="http://purl.org/dc/terms/"/>
    <ds:schemaRef ds:uri="6fc4548d-ff52-42f9-a254-3bffe5157158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14</vt:i4>
      </vt:variant>
    </vt:vector>
  </HeadingPairs>
  <TitlesOfParts>
    <vt:vector size="44" baseType="lpstr">
      <vt:lpstr>Stmnt BD - Recorded KWH</vt:lpstr>
      <vt:lpstr>Stmnt BD - Forecast KWH</vt:lpstr>
      <vt:lpstr>Stmnt BD-Forecast MWH@Transm.</vt:lpstr>
      <vt:lpstr>Stmt BD-Forecast Pump Storage</vt:lpstr>
      <vt:lpstr>Stmt BD-Pump Load True Up Adj</vt:lpstr>
      <vt:lpstr>Stmt BG - Page 1</vt:lpstr>
      <vt:lpstr>Stmt BG - Page 2</vt:lpstr>
      <vt:lpstr>Stmt BG - Page 3</vt:lpstr>
      <vt:lpstr>Stmt BG - Page 4</vt:lpstr>
      <vt:lpstr>Stmt BH - Page 1</vt:lpstr>
      <vt:lpstr>Stmt BH - Page 2</vt:lpstr>
      <vt:lpstr>Stmt BH - Page 3</vt:lpstr>
      <vt:lpstr>Stmnt BK1 - TRBAA</vt:lpstr>
      <vt:lpstr>Stmnt BK2 - TRBAA</vt:lpstr>
      <vt:lpstr>Stmnt BL (Retail) - TRBAA</vt:lpstr>
      <vt:lpstr>Stmnt BL - CAISO WHOLESALE</vt:lpstr>
      <vt:lpstr>WP 1.1 Recorded Sales</vt:lpstr>
      <vt:lpstr>WP 1.2 Forecast Sales</vt:lpstr>
      <vt:lpstr>WP 2 Allocation of TRBAA</vt:lpstr>
      <vt:lpstr>WP 3 Standby Revenues</vt:lpstr>
      <vt:lpstr>WP 4 Monthly TRBAA </vt:lpstr>
      <vt:lpstr>WP 4 Footnotes</vt:lpstr>
      <vt:lpstr>WP 5 CAISO Charges</vt:lpstr>
      <vt:lpstr>WP 6 HV LV Alloc Summary</vt:lpstr>
      <vt:lpstr>WP 7 Wheeling Revenues</vt:lpstr>
      <vt:lpstr>WP 8 CT4575</vt:lpstr>
      <vt:lpstr>WP 9 ETC Cost Diffs</vt:lpstr>
      <vt:lpstr>WP 10 ETC Costs</vt:lpstr>
      <vt:lpstr>WP 11 Other PTO Forecast</vt:lpstr>
      <vt:lpstr>WP 12 PTO</vt:lpstr>
      <vt:lpstr>'Stmt BG - Page 2'!Print_Area</vt:lpstr>
      <vt:lpstr>'Stmt BH - Page 1'!Print_Area</vt:lpstr>
      <vt:lpstr>'Stmt BH - Page 2'!Print_Area</vt:lpstr>
      <vt:lpstr>'Stmt BH - Page 3'!Print_Area</vt:lpstr>
      <vt:lpstr>'WP 1.1 Recorded Sales'!Print_Area</vt:lpstr>
      <vt:lpstr>'WP 1.2 Forecast Sales'!Print_Area</vt:lpstr>
      <vt:lpstr>'WP 10 ETC Costs'!Print_Area</vt:lpstr>
      <vt:lpstr>'WP 3 Standby Revenues'!Print_Area</vt:lpstr>
      <vt:lpstr>'WP 4 Monthly TRBAA '!Print_Area</vt:lpstr>
      <vt:lpstr>'WP 5 CAISO Charges'!Print_Area</vt:lpstr>
      <vt:lpstr>'WP 6 HV LV Alloc Summary'!Print_Area</vt:lpstr>
      <vt:lpstr>'WP 10 ETC Costs'!Print_Titles</vt:lpstr>
      <vt:lpstr>'WP 4 Monthly TRBAA '!Print_Titles</vt:lpstr>
      <vt:lpstr>'WP 5 CAISO Charges'!Print_Titles</vt:lpstr>
    </vt:vector>
  </TitlesOfParts>
  <Manager/>
  <Company>Southern California Edison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 Configuration</dc:creator>
  <cp:keywords/>
  <dc:description/>
  <cp:lastModifiedBy>Pham, Jenny L.</cp:lastModifiedBy>
  <cp:revision/>
  <cp:lastPrinted>2024-10-15T02:19:10Z</cp:lastPrinted>
  <dcterms:created xsi:type="dcterms:W3CDTF">2001-12-04T15:42:58Z</dcterms:created>
  <dcterms:modified xsi:type="dcterms:W3CDTF">2024-10-22T20:26:03Z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 TRBAA Filing.xlsx</vt:lpwstr>
  </property>
  <property fmtid="{D5CDD505-2E9C-101B-9397-08002B2CF9AE}" pid="3" name="LINKTEK-ID-FILE">
    <vt:lpwstr>0198-58FE-34DB-7A1C</vt:lpwstr>
  </property>
  <property fmtid="{D5CDD505-2E9C-101B-9397-08002B2CF9AE}" pid="4" name="LINKTEK-ID-LINK=1">
    <vt:lpwstr>0199-2CFC-E4E6-C374|/2018/TO5-Cycle 1 Formula Rate Filing/B Statements/BD/TO5 C1 Statement BD.xlsx</vt:lpwstr>
  </property>
  <property fmtid="{D5CDD505-2E9C-101B-9397-08002B2CF9AE}" pid="5" name="LINKTEK-ID-LINK=2">
    <vt:lpwstr>011A-09EA-FF42-DCE9|2019 TRBAA Workpapers.xlsx</vt:lpwstr>
  </property>
  <property fmtid="{D5CDD505-2E9C-101B-9397-08002B2CF9AE}" pid="6" name="ContentTypeId">
    <vt:lpwstr>0x01010020AF033832634A47ACBF5D0BC7D2D682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MediaServiceImageTags">
    <vt:lpwstr/>
  </property>
</Properties>
</file>