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3/TRBAA, TACBAA, RSBA Filings in 2023 for 2024/TRBAA/Filing Workpapers/Filing Workpapers/"/>
    </mc:Choice>
  </mc:AlternateContent>
  <xr:revisionPtr revIDLastSave="53" documentId="8_{9EB7902D-8494-4683-8F6D-F3049687539B}" xr6:coauthVersionLast="47" xr6:coauthVersionMax="47" xr10:uidLastSave="{A40C938F-B33E-4A8D-AD3D-596FC475ED74}"/>
  <bookViews>
    <workbookView xWindow="28680" yWindow="3660" windowWidth="20730" windowHeight="11160" tabRatio="914" xr2:uid="{00000000-000D-0000-FFFF-FFFF00000000}"/>
  </bookViews>
  <sheets>
    <sheet name="Stmnt BD - Recorded KWH" sheetId="24" r:id="rId1"/>
    <sheet name="Stmnt BD - Forecast KWH" sheetId="51" r:id="rId2"/>
    <sheet name="Stmnt BD-Forecast MWH@Transm." sheetId="35" r:id="rId3"/>
    <sheet name="Stmt BD-Forecast Pump Storage" sheetId="138" r:id="rId4"/>
    <sheet name="Stmt BD-Pump Load True Up Adj" sheetId="146" r:id="rId5"/>
    <sheet name="Stmt BG - Page 1" sheetId="114" r:id="rId6"/>
    <sheet name="Stmt BG - Page 2" sheetId="139" r:id="rId7"/>
    <sheet name="Stmt BG - Page 3" sheetId="116" r:id="rId8"/>
    <sheet name="Stmt BG - Page 4" sheetId="117" r:id="rId9"/>
    <sheet name="Stmt BH - Page 1" sheetId="140" r:id="rId10"/>
    <sheet name="Stmt BH - Page 2" sheetId="119" r:id="rId11"/>
    <sheet name="Stmt BH - Page 3" sheetId="120" r:id="rId12"/>
    <sheet name="Stmnt BK1 - TRBAA" sheetId="46" r:id="rId13"/>
    <sheet name="Stmnt BK2 - TRBAA" sheetId="32" r:id="rId14"/>
    <sheet name="Stmnt BL (Retail) - TRBAA" sheetId="47" r:id="rId15"/>
    <sheet name="Stmnt BL - CAISO WHOLESALE" sheetId="22" r:id="rId16"/>
    <sheet name="WP 1.1 Recorded Sales" sheetId="96" r:id="rId17"/>
    <sheet name="WP 1.2 Forecast Sales" sheetId="97" r:id="rId18"/>
    <sheet name="WP 2 Allocation of TRBAA" sheetId="17" r:id="rId19"/>
    <sheet name="WP 3 Standby Revenues" sheetId="147" r:id="rId20"/>
    <sheet name="WP 4 Monthly TRBAA " sheetId="111" r:id="rId21"/>
    <sheet name="WP 4 Footnotes" sheetId="89" r:id="rId22"/>
    <sheet name="WP 5 CAISO Charges" sheetId="56" r:id="rId23"/>
    <sheet name="WP 6 HV LV Alloc Summary" sheetId="143" r:id="rId24"/>
    <sheet name="WP 7 Wheeling Revenues" sheetId="79" r:id="rId25"/>
    <sheet name="WP 8 CT4575" sheetId="113" r:id="rId26"/>
    <sheet name="WP 9 ETC Cost Diffs" sheetId="144" r:id="rId27"/>
    <sheet name="WP 10 ETC Costs" sheetId="141" r:id="rId28"/>
    <sheet name="WP 11 Other PTO Forecast" sheetId="107" r:id="rId29"/>
    <sheet name="WP 12 PTO" sheetId="108" r:id="rId30"/>
  </sheets>
  <externalReferences>
    <externalReference r:id="rId31"/>
  </externalReferences>
  <definedNames>
    <definedName name="_Fill" localSheetId="4" hidden="1">[1]Statement_BK!#REF!</definedName>
    <definedName name="_Fill" localSheetId="28" hidden="1">[1]Statement_BK!#REF!</definedName>
    <definedName name="_Fill" localSheetId="29" hidden="1">[1]Statement_BK!#REF!</definedName>
    <definedName name="_Fill" localSheetId="20" hidden="1">[1]Statement_BK!#REF!</definedName>
    <definedName name="_Fill" localSheetId="25" hidden="1">[1]Statement_BK!#REF!</definedName>
    <definedName name="_Fill" hidden="1">[1]Statement_BK!#REF!</definedName>
    <definedName name="_xlnm.Print_Area" localSheetId="6">'Stmt BG - Page 2'!$A$1:$J$45</definedName>
    <definedName name="_xlnm.Print_Area" localSheetId="9">'Stmt BH - Page 1'!$A$1:$J$45</definedName>
    <definedName name="_xlnm.Print_Area" localSheetId="10">'Stmt BH - Page 2'!$A$1:$J$46</definedName>
    <definedName name="_xlnm.Print_Area" localSheetId="11">'Stmt BH - Page 3'!$A$1:$K$46</definedName>
    <definedName name="_xlnm.Print_Area" localSheetId="16">'WP 1.1 Recorded Sales'!$A$1:$P$49</definedName>
    <definedName name="_xlnm.Print_Area" localSheetId="17">'WP 1.2 Forecast Sales'!$A$1:$P$49</definedName>
    <definedName name="_xlnm.Print_Area" localSheetId="27">'WP 10 ETC Costs'!$D$3:$Q$54</definedName>
    <definedName name="_xlnm.Print_Area" localSheetId="29">'WP 12 PTO'!$A$1:$Q$31</definedName>
    <definedName name="_xlnm.Print_Area" localSheetId="19">'WP 3 Standby Revenues'!$A$1:$G$20</definedName>
    <definedName name="_xlnm.Print_Area" localSheetId="20">'WP 4 Monthly TRBAA '!$A$1:$Q$44</definedName>
    <definedName name="_xlnm.Print_Area" localSheetId="22">'WP 5 CAISO Charges'!$A$1:$Q$20</definedName>
    <definedName name="_xlnm.Print_Area" localSheetId="23">'WP 6 HV LV Alloc Summary'!$A$1:$G$50</definedName>
    <definedName name="_xlnm.Print_Titles" localSheetId="27">'WP 10 ETC Costs'!$A:$C</definedName>
    <definedName name="_xlnm.Print_Titles" localSheetId="20">'WP 4 Monthly TRBAA '!$A:$B</definedName>
    <definedName name="_xlnm.Print_Titles" localSheetId="22">'WP 5 CAISO Charges'!$A:$B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47" l="1"/>
  <c r="C30" i="47"/>
  <c r="C28" i="47"/>
  <c r="C26" i="47"/>
  <c r="C30" i="46"/>
  <c r="C28" i="46"/>
  <c r="C26" i="46"/>
  <c r="N34" i="111"/>
  <c r="A40" i="141"/>
  <c r="L23" i="141"/>
  <c r="O24" i="141"/>
  <c r="O23" i="141"/>
  <c r="O22" i="141"/>
  <c r="O21" i="141"/>
  <c r="O5" i="141"/>
  <c r="P6" i="141"/>
  <c r="A6" i="141"/>
  <c r="A7" i="141" s="1"/>
  <c r="H22" i="141"/>
  <c r="N47" i="141"/>
  <c r="M47" i="141"/>
  <c r="L47" i="141"/>
  <c r="K47" i="141"/>
  <c r="J47" i="141"/>
  <c r="I47" i="141"/>
  <c r="H47" i="141"/>
  <c r="G47" i="141"/>
  <c r="F47" i="141"/>
  <c r="E47" i="141"/>
  <c r="D47" i="141"/>
  <c r="N21" i="141"/>
  <c r="M21" i="141"/>
  <c r="L21" i="141"/>
  <c r="K21" i="141"/>
  <c r="J21" i="141"/>
  <c r="I21" i="141"/>
  <c r="H21" i="141"/>
  <c r="G21" i="141"/>
  <c r="F21" i="141"/>
  <c r="E21" i="141"/>
  <c r="D21" i="141"/>
  <c r="H5" i="141"/>
  <c r="P13" i="141" l="1"/>
  <c r="Q6" i="108" l="1"/>
  <c r="Q7" i="108"/>
  <c r="Q8" i="108"/>
  <c r="Q9" i="108"/>
  <c r="Q10" i="108"/>
  <c r="Q11" i="108"/>
  <c r="Q12" i="108"/>
  <c r="Q13" i="108"/>
  <c r="Q14" i="108"/>
  <c r="Q15" i="108"/>
  <c r="Q16" i="108"/>
  <c r="Q17" i="108"/>
  <c r="Q5" i="108"/>
  <c r="P15" i="108"/>
  <c r="P13" i="108"/>
  <c r="P11" i="108"/>
  <c r="P9" i="108"/>
  <c r="P7" i="108"/>
  <c r="P5" i="108"/>
  <c r="G43" i="111"/>
  <c r="F43" i="111"/>
  <c r="F42" i="111"/>
  <c r="C43" i="111"/>
  <c r="C42" i="111"/>
  <c r="E5" i="111"/>
  <c r="D5" i="111"/>
  <c r="P30" i="108" l="1"/>
  <c r="P29" i="108"/>
  <c r="K49" i="141" l="1"/>
  <c r="J16" i="56" s="1"/>
  <c r="P22" i="141"/>
  <c r="N49" i="141"/>
  <c r="M16" i="56" s="1"/>
  <c r="M49" i="141"/>
  <c r="L16" i="56" s="1"/>
  <c r="L49" i="141"/>
  <c r="F49" i="141"/>
  <c r="E16" i="56" s="1"/>
  <c r="P34" i="96"/>
  <c r="P35" i="96" s="1"/>
  <c r="D34" i="96"/>
  <c r="E34" i="96"/>
  <c r="F34" i="96"/>
  <c r="G34" i="96"/>
  <c r="H34" i="96"/>
  <c r="I34" i="96"/>
  <c r="J34" i="96"/>
  <c r="K34" i="96"/>
  <c r="L34" i="96"/>
  <c r="M34" i="96"/>
  <c r="N34" i="96"/>
  <c r="C34" i="96"/>
  <c r="A34" i="96"/>
  <c r="A35" i="96"/>
  <c r="O9" i="96"/>
  <c r="O10" i="96"/>
  <c r="P23" i="141"/>
  <c r="E49" i="141"/>
  <c r="D16" i="56" s="1"/>
  <c r="D19" i="111" s="1"/>
  <c r="E53" i="141" s="1"/>
  <c r="G49" i="141"/>
  <c r="F16" i="56" s="1"/>
  <c r="L10" i="56"/>
  <c r="L17" i="111" s="1"/>
  <c r="O49" i="141"/>
  <c r="N16" i="56" s="1"/>
  <c r="D56" i="111"/>
  <c r="E56" i="111"/>
  <c r="F56" i="111"/>
  <c r="C56" i="111"/>
  <c r="G11" i="111"/>
  <c r="E3" i="141"/>
  <c r="E3" i="108" s="1"/>
  <c r="F3" i="141"/>
  <c r="F3" i="108" s="1"/>
  <c r="G3" i="141"/>
  <c r="G3" i="108" s="1"/>
  <c r="H3" i="141"/>
  <c r="H3" i="108" s="1"/>
  <c r="I3" i="141"/>
  <c r="I3" i="108" s="1"/>
  <c r="J3" i="141"/>
  <c r="J3" i="108" s="1"/>
  <c r="K3" i="141"/>
  <c r="K3" i="108" s="1"/>
  <c r="L3" i="141"/>
  <c r="L3" i="108" s="1"/>
  <c r="M3" i="141"/>
  <c r="M3" i="108" s="1"/>
  <c r="N3" i="141"/>
  <c r="N3" i="108" s="1"/>
  <c r="O3" i="141"/>
  <c r="O3" i="108" s="1"/>
  <c r="D3" i="141"/>
  <c r="D3" i="108" s="1"/>
  <c r="P24" i="141"/>
  <c r="A8" i="141"/>
  <c r="L5" i="111"/>
  <c r="L56" i="111" s="1"/>
  <c r="M5" i="111"/>
  <c r="M56" i="111" s="1"/>
  <c r="H5" i="111"/>
  <c r="H56" i="111" s="1"/>
  <c r="F5" i="111"/>
  <c r="G5" i="111" s="1"/>
  <c r="G56" i="111" s="1"/>
  <c r="B28" i="47"/>
  <c r="D10" i="114"/>
  <c r="D34" i="97"/>
  <c r="E34" i="97"/>
  <c r="F34" i="97"/>
  <c r="G34" i="97"/>
  <c r="H34" i="97"/>
  <c r="I34" i="97"/>
  <c r="J34" i="97"/>
  <c r="K34" i="97"/>
  <c r="L34" i="97"/>
  <c r="M34" i="97"/>
  <c r="N34" i="97"/>
  <c r="C34" i="97"/>
  <c r="O34" i="97" s="1"/>
  <c r="P34" i="97"/>
  <c r="P35" i="97"/>
  <c r="A34" i="97"/>
  <c r="A35" i="97"/>
  <c r="O9" i="97"/>
  <c r="C14" i="97"/>
  <c r="D14" i="97"/>
  <c r="C14" i="35" s="1"/>
  <c r="E14" i="35" s="1"/>
  <c r="F14" i="35" s="1"/>
  <c r="E14" i="97"/>
  <c r="C15" i="35" s="1"/>
  <c r="E15" i="35" s="1"/>
  <c r="F15" i="35" s="1"/>
  <c r="F14" i="97"/>
  <c r="G14" i="97"/>
  <c r="H14" i="97"/>
  <c r="I14" i="97"/>
  <c r="J14" i="97"/>
  <c r="K14" i="97"/>
  <c r="C21" i="35" s="1"/>
  <c r="E21" i="35" s="1"/>
  <c r="L14" i="97"/>
  <c r="C22" i="35" s="1"/>
  <c r="E22" i="35" s="1"/>
  <c r="F22" i="35" s="1"/>
  <c r="M14" i="97"/>
  <c r="C23" i="35" s="1"/>
  <c r="E23" i="35" s="1"/>
  <c r="F23" i="35" s="1"/>
  <c r="N14" i="97"/>
  <c r="Q18" i="108"/>
  <c r="Q19" i="108" s="1"/>
  <c r="Q20" i="108" s="1"/>
  <c r="Q21" i="108" s="1"/>
  <c r="Q22" i="108" s="1"/>
  <c r="Q23" i="108" s="1"/>
  <c r="A16" i="108"/>
  <c r="A17" i="108"/>
  <c r="A18" i="108"/>
  <c r="A19" i="108"/>
  <c r="A20" i="108"/>
  <c r="A21" i="108"/>
  <c r="A22" i="108"/>
  <c r="A23" i="108"/>
  <c r="N43" i="111"/>
  <c r="M43" i="111"/>
  <c r="L43" i="111"/>
  <c r="K43" i="111"/>
  <c r="J43" i="111"/>
  <c r="I43" i="111"/>
  <c r="I44" i="111" s="1"/>
  <c r="P46" i="141"/>
  <c r="P45" i="141"/>
  <c r="P44" i="141"/>
  <c r="P43" i="141"/>
  <c r="P42" i="141"/>
  <c r="P41" i="141"/>
  <c r="P40" i="141"/>
  <c r="P39" i="141"/>
  <c r="P38" i="141"/>
  <c r="P37" i="141"/>
  <c r="P36" i="141"/>
  <c r="P35" i="141"/>
  <c r="P34" i="141"/>
  <c r="P33" i="141"/>
  <c r="P32" i="141"/>
  <c r="P31" i="141"/>
  <c r="P30" i="141"/>
  <c r="P29" i="141"/>
  <c r="P28" i="141"/>
  <c r="P27" i="141"/>
  <c r="P20" i="141"/>
  <c r="P19" i="141"/>
  <c r="P18" i="141"/>
  <c r="P17" i="141"/>
  <c r="P16" i="141"/>
  <c r="P15" i="141"/>
  <c r="P14" i="141"/>
  <c r="P12" i="141"/>
  <c r="P11" i="141"/>
  <c r="P10" i="141"/>
  <c r="P9" i="141"/>
  <c r="P8" i="141"/>
  <c r="P7" i="141"/>
  <c r="H11" i="111"/>
  <c r="I11" i="111"/>
  <c r="H43" i="111"/>
  <c r="D11" i="147"/>
  <c r="C11" i="147"/>
  <c r="G10" i="147"/>
  <c r="G11" i="147"/>
  <c r="G12" i="147"/>
  <c r="G13" i="147"/>
  <c r="G14" i="147"/>
  <c r="G15" i="147"/>
  <c r="A10" i="147"/>
  <c r="A11" i="147"/>
  <c r="A12" i="147"/>
  <c r="A13" i="147"/>
  <c r="A14" i="147"/>
  <c r="A15" i="147"/>
  <c r="D45" i="143"/>
  <c r="C45" i="143"/>
  <c r="P31" i="108"/>
  <c r="O17" i="108"/>
  <c r="O20" i="108" s="1"/>
  <c r="N17" i="108"/>
  <c r="M17" i="108"/>
  <c r="L17" i="108"/>
  <c r="K17" i="108"/>
  <c r="J17" i="108"/>
  <c r="J20" i="108" s="1"/>
  <c r="I17" i="108"/>
  <c r="H19" i="56" s="1"/>
  <c r="H17" i="108"/>
  <c r="H20" i="108" s="1"/>
  <c r="G17" i="108"/>
  <c r="G20" i="108" s="1"/>
  <c r="F17" i="108"/>
  <c r="E17" i="108"/>
  <c r="D17" i="108"/>
  <c r="A5" i="108"/>
  <c r="A6" i="108"/>
  <c r="A7" i="108"/>
  <c r="A8" i="108"/>
  <c r="A9" i="108"/>
  <c r="A10" i="108"/>
  <c r="A11" i="108"/>
  <c r="A12" i="108"/>
  <c r="A13" i="108"/>
  <c r="A14" i="108"/>
  <c r="A15" i="108"/>
  <c r="M42" i="111"/>
  <c r="M44" i="111" s="1"/>
  <c r="D43" i="111"/>
  <c r="E42" i="111"/>
  <c r="G42" i="111"/>
  <c r="N42" i="111"/>
  <c r="J42" i="111"/>
  <c r="K42" i="111"/>
  <c r="E43" i="111"/>
  <c r="E44" i="111" s="1"/>
  <c r="D42" i="111"/>
  <c r="H42" i="111"/>
  <c r="L42" i="111"/>
  <c r="I42" i="111"/>
  <c r="I50" i="111"/>
  <c r="C30" i="111"/>
  <c r="E13" i="32"/>
  <c r="D24" i="35"/>
  <c r="D23" i="35"/>
  <c r="D22" i="35"/>
  <c r="D21" i="35"/>
  <c r="D20" i="35"/>
  <c r="D19" i="35"/>
  <c r="D18" i="35"/>
  <c r="D17" i="35"/>
  <c r="D16" i="35"/>
  <c r="D15" i="35"/>
  <c r="D14" i="35"/>
  <c r="D13" i="35"/>
  <c r="D38" i="97"/>
  <c r="D13" i="51"/>
  <c r="E38" i="97"/>
  <c r="D14" i="51"/>
  <c r="F38" i="97"/>
  <c r="D15" i="51"/>
  <c r="G38" i="97"/>
  <c r="D16" i="51"/>
  <c r="H38" i="97"/>
  <c r="D17" i="51"/>
  <c r="I38" i="97"/>
  <c r="D18" i="51"/>
  <c r="J38" i="97"/>
  <c r="D19" i="51"/>
  <c r="K38" i="97"/>
  <c r="D20" i="51"/>
  <c r="L38" i="97"/>
  <c r="D21" i="51"/>
  <c r="M38" i="97"/>
  <c r="D22" i="51"/>
  <c r="N38" i="97"/>
  <c r="D23" i="51"/>
  <c r="C38" i="97"/>
  <c r="D12" i="51"/>
  <c r="D26" i="51" s="1"/>
  <c r="O31" i="108"/>
  <c r="E12" i="146"/>
  <c r="E14" i="146"/>
  <c r="E16" i="146"/>
  <c r="E18" i="146"/>
  <c r="A12" i="146"/>
  <c r="A14" i="146"/>
  <c r="A16" i="146"/>
  <c r="A18" i="146"/>
  <c r="C14" i="146"/>
  <c r="C18" i="146" s="1"/>
  <c r="C6" i="89"/>
  <c r="A6" i="89"/>
  <c r="C7" i="89"/>
  <c r="D30" i="107"/>
  <c r="D28" i="107"/>
  <c r="D26" i="107"/>
  <c r="D24" i="107"/>
  <c r="D22" i="107"/>
  <c r="D20" i="107"/>
  <c r="D18" i="107"/>
  <c r="D16" i="107"/>
  <c r="D14" i="107"/>
  <c r="D12" i="107"/>
  <c r="D10" i="107"/>
  <c r="A9" i="107"/>
  <c r="A10" i="107"/>
  <c r="A11" i="107"/>
  <c r="E8" i="107"/>
  <c r="E9" i="107"/>
  <c r="E11" i="107"/>
  <c r="A12" i="107"/>
  <c r="E10" i="107"/>
  <c r="C30" i="113"/>
  <c r="C28" i="113"/>
  <c r="C26" i="113"/>
  <c r="C24" i="113"/>
  <c r="C22" i="113"/>
  <c r="C20" i="113"/>
  <c r="C18" i="113"/>
  <c r="C16" i="113"/>
  <c r="C14" i="113"/>
  <c r="C12" i="113"/>
  <c r="C10" i="113"/>
  <c r="C8" i="113"/>
  <c r="D30" i="144"/>
  <c r="D28" i="144"/>
  <c r="D26" i="144"/>
  <c r="D24" i="144"/>
  <c r="D22" i="144"/>
  <c r="D20" i="144"/>
  <c r="D18" i="144"/>
  <c r="D16" i="144"/>
  <c r="D14" i="144"/>
  <c r="D12" i="144"/>
  <c r="D10" i="144"/>
  <c r="A10" i="144"/>
  <c r="E10" i="144"/>
  <c r="A9" i="144"/>
  <c r="E9" i="144"/>
  <c r="E8" i="144"/>
  <c r="D30" i="113"/>
  <c r="D28" i="113"/>
  <c r="D26" i="113"/>
  <c r="D24" i="113"/>
  <c r="D22" i="113"/>
  <c r="D20" i="113"/>
  <c r="D18" i="113"/>
  <c r="D16" i="113"/>
  <c r="D14" i="113"/>
  <c r="D12" i="113"/>
  <c r="D10" i="113"/>
  <c r="A9" i="113"/>
  <c r="A10" i="113"/>
  <c r="A11" i="113"/>
  <c r="D16" i="143"/>
  <c r="C16" i="143"/>
  <c r="E14" i="143"/>
  <c r="E12" i="143"/>
  <c r="A9" i="143"/>
  <c r="A10" i="143"/>
  <c r="B28" i="120"/>
  <c r="B28" i="117"/>
  <c r="A11" i="144"/>
  <c r="E9" i="113"/>
  <c r="A11" i="143"/>
  <c r="G10" i="143"/>
  <c r="G9" i="143"/>
  <c r="E12" i="107"/>
  <c r="A13" i="107"/>
  <c r="C32" i="113"/>
  <c r="C34" i="113"/>
  <c r="E11" i="113"/>
  <c r="A12" i="113"/>
  <c r="E10" i="113"/>
  <c r="A12" i="144"/>
  <c r="E11" i="144"/>
  <c r="C16" i="47"/>
  <c r="C16" i="46"/>
  <c r="E30" i="143"/>
  <c r="A12" i="143"/>
  <c r="G11" i="143"/>
  <c r="A14" i="107"/>
  <c r="E13" i="107"/>
  <c r="E12" i="113"/>
  <c r="A13" i="113"/>
  <c r="A13" i="144"/>
  <c r="E12" i="144"/>
  <c r="A13" i="143"/>
  <c r="G12" i="143"/>
  <c r="E14" i="107"/>
  <c r="A15" i="107"/>
  <c r="A14" i="113"/>
  <c r="E13" i="113"/>
  <c r="E31" i="35"/>
  <c r="A14" i="144"/>
  <c r="E13" i="144"/>
  <c r="G13" i="143"/>
  <c r="A14" i="143"/>
  <c r="A16" i="107"/>
  <c r="E15" i="107"/>
  <c r="E14" i="113"/>
  <c r="A15" i="113"/>
  <c r="A15" i="144"/>
  <c r="E14" i="144"/>
  <c r="A15" i="143"/>
  <c r="G14" i="143"/>
  <c r="A17" i="107"/>
  <c r="E16" i="107"/>
  <c r="A16" i="113"/>
  <c r="E15" i="113"/>
  <c r="A16" i="144"/>
  <c r="E15" i="144"/>
  <c r="A16" i="143"/>
  <c r="G15" i="143"/>
  <c r="A18" i="107"/>
  <c r="E17" i="107"/>
  <c r="A17" i="113"/>
  <c r="E16" i="113"/>
  <c r="A17" i="144"/>
  <c r="E16" i="144"/>
  <c r="G16" i="143"/>
  <c r="A17" i="143"/>
  <c r="E18" i="107"/>
  <c r="A19" i="107"/>
  <c r="A18" i="113"/>
  <c r="E17" i="113"/>
  <c r="E17" i="144"/>
  <c r="A18" i="144"/>
  <c r="A18" i="143"/>
  <c r="G17" i="143"/>
  <c r="E19" i="107"/>
  <c r="A20" i="107"/>
  <c r="A19" i="113"/>
  <c r="E18" i="113"/>
  <c r="A19" i="144"/>
  <c r="E18" i="144"/>
  <c r="G18" i="143"/>
  <c r="A19" i="143"/>
  <c r="A21" i="107"/>
  <c r="E20" i="107"/>
  <c r="E19" i="113"/>
  <c r="A20" i="113"/>
  <c r="C61" i="111"/>
  <c r="D21" i="120"/>
  <c r="E21" i="120"/>
  <c r="F21" i="120"/>
  <c r="G21" i="120"/>
  <c r="H21" i="120"/>
  <c r="C21" i="120"/>
  <c r="D19" i="120"/>
  <c r="I19" i="120" s="1"/>
  <c r="E19" i="120"/>
  <c r="E23" i="120" s="1"/>
  <c r="F19" i="120"/>
  <c r="G19" i="120"/>
  <c r="H19" i="120"/>
  <c r="C19" i="120"/>
  <c r="D17" i="120"/>
  <c r="E17" i="120"/>
  <c r="I17" i="120" s="1"/>
  <c r="F17" i="120"/>
  <c r="F23" i="120" s="1"/>
  <c r="G17" i="120"/>
  <c r="H17" i="120"/>
  <c r="C17" i="120"/>
  <c r="D13" i="120"/>
  <c r="E13" i="120"/>
  <c r="F13" i="120"/>
  <c r="G13" i="120"/>
  <c r="G23" i="120" s="1"/>
  <c r="H13" i="120"/>
  <c r="C13" i="120"/>
  <c r="I13" i="120" s="1"/>
  <c r="I23" i="120" s="1"/>
  <c r="D11" i="120"/>
  <c r="E11" i="120"/>
  <c r="F11" i="120"/>
  <c r="G11" i="120"/>
  <c r="H11" i="120"/>
  <c r="C11" i="120"/>
  <c r="D21" i="119"/>
  <c r="I21" i="120" s="1"/>
  <c r="E21" i="119"/>
  <c r="F21" i="119"/>
  <c r="G21" i="119"/>
  <c r="H21" i="119"/>
  <c r="C21" i="119"/>
  <c r="C43" i="119"/>
  <c r="D19" i="119"/>
  <c r="E19" i="119"/>
  <c r="F19" i="119"/>
  <c r="G19" i="119"/>
  <c r="H19" i="119"/>
  <c r="C19" i="119"/>
  <c r="C41" i="119"/>
  <c r="D17" i="119"/>
  <c r="E17" i="119"/>
  <c r="F17" i="119"/>
  <c r="G17" i="119"/>
  <c r="H17" i="119"/>
  <c r="C17" i="119"/>
  <c r="C39" i="119"/>
  <c r="C16" i="140" s="1"/>
  <c r="D13" i="119"/>
  <c r="E13" i="119"/>
  <c r="F13" i="119"/>
  <c r="F23" i="119" s="1"/>
  <c r="G13" i="119"/>
  <c r="H13" i="119"/>
  <c r="C13" i="119"/>
  <c r="C35" i="119" s="1"/>
  <c r="D11" i="119"/>
  <c r="E11" i="119"/>
  <c r="F11" i="119"/>
  <c r="G11" i="119"/>
  <c r="H11" i="119"/>
  <c r="H23" i="119" s="1"/>
  <c r="C11" i="119"/>
  <c r="C33" i="119" s="1"/>
  <c r="D21" i="117"/>
  <c r="E21" i="117"/>
  <c r="F21" i="117"/>
  <c r="G21" i="117"/>
  <c r="H21" i="117"/>
  <c r="C21" i="117"/>
  <c r="D19" i="117"/>
  <c r="E19" i="117"/>
  <c r="F19" i="117"/>
  <c r="G19" i="117"/>
  <c r="H19" i="117"/>
  <c r="C19" i="117"/>
  <c r="D17" i="117"/>
  <c r="E17" i="117"/>
  <c r="F17" i="117"/>
  <c r="G17" i="117"/>
  <c r="H17" i="117"/>
  <c r="C17" i="117"/>
  <c r="D13" i="117"/>
  <c r="E13" i="117"/>
  <c r="F13" i="117"/>
  <c r="F23" i="117" s="1"/>
  <c r="G13" i="117"/>
  <c r="G23" i="117" s="1"/>
  <c r="H13" i="117"/>
  <c r="C13" i="117"/>
  <c r="D11" i="117"/>
  <c r="E11" i="117"/>
  <c r="F11" i="117"/>
  <c r="G11" i="117"/>
  <c r="H11" i="117"/>
  <c r="H23" i="117" s="1"/>
  <c r="C11" i="117"/>
  <c r="D21" i="116"/>
  <c r="I21" i="117" s="1"/>
  <c r="E21" i="116"/>
  <c r="F21" i="116"/>
  <c r="G21" i="116"/>
  <c r="H21" i="116"/>
  <c r="C21" i="116"/>
  <c r="D19" i="116"/>
  <c r="E19" i="116"/>
  <c r="I19" i="117" s="1"/>
  <c r="F19" i="116"/>
  <c r="G19" i="116"/>
  <c r="H19" i="116"/>
  <c r="C19" i="116"/>
  <c r="D17" i="116"/>
  <c r="E17" i="116"/>
  <c r="F17" i="116"/>
  <c r="G17" i="116"/>
  <c r="G23" i="116" s="1"/>
  <c r="H17" i="116"/>
  <c r="H23" i="116" s="1"/>
  <c r="C17" i="116"/>
  <c r="D13" i="116"/>
  <c r="E13" i="116"/>
  <c r="F13" i="116"/>
  <c r="G13" i="116"/>
  <c r="H13" i="116"/>
  <c r="C13" i="116"/>
  <c r="C23" i="116" s="1"/>
  <c r="D11" i="116"/>
  <c r="I11" i="117" s="1"/>
  <c r="E11" i="116"/>
  <c r="F11" i="116"/>
  <c r="G11" i="116"/>
  <c r="H11" i="116"/>
  <c r="C11" i="116"/>
  <c r="A20" i="144"/>
  <c r="E19" i="144"/>
  <c r="A20" i="143"/>
  <c r="G19" i="143"/>
  <c r="A22" i="107"/>
  <c r="E21" i="107"/>
  <c r="A21" i="113"/>
  <c r="E20" i="113"/>
  <c r="A21" i="144"/>
  <c r="E20" i="144"/>
  <c r="G20" i="143"/>
  <c r="A21" i="143"/>
  <c r="E22" i="107"/>
  <c r="A23" i="107"/>
  <c r="A22" i="113"/>
  <c r="E21" i="113"/>
  <c r="E21" i="144"/>
  <c r="A22" i="144"/>
  <c r="A22" i="143"/>
  <c r="G21" i="143"/>
  <c r="E23" i="107"/>
  <c r="A24" i="107"/>
  <c r="E22" i="113"/>
  <c r="A23" i="113"/>
  <c r="Q5" i="141"/>
  <c r="Q6" i="141" s="1"/>
  <c r="E22" i="144"/>
  <c r="A23" i="144"/>
  <c r="G22" i="143"/>
  <c r="A23" i="143"/>
  <c r="A25" i="107"/>
  <c r="E24" i="107"/>
  <c r="A24" i="113"/>
  <c r="E23" i="113"/>
  <c r="P5" i="141"/>
  <c r="A24" i="144"/>
  <c r="E23" i="144"/>
  <c r="A24" i="143"/>
  <c r="G23" i="143"/>
  <c r="A26" i="107"/>
  <c r="E25" i="107"/>
  <c r="A25" i="113"/>
  <c r="E24" i="113"/>
  <c r="F50" i="111"/>
  <c r="E24" i="144"/>
  <c r="A25" i="144"/>
  <c r="A25" i="143"/>
  <c r="G24" i="143"/>
  <c r="A27" i="107"/>
  <c r="E26" i="107"/>
  <c r="E25" i="113"/>
  <c r="A26" i="113"/>
  <c r="E25" i="144"/>
  <c r="A26" i="144"/>
  <c r="G25" i="143"/>
  <c r="A26" i="143"/>
  <c r="E27" i="107"/>
  <c r="A28" i="107"/>
  <c r="A27" i="113"/>
  <c r="E26" i="113"/>
  <c r="B43" i="96"/>
  <c r="A4" i="120"/>
  <c r="A4" i="119"/>
  <c r="A5" i="140"/>
  <c r="A5" i="119" s="1"/>
  <c r="A5" i="117"/>
  <c r="A4" i="117"/>
  <c r="A5" i="116"/>
  <c r="A4" i="116"/>
  <c r="A5" i="139"/>
  <c r="A4" i="139"/>
  <c r="A27" i="144"/>
  <c r="E26" i="144"/>
  <c r="G26" i="143"/>
  <c r="G27" i="143"/>
  <c r="G28" i="143"/>
  <c r="G29" i="143"/>
  <c r="G30" i="143"/>
  <c r="G31" i="143"/>
  <c r="G32" i="143"/>
  <c r="G33" i="143"/>
  <c r="G34" i="143"/>
  <c r="G35" i="143"/>
  <c r="G36" i="143"/>
  <c r="G37" i="143"/>
  <c r="G38" i="143"/>
  <c r="G39" i="143"/>
  <c r="G40" i="143"/>
  <c r="G41" i="143"/>
  <c r="G42" i="143"/>
  <c r="G43" i="143"/>
  <c r="G44" i="143"/>
  <c r="G45" i="143"/>
  <c r="G46" i="143"/>
  <c r="G47" i="143"/>
  <c r="G48" i="143"/>
  <c r="A27" i="143"/>
  <c r="A28" i="143"/>
  <c r="A29" i="143"/>
  <c r="A30" i="143"/>
  <c r="A31" i="143"/>
  <c r="A32" i="143"/>
  <c r="A33" i="143"/>
  <c r="A34" i="143"/>
  <c r="A35" i="143"/>
  <c r="A36" i="143"/>
  <c r="A37" i="143"/>
  <c r="A38" i="143"/>
  <c r="A39" i="143"/>
  <c r="A40" i="143"/>
  <c r="A41" i="143"/>
  <c r="A42" i="143"/>
  <c r="A43" i="143"/>
  <c r="E28" i="107"/>
  <c r="A29" i="107"/>
  <c r="E27" i="113"/>
  <c r="A28" i="113"/>
  <c r="P23" i="111"/>
  <c r="D8" i="117"/>
  <c r="E8" i="117"/>
  <c r="F8" i="117"/>
  <c r="G8" i="117"/>
  <c r="H8" i="117"/>
  <c r="C8" i="117"/>
  <c r="D8" i="116"/>
  <c r="E8" i="116"/>
  <c r="F8" i="116"/>
  <c r="G8" i="116"/>
  <c r="H8" i="116"/>
  <c r="C8" i="116"/>
  <c r="D26" i="140"/>
  <c r="D8" i="120"/>
  <c r="E26" i="140"/>
  <c r="E8" i="120"/>
  <c r="F26" i="140"/>
  <c r="F8" i="120"/>
  <c r="G26" i="140"/>
  <c r="G8" i="120"/>
  <c r="H26" i="140"/>
  <c r="H8" i="120"/>
  <c r="C26" i="140"/>
  <c r="C8" i="120"/>
  <c r="D8" i="140"/>
  <c r="D8" i="119"/>
  <c r="E8" i="140"/>
  <c r="E8" i="119"/>
  <c r="F8" i="140"/>
  <c r="F8" i="119"/>
  <c r="G8" i="140"/>
  <c r="G8" i="119"/>
  <c r="H8" i="140"/>
  <c r="H8" i="119"/>
  <c r="C8" i="140"/>
  <c r="C8" i="119"/>
  <c r="I25" i="140"/>
  <c r="H25" i="140"/>
  <c r="G25" i="140"/>
  <c r="F25" i="140"/>
  <c r="E25" i="140"/>
  <c r="D25" i="140"/>
  <c r="C25" i="140"/>
  <c r="J11" i="140"/>
  <c r="J12" i="140"/>
  <c r="J13" i="140"/>
  <c r="J14" i="140"/>
  <c r="J15" i="140"/>
  <c r="J16" i="140"/>
  <c r="J17" i="140"/>
  <c r="J18" i="140"/>
  <c r="J19" i="140"/>
  <c r="J20" i="140"/>
  <c r="J21" i="140"/>
  <c r="J22" i="140"/>
  <c r="J28" i="140"/>
  <c r="J29" i="140"/>
  <c r="J30" i="140"/>
  <c r="J31" i="140"/>
  <c r="J32" i="140"/>
  <c r="J33" i="140"/>
  <c r="J34" i="140"/>
  <c r="J35" i="140"/>
  <c r="J36" i="140"/>
  <c r="J37" i="140"/>
  <c r="J38" i="140"/>
  <c r="J39" i="140"/>
  <c r="J40" i="140"/>
  <c r="A11" i="140"/>
  <c r="A12" i="140"/>
  <c r="A13" i="140"/>
  <c r="A14" i="140"/>
  <c r="A15" i="140"/>
  <c r="A16" i="140"/>
  <c r="A17" i="140"/>
  <c r="A18" i="140"/>
  <c r="A19" i="140"/>
  <c r="A20" i="140"/>
  <c r="A21" i="140"/>
  <c r="A22" i="140"/>
  <c r="A28" i="140"/>
  <c r="A29" i="140"/>
  <c r="A30" i="140"/>
  <c r="A31" i="140"/>
  <c r="A32" i="140"/>
  <c r="A33" i="140"/>
  <c r="A34" i="140"/>
  <c r="A35" i="140"/>
  <c r="A36" i="140"/>
  <c r="A37" i="140"/>
  <c r="A38" i="140"/>
  <c r="A39" i="140"/>
  <c r="A40" i="140"/>
  <c r="I25" i="139"/>
  <c r="H25" i="139"/>
  <c r="G25" i="139"/>
  <c r="F25" i="139"/>
  <c r="E25" i="139"/>
  <c r="D25" i="139"/>
  <c r="C25" i="139"/>
  <c r="J11" i="139"/>
  <c r="J12" i="139"/>
  <c r="J13" i="139"/>
  <c r="J14" i="139"/>
  <c r="J15" i="139"/>
  <c r="J16" i="139"/>
  <c r="J17" i="139"/>
  <c r="J18" i="139"/>
  <c r="J19" i="139"/>
  <c r="J20" i="139"/>
  <c r="J21" i="139"/>
  <c r="J22" i="139"/>
  <c r="J28" i="139"/>
  <c r="J29" i="139"/>
  <c r="J30" i="139"/>
  <c r="J31" i="139"/>
  <c r="J32" i="139"/>
  <c r="J33" i="139"/>
  <c r="J34" i="139"/>
  <c r="J35" i="139"/>
  <c r="J36" i="139"/>
  <c r="J37" i="139"/>
  <c r="J38" i="139"/>
  <c r="J39" i="139"/>
  <c r="J40" i="139"/>
  <c r="A11" i="139"/>
  <c r="A12" i="139"/>
  <c r="A13" i="139"/>
  <c r="A14" i="139"/>
  <c r="A15" i="139"/>
  <c r="A16" i="139"/>
  <c r="A17" i="139"/>
  <c r="A18" i="139"/>
  <c r="A19" i="139"/>
  <c r="A20" i="139"/>
  <c r="A21" i="139"/>
  <c r="A22" i="139"/>
  <c r="A28" i="139"/>
  <c r="A29" i="139"/>
  <c r="A30" i="139"/>
  <c r="A31" i="139"/>
  <c r="A32" i="139"/>
  <c r="A33" i="139"/>
  <c r="A34" i="139"/>
  <c r="A35" i="139"/>
  <c r="A36" i="139"/>
  <c r="A37" i="139"/>
  <c r="A38" i="139"/>
  <c r="A39" i="139"/>
  <c r="A40" i="139"/>
  <c r="A44" i="143"/>
  <c r="A45" i="143"/>
  <c r="A46" i="143"/>
  <c r="A47" i="143"/>
  <c r="A48" i="143"/>
  <c r="A49" i="143"/>
  <c r="A50" i="143"/>
  <c r="A28" i="144"/>
  <c r="E27" i="144"/>
  <c r="G49" i="143"/>
  <c r="G50" i="143"/>
  <c r="A30" i="107"/>
  <c r="E29" i="107"/>
  <c r="A29" i="113"/>
  <c r="E28" i="113"/>
  <c r="A29" i="144"/>
  <c r="E28" i="144"/>
  <c r="E30" i="107"/>
  <c r="A31" i="107"/>
  <c r="A30" i="113"/>
  <c r="E29" i="113"/>
  <c r="A30" i="144"/>
  <c r="E29" i="144"/>
  <c r="A32" i="107"/>
  <c r="E31" i="107"/>
  <c r="E30" i="113"/>
  <c r="A31" i="113"/>
  <c r="E30" i="144"/>
  <c r="A31" i="144"/>
  <c r="E32" i="107"/>
  <c r="A33" i="107"/>
  <c r="A32" i="113"/>
  <c r="E31" i="113"/>
  <c r="A32" i="144"/>
  <c r="E31" i="144"/>
  <c r="A34" i="107"/>
  <c r="A35" i="107"/>
  <c r="E33" i="107"/>
  <c r="E34" i="107"/>
  <c r="E35" i="107"/>
  <c r="E32" i="113"/>
  <c r="A33" i="113"/>
  <c r="E32" i="144"/>
  <c r="A33" i="144"/>
  <c r="A34" i="113"/>
  <c r="E33" i="113"/>
  <c r="A34" i="144"/>
  <c r="E33" i="144"/>
  <c r="A35" i="113"/>
  <c r="E34" i="113"/>
  <c r="E35" i="113"/>
  <c r="A35" i="144"/>
  <c r="E34" i="144"/>
  <c r="E35" i="144"/>
  <c r="B3" i="17"/>
  <c r="E10" i="56"/>
  <c r="E17" i="111" s="1"/>
  <c r="C15" i="79"/>
  <c r="E15" i="79" s="1"/>
  <c r="O9" i="56"/>
  <c r="A7" i="89"/>
  <c r="A8" i="89"/>
  <c r="N9" i="138"/>
  <c r="N13" i="138" s="1"/>
  <c r="J28" i="117"/>
  <c r="D20" i="47"/>
  <c r="F33" i="79"/>
  <c r="F31" i="79"/>
  <c r="F29" i="79"/>
  <c r="F27" i="79"/>
  <c r="F25" i="79"/>
  <c r="F23" i="79"/>
  <c r="F21" i="79"/>
  <c r="F19" i="79"/>
  <c r="F17" i="79"/>
  <c r="F15" i="79"/>
  <c r="F13" i="79"/>
  <c r="D18" i="47"/>
  <c r="G15" i="35"/>
  <c r="G16" i="35"/>
  <c r="G17" i="35"/>
  <c r="G18" i="35"/>
  <c r="G19" i="35"/>
  <c r="G20" i="35"/>
  <c r="G21" i="35"/>
  <c r="G22" i="35"/>
  <c r="G23" i="35"/>
  <c r="G24" i="35"/>
  <c r="G14" i="35"/>
  <c r="F14" i="51"/>
  <c r="F15" i="51"/>
  <c r="F16" i="51"/>
  <c r="F17" i="51"/>
  <c r="F18" i="51"/>
  <c r="F19" i="51"/>
  <c r="F20" i="51"/>
  <c r="F21" i="51"/>
  <c r="F22" i="51"/>
  <c r="F23" i="51"/>
  <c r="F13" i="51"/>
  <c r="F14" i="24"/>
  <c r="F15" i="24"/>
  <c r="F16" i="24"/>
  <c r="F17" i="24"/>
  <c r="F18" i="24"/>
  <c r="F19" i="24"/>
  <c r="F20" i="24"/>
  <c r="F21" i="24"/>
  <c r="F22" i="24"/>
  <c r="F23" i="24"/>
  <c r="F13" i="24"/>
  <c r="A3" i="79"/>
  <c r="A3" i="143" s="1"/>
  <c r="A3" i="144"/>
  <c r="N58" i="111"/>
  <c r="N61" i="111" s="1"/>
  <c r="N63" i="111" s="1"/>
  <c r="M58" i="111"/>
  <c r="F61" i="111"/>
  <c r="K58" i="111"/>
  <c r="K61" i="111" s="1"/>
  <c r="K63" i="111" s="1"/>
  <c r="J58" i="111"/>
  <c r="N59" i="111"/>
  <c r="M59" i="111"/>
  <c r="K59" i="111"/>
  <c r="J59" i="111"/>
  <c r="I59" i="111"/>
  <c r="I61" i="111"/>
  <c r="I63" i="111" s="1"/>
  <c r="H59" i="111"/>
  <c r="E59" i="111"/>
  <c r="D59" i="111"/>
  <c r="G59" i="111"/>
  <c r="L59" i="111"/>
  <c r="L61" i="111"/>
  <c r="M61" i="111"/>
  <c r="J61" i="111"/>
  <c r="J63" i="111" s="1"/>
  <c r="B33" i="79"/>
  <c r="B30" i="107" s="1"/>
  <c r="B31" i="79"/>
  <c r="B29" i="79"/>
  <c r="B26" i="113" s="1"/>
  <c r="B27" i="79"/>
  <c r="B25" i="79"/>
  <c r="B23" i="79"/>
  <c r="B21" i="79"/>
  <c r="B19" i="79"/>
  <c r="B16" i="107" s="1"/>
  <c r="B17" i="79"/>
  <c r="B14" i="107" s="1"/>
  <c r="B15" i="79"/>
  <c r="B13" i="79"/>
  <c r="B10" i="144" s="1"/>
  <c r="B11" i="79"/>
  <c r="B8" i="144" s="1"/>
  <c r="B12" i="113"/>
  <c r="B12" i="144"/>
  <c r="B12" i="107"/>
  <c r="B20" i="113"/>
  <c r="B20" i="107"/>
  <c r="B20" i="144"/>
  <c r="B28" i="113"/>
  <c r="B28" i="144"/>
  <c r="B28" i="107"/>
  <c r="B22" i="107"/>
  <c r="B22" i="144"/>
  <c r="B22" i="113"/>
  <c r="B16" i="144"/>
  <c r="B16" i="113"/>
  <c r="B24" i="107"/>
  <c r="B24" i="144"/>
  <c r="B24" i="113"/>
  <c r="B18" i="144"/>
  <c r="B18" i="113"/>
  <c r="B18" i="107"/>
  <c r="B26" i="144"/>
  <c r="B8" i="107"/>
  <c r="B4" i="46"/>
  <c r="B3" i="147"/>
  <c r="J28" i="120"/>
  <c r="J27" i="120"/>
  <c r="I11" i="120"/>
  <c r="C28" i="120"/>
  <c r="C43" i="120" s="1"/>
  <c r="C38" i="140" s="1"/>
  <c r="C39" i="120"/>
  <c r="C41" i="120"/>
  <c r="C36" i="140" s="1"/>
  <c r="D28" i="120"/>
  <c r="D39" i="120" s="1"/>
  <c r="D34" i="140" s="1"/>
  <c r="G28" i="120"/>
  <c r="G39" i="120" s="1"/>
  <c r="G34" i="140" s="1"/>
  <c r="K12" i="120"/>
  <c r="K13" i="120"/>
  <c r="K14" i="120"/>
  <c r="K15" i="120"/>
  <c r="K16" i="120"/>
  <c r="K17" i="120"/>
  <c r="K18" i="120"/>
  <c r="K19" i="120"/>
  <c r="K20" i="120"/>
  <c r="K21" i="120"/>
  <c r="K22" i="120"/>
  <c r="K23" i="120"/>
  <c r="K24" i="120"/>
  <c r="K25" i="120"/>
  <c r="A12" i="120"/>
  <c r="A13" i="120"/>
  <c r="A14" i="120"/>
  <c r="A15" i="120"/>
  <c r="A16" i="120"/>
  <c r="A17" i="120"/>
  <c r="A18" i="120"/>
  <c r="A19" i="120"/>
  <c r="A20" i="120"/>
  <c r="A21" i="120"/>
  <c r="A22" i="120"/>
  <c r="A23" i="120"/>
  <c r="A24" i="120"/>
  <c r="A25" i="120"/>
  <c r="F28" i="119"/>
  <c r="E28" i="119"/>
  <c r="J12" i="119"/>
  <c r="J13" i="119"/>
  <c r="J14" i="119"/>
  <c r="J15" i="119"/>
  <c r="J16" i="119"/>
  <c r="J17" i="119"/>
  <c r="J18" i="119"/>
  <c r="J19" i="119"/>
  <c r="J20" i="119"/>
  <c r="J21" i="119"/>
  <c r="J22" i="119"/>
  <c r="J23" i="119"/>
  <c r="J24" i="119"/>
  <c r="J25" i="119"/>
  <c r="A12" i="119"/>
  <c r="A13" i="119"/>
  <c r="A14" i="119"/>
  <c r="A15" i="119"/>
  <c r="A16" i="119"/>
  <c r="A17" i="119"/>
  <c r="A18" i="119"/>
  <c r="A19" i="119"/>
  <c r="A20" i="119"/>
  <c r="A21" i="119"/>
  <c r="A22" i="119"/>
  <c r="A23" i="119"/>
  <c r="A24" i="119"/>
  <c r="A25" i="119"/>
  <c r="G35" i="120"/>
  <c r="G30" i="140" s="1"/>
  <c r="G43" i="120"/>
  <c r="G38" i="140" s="1"/>
  <c r="D41" i="120"/>
  <c r="D36" i="140" s="1"/>
  <c r="D43" i="120"/>
  <c r="D38" i="140" s="1"/>
  <c r="E35" i="119"/>
  <c r="E12" i="140" s="1"/>
  <c r="E33" i="119"/>
  <c r="F35" i="119"/>
  <c r="F43" i="119"/>
  <c r="F20" i="140" s="1"/>
  <c r="F41" i="119"/>
  <c r="F18" i="140" s="1"/>
  <c r="F33" i="119"/>
  <c r="K26" i="120"/>
  <c r="K27" i="120"/>
  <c r="K28" i="120"/>
  <c r="A26" i="120"/>
  <c r="A27" i="120"/>
  <c r="A28" i="120"/>
  <c r="A26" i="119"/>
  <c r="A27" i="119"/>
  <c r="A28" i="119"/>
  <c r="J26" i="119"/>
  <c r="J27" i="119"/>
  <c r="J28" i="119"/>
  <c r="D28" i="119"/>
  <c r="D35" i="119" s="1"/>
  <c r="D12" i="140" s="1"/>
  <c r="H28" i="119"/>
  <c r="H39" i="119" s="1"/>
  <c r="H16" i="140" s="1"/>
  <c r="G28" i="119"/>
  <c r="G43" i="119" s="1"/>
  <c r="G20" i="140" s="1"/>
  <c r="A29" i="120"/>
  <c r="A30" i="120"/>
  <c r="A31" i="120"/>
  <c r="A32" i="120"/>
  <c r="A33" i="120"/>
  <c r="A34" i="120"/>
  <c r="A35" i="120"/>
  <c r="A36" i="120"/>
  <c r="A37" i="120"/>
  <c r="A38" i="120"/>
  <c r="A39" i="120"/>
  <c r="A40" i="120"/>
  <c r="A41" i="120"/>
  <c r="A42" i="120"/>
  <c r="A43" i="120"/>
  <c r="A44" i="120"/>
  <c r="A45" i="120"/>
  <c r="A29" i="119"/>
  <c r="A30" i="119"/>
  <c r="A31" i="119"/>
  <c r="A32" i="119"/>
  <c r="A33" i="119"/>
  <c r="A34" i="119"/>
  <c r="A35" i="119"/>
  <c r="A36" i="119"/>
  <c r="A37" i="119"/>
  <c r="A38" i="119"/>
  <c r="A39" i="119"/>
  <c r="A40" i="119"/>
  <c r="A41" i="119"/>
  <c r="A42" i="119"/>
  <c r="A43" i="119"/>
  <c r="A44" i="119"/>
  <c r="A45" i="119"/>
  <c r="K29" i="120"/>
  <c r="K30" i="120"/>
  <c r="K31" i="120"/>
  <c r="K32" i="120"/>
  <c r="K33" i="120"/>
  <c r="K34" i="120"/>
  <c r="K35" i="120"/>
  <c r="K36" i="120"/>
  <c r="K37" i="120"/>
  <c r="K38" i="120"/>
  <c r="K39" i="120"/>
  <c r="K40" i="120"/>
  <c r="K41" i="120"/>
  <c r="K42" i="120"/>
  <c r="K43" i="120"/>
  <c r="K44" i="120"/>
  <c r="K45" i="120"/>
  <c r="J29" i="119"/>
  <c r="J30" i="119"/>
  <c r="J31" i="119"/>
  <c r="J32" i="119"/>
  <c r="J33" i="119"/>
  <c r="J34" i="119"/>
  <c r="J35" i="119"/>
  <c r="J36" i="119"/>
  <c r="J37" i="119"/>
  <c r="J38" i="119"/>
  <c r="J39" i="119"/>
  <c r="J40" i="119"/>
  <c r="J41" i="119"/>
  <c r="J42" i="119"/>
  <c r="J43" i="119"/>
  <c r="J44" i="119"/>
  <c r="J45" i="119"/>
  <c r="D43" i="119"/>
  <c r="D20" i="140" s="1"/>
  <c r="D33" i="119"/>
  <c r="D10" i="140" s="1"/>
  <c r="D39" i="119"/>
  <c r="H41" i="119"/>
  <c r="H18" i="140" s="1"/>
  <c r="G39" i="119"/>
  <c r="G16" i="140" s="1"/>
  <c r="G41" i="119"/>
  <c r="K12" i="117"/>
  <c r="K13" i="117"/>
  <c r="K14" i="117"/>
  <c r="K15" i="117"/>
  <c r="K16" i="117"/>
  <c r="K17" i="117"/>
  <c r="K18" i="117"/>
  <c r="K19" i="117"/>
  <c r="K20" i="117"/>
  <c r="K21" i="117"/>
  <c r="K22" i="117"/>
  <c r="K23" i="117"/>
  <c r="K24" i="117"/>
  <c r="K25" i="117"/>
  <c r="A12" i="117"/>
  <c r="A13" i="117"/>
  <c r="A14" i="117"/>
  <c r="A15" i="117"/>
  <c r="A16" i="117"/>
  <c r="A17" i="117"/>
  <c r="A18" i="117"/>
  <c r="A19" i="117"/>
  <c r="A20" i="117"/>
  <c r="A21" i="117"/>
  <c r="A22" i="117"/>
  <c r="A23" i="117"/>
  <c r="A24" i="117"/>
  <c r="A25" i="117"/>
  <c r="J12" i="116"/>
  <c r="J13" i="116"/>
  <c r="J14" i="116"/>
  <c r="J15" i="116"/>
  <c r="J16" i="116"/>
  <c r="J17" i="116"/>
  <c r="J18" i="116"/>
  <c r="J19" i="116"/>
  <c r="J20" i="116"/>
  <c r="J21" i="116"/>
  <c r="J22" i="116"/>
  <c r="J23" i="116"/>
  <c r="J24" i="116"/>
  <c r="J25" i="116"/>
  <c r="A12" i="116"/>
  <c r="A13" i="116"/>
  <c r="A14" i="116"/>
  <c r="A15" i="116"/>
  <c r="A16" i="116"/>
  <c r="A17" i="116"/>
  <c r="A18" i="116"/>
  <c r="A19" i="116"/>
  <c r="A20" i="116"/>
  <c r="A21" i="116"/>
  <c r="A22" i="116"/>
  <c r="A23" i="116"/>
  <c r="A24" i="116"/>
  <c r="A25" i="116"/>
  <c r="I15" i="114"/>
  <c r="I16" i="114"/>
  <c r="I17" i="114"/>
  <c r="I18" i="114"/>
  <c r="I19" i="114"/>
  <c r="I20" i="114"/>
  <c r="I21" i="114"/>
  <c r="I22" i="114"/>
  <c r="I23" i="114"/>
  <c r="I24" i="114"/>
  <c r="I25" i="114"/>
  <c r="I26" i="114"/>
  <c r="I27" i="114"/>
  <c r="A15" i="114"/>
  <c r="A16" i="114"/>
  <c r="A17" i="114"/>
  <c r="A18" i="114"/>
  <c r="A19" i="114"/>
  <c r="A20" i="114"/>
  <c r="A21" i="114"/>
  <c r="A22" i="114"/>
  <c r="A23" i="114"/>
  <c r="A24" i="114"/>
  <c r="A25" i="114"/>
  <c r="A26" i="114"/>
  <c r="A27" i="114"/>
  <c r="J26" i="116"/>
  <c r="J27" i="116"/>
  <c r="J28" i="116"/>
  <c r="K26" i="117"/>
  <c r="K27" i="117"/>
  <c r="K28" i="117"/>
  <c r="A26" i="117"/>
  <c r="A27" i="117"/>
  <c r="A28" i="117"/>
  <c r="A26" i="116"/>
  <c r="A27" i="116"/>
  <c r="A28" i="116"/>
  <c r="J29" i="116"/>
  <c r="J30" i="116"/>
  <c r="J31" i="116"/>
  <c r="J32" i="116"/>
  <c r="J33" i="116"/>
  <c r="J34" i="116"/>
  <c r="J35" i="116"/>
  <c r="J36" i="116"/>
  <c r="J37" i="116"/>
  <c r="J38" i="116"/>
  <c r="J39" i="116"/>
  <c r="J40" i="116"/>
  <c r="J41" i="116"/>
  <c r="J42" i="116"/>
  <c r="J43" i="116"/>
  <c r="J44" i="116"/>
  <c r="J45" i="116"/>
  <c r="A29" i="116"/>
  <c r="A30" i="116"/>
  <c r="A31" i="116"/>
  <c r="A32" i="116"/>
  <c r="A33" i="116"/>
  <c r="A34" i="116"/>
  <c r="A35" i="116"/>
  <c r="A36" i="116"/>
  <c r="A37" i="116"/>
  <c r="A38" i="116"/>
  <c r="A39" i="116"/>
  <c r="A40" i="116"/>
  <c r="A41" i="116"/>
  <c r="A42" i="116"/>
  <c r="A43" i="116"/>
  <c r="A44" i="116"/>
  <c r="A45" i="116"/>
  <c r="A29" i="117"/>
  <c r="A30" i="117"/>
  <c r="A31" i="117"/>
  <c r="A32" i="117"/>
  <c r="A33" i="117"/>
  <c r="A34" i="117"/>
  <c r="A35" i="117"/>
  <c r="A36" i="117"/>
  <c r="A37" i="117"/>
  <c r="A38" i="117"/>
  <c r="A39" i="117"/>
  <c r="A40" i="117"/>
  <c r="A41" i="117"/>
  <c r="A42" i="117"/>
  <c r="A43" i="117"/>
  <c r="A44" i="117"/>
  <c r="A45" i="117"/>
  <c r="K29" i="117"/>
  <c r="K30" i="117"/>
  <c r="K31" i="117"/>
  <c r="K32" i="117"/>
  <c r="K33" i="117"/>
  <c r="K34" i="117"/>
  <c r="K35" i="117"/>
  <c r="K36" i="117"/>
  <c r="K37" i="117"/>
  <c r="K38" i="117"/>
  <c r="K39" i="117"/>
  <c r="K40" i="117"/>
  <c r="K41" i="117"/>
  <c r="K42" i="117"/>
  <c r="K43" i="117"/>
  <c r="K44" i="117"/>
  <c r="K45" i="117"/>
  <c r="O62" i="111"/>
  <c r="M63" i="111"/>
  <c r="L63" i="111"/>
  <c r="F63" i="111"/>
  <c r="C63" i="111"/>
  <c r="O60" i="111"/>
  <c r="O59" i="111"/>
  <c r="H58" i="111"/>
  <c r="G58" i="111"/>
  <c r="G61" i="111" s="1"/>
  <c r="G63" i="111" s="1"/>
  <c r="E58" i="111"/>
  <c r="E61" i="111" s="1"/>
  <c r="D58" i="111"/>
  <c r="C50" i="111"/>
  <c r="C51" i="111" s="1"/>
  <c r="F11" i="111" s="1"/>
  <c r="N44" i="111"/>
  <c r="L44" i="111"/>
  <c r="K44" i="111"/>
  <c r="J44" i="111"/>
  <c r="H44" i="111"/>
  <c r="G44" i="111"/>
  <c r="F44" i="111"/>
  <c r="D44" i="111"/>
  <c r="C44" i="111"/>
  <c r="O36" i="111"/>
  <c r="N33" i="111"/>
  <c r="M33" i="111"/>
  <c r="L33" i="111"/>
  <c r="K33" i="111"/>
  <c r="J33" i="111"/>
  <c r="I33" i="111"/>
  <c r="H33" i="111"/>
  <c r="G33" i="111"/>
  <c r="F33" i="111"/>
  <c r="E33" i="111"/>
  <c r="D33" i="111"/>
  <c r="C33" i="111"/>
  <c r="N24" i="111"/>
  <c r="M24" i="111"/>
  <c r="L24" i="111"/>
  <c r="K24" i="111"/>
  <c r="J24" i="111"/>
  <c r="I24" i="111"/>
  <c r="H24" i="111"/>
  <c r="G24" i="111"/>
  <c r="F24" i="111"/>
  <c r="E24" i="111"/>
  <c r="D24" i="111"/>
  <c r="C24" i="111"/>
  <c r="O23" i="111"/>
  <c r="O24" i="111"/>
  <c r="C11" i="111"/>
  <c r="D11" i="111" s="1"/>
  <c r="E11" i="111" s="1"/>
  <c r="Q8" i="111"/>
  <c r="Q9" i="111"/>
  <c r="Q10" i="111"/>
  <c r="Q11" i="111"/>
  <c r="Q12" i="111"/>
  <c r="Q13" i="111"/>
  <c r="Q14" i="111"/>
  <c r="Q15" i="111"/>
  <c r="Q16" i="111"/>
  <c r="Q17" i="111"/>
  <c r="Q18" i="111"/>
  <c r="Q19" i="111"/>
  <c r="Q20" i="111"/>
  <c r="Q21" i="111"/>
  <c r="Q22" i="111"/>
  <c r="Q23" i="111"/>
  <c r="Q24" i="111"/>
  <c r="Q25" i="111"/>
  <c r="Q26" i="111"/>
  <c r="Q27" i="111"/>
  <c r="Q28" i="111"/>
  <c r="Q29" i="111"/>
  <c r="Q30" i="111"/>
  <c r="Q31" i="111"/>
  <c r="Q32" i="111"/>
  <c r="Q33" i="111"/>
  <c r="Q34" i="111"/>
  <c r="A8" i="111"/>
  <c r="A9" i="111"/>
  <c r="A10" i="111"/>
  <c r="A11" i="111"/>
  <c r="A12" i="111"/>
  <c r="A13" i="111"/>
  <c r="A14" i="111"/>
  <c r="A15" i="111"/>
  <c r="A16" i="111"/>
  <c r="A17" i="111"/>
  <c r="A18" i="111"/>
  <c r="A19" i="111"/>
  <c r="A20" i="111"/>
  <c r="A21" i="111"/>
  <c r="A22" i="111"/>
  <c r="A23" i="111"/>
  <c r="A24" i="111"/>
  <c r="A25" i="111"/>
  <c r="A26" i="111"/>
  <c r="A27" i="111"/>
  <c r="A28" i="111"/>
  <c r="A29" i="111"/>
  <c r="A30" i="111"/>
  <c r="A31" i="111"/>
  <c r="A32" i="111"/>
  <c r="A33" i="111"/>
  <c r="A34" i="111"/>
  <c r="O7" i="111"/>
  <c r="H61" i="111"/>
  <c r="H63" i="111"/>
  <c r="D61" i="111"/>
  <c r="D63" i="111"/>
  <c r="Q35" i="111"/>
  <c r="Q36" i="111"/>
  <c r="Q37" i="111"/>
  <c r="Q38" i="111"/>
  <c r="A35" i="111"/>
  <c r="A36" i="111"/>
  <c r="A37" i="111"/>
  <c r="A38" i="111"/>
  <c r="J11" i="111"/>
  <c r="K11" i="111" s="1"/>
  <c r="L11" i="111" s="1"/>
  <c r="M11" i="111" s="1"/>
  <c r="N11" i="111" s="1"/>
  <c r="A39" i="111"/>
  <c r="A40" i="111"/>
  <c r="A41" i="111"/>
  <c r="A42" i="111"/>
  <c r="A43" i="111"/>
  <c r="A44" i="111"/>
  <c r="Q39" i="111"/>
  <c r="Q40" i="111"/>
  <c r="Q41" i="111"/>
  <c r="Q42" i="111"/>
  <c r="Q43" i="111"/>
  <c r="Q44" i="111"/>
  <c r="M19" i="56"/>
  <c r="C28" i="107" s="1"/>
  <c r="L19" i="56"/>
  <c r="C26" i="107"/>
  <c r="K19" i="56"/>
  <c r="C24" i="107"/>
  <c r="J19" i="56"/>
  <c r="C22" i="107" s="1"/>
  <c r="I19" i="56"/>
  <c r="C20" i="107" s="1"/>
  <c r="E19" i="56"/>
  <c r="C12" i="107"/>
  <c r="D19" i="56"/>
  <c r="C10" i="107"/>
  <c r="C19" i="56"/>
  <c r="C8" i="107"/>
  <c r="N20" i="108"/>
  <c r="M20" i="108"/>
  <c r="M22" i="108" s="1"/>
  <c r="L20" i="108"/>
  <c r="K20" i="108"/>
  <c r="F20" i="108"/>
  <c r="E20" i="108"/>
  <c r="D20" i="108"/>
  <c r="L20" i="111"/>
  <c r="M21" i="108"/>
  <c r="C20" i="111"/>
  <c r="E20" i="111"/>
  <c r="F21" i="108"/>
  <c r="D20" i="111"/>
  <c r="E21" i="108" s="1"/>
  <c r="E22" i="108" s="1"/>
  <c r="M20" i="111"/>
  <c r="N21" i="108" s="1"/>
  <c r="K20" i="111"/>
  <c r="L21" i="108"/>
  <c r="L22" i="108" s="1"/>
  <c r="O43" i="97"/>
  <c r="N30" i="97"/>
  <c r="N43" i="97" s="1"/>
  <c r="M30" i="97"/>
  <c r="M43" i="97" s="1"/>
  <c r="L30" i="97"/>
  <c r="L43" i="97" s="1"/>
  <c r="K30" i="97"/>
  <c r="K43" i="97" s="1"/>
  <c r="J30" i="97"/>
  <c r="J43" i="97"/>
  <c r="I30" i="97"/>
  <c r="I43" i="97" s="1"/>
  <c r="H30" i="97"/>
  <c r="H43" i="97" s="1"/>
  <c r="G30" i="97"/>
  <c r="G43" i="97"/>
  <c r="F30" i="97"/>
  <c r="F43" i="97"/>
  <c r="E30" i="97"/>
  <c r="E43" i="97" s="1"/>
  <c r="D30" i="97"/>
  <c r="D43" i="97" s="1"/>
  <c r="C30" i="97"/>
  <c r="C43" i="97"/>
  <c r="B28" i="97"/>
  <c r="P5" i="97"/>
  <c r="P6" i="97"/>
  <c r="P7" i="97"/>
  <c r="P8" i="97"/>
  <c r="A5" i="97"/>
  <c r="A6" i="97"/>
  <c r="A7" i="97"/>
  <c r="A8" i="97"/>
  <c r="N47" i="97"/>
  <c r="M47" i="97"/>
  <c r="L47" i="97"/>
  <c r="K47" i="97"/>
  <c r="J47" i="97"/>
  <c r="I47" i="97"/>
  <c r="I48" i="97" s="1"/>
  <c r="I33" i="97" s="1"/>
  <c r="H47" i="97"/>
  <c r="G47" i="97"/>
  <c r="F47" i="97"/>
  <c r="E47" i="97"/>
  <c r="D47" i="97"/>
  <c r="C47" i="97"/>
  <c r="O47" i="97" s="1"/>
  <c r="N46" i="97"/>
  <c r="K46" i="97"/>
  <c r="O46" i="97" s="1"/>
  <c r="J46" i="97"/>
  <c r="I46" i="97"/>
  <c r="H23" i="97"/>
  <c r="G46" i="97"/>
  <c r="F46" i="97"/>
  <c r="D23" i="97"/>
  <c r="C46" i="97"/>
  <c r="M45" i="97"/>
  <c r="L45" i="97"/>
  <c r="K45" i="97"/>
  <c r="I45" i="97"/>
  <c r="H45" i="97"/>
  <c r="E45" i="97"/>
  <c r="D45" i="97"/>
  <c r="O18" i="97"/>
  <c r="N18" i="97"/>
  <c r="M18" i="97"/>
  <c r="L18" i="97"/>
  <c r="K18" i="97"/>
  <c r="J18" i="97"/>
  <c r="I18" i="97"/>
  <c r="H18" i="97"/>
  <c r="G18" i="97"/>
  <c r="F18" i="97"/>
  <c r="E18" i="97"/>
  <c r="D18" i="97"/>
  <c r="C18" i="97"/>
  <c r="N47" i="96"/>
  <c r="M47" i="96"/>
  <c r="L47" i="96"/>
  <c r="K47" i="96"/>
  <c r="J47" i="96"/>
  <c r="I47" i="96"/>
  <c r="H47" i="96"/>
  <c r="G47" i="96"/>
  <c r="F47" i="96"/>
  <c r="E47" i="96"/>
  <c r="D47" i="96"/>
  <c r="C47" i="96"/>
  <c r="N46" i="96"/>
  <c r="N48" i="96" s="1"/>
  <c r="N33" i="96" s="1"/>
  <c r="M46" i="96"/>
  <c r="L46" i="96"/>
  <c r="L48" i="96" s="1"/>
  <c r="L33" i="96" s="1"/>
  <c r="K46" i="96"/>
  <c r="K48" i="96" s="1"/>
  <c r="K33" i="96" s="1"/>
  <c r="J46" i="96"/>
  <c r="I46" i="96"/>
  <c r="H46" i="96"/>
  <c r="G46" i="96"/>
  <c r="G48" i="96" s="1"/>
  <c r="G33" i="96" s="1"/>
  <c r="F46" i="96"/>
  <c r="E46" i="96"/>
  <c r="D46" i="96"/>
  <c r="C46" i="96"/>
  <c r="C48" i="96" s="1"/>
  <c r="C33" i="96" s="1"/>
  <c r="N45" i="96"/>
  <c r="M45" i="96"/>
  <c r="L45" i="96"/>
  <c r="K45" i="96"/>
  <c r="J45" i="96"/>
  <c r="I45" i="96"/>
  <c r="H45" i="96"/>
  <c r="G45" i="96"/>
  <c r="F45" i="96"/>
  <c r="F48" i="96" s="1"/>
  <c r="F33" i="96" s="1"/>
  <c r="E45" i="96"/>
  <c r="O45" i="96" s="1"/>
  <c r="D45" i="96"/>
  <c r="C45" i="96"/>
  <c r="O43" i="96"/>
  <c r="N38" i="96"/>
  <c r="D23" i="24" s="1"/>
  <c r="M38" i="96"/>
  <c r="L38" i="96"/>
  <c r="K38" i="96"/>
  <c r="D20" i="24" s="1"/>
  <c r="J38" i="96"/>
  <c r="I38" i="96"/>
  <c r="H38" i="96"/>
  <c r="G38" i="96"/>
  <c r="F38" i="96"/>
  <c r="D15" i="24" s="1"/>
  <c r="E38" i="96"/>
  <c r="D38" i="96"/>
  <c r="C38" i="96"/>
  <c r="D12" i="24" s="1"/>
  <c r="N37" i="96"/>
  <c r="M37" i="96"/>
  <c r="L37" i="96"/>
  <c r="K37" i="96"/>
  <c r="J37" i="96"/>
  <c r="I37" i="96"/>
  <c r="H37" i="96"/>
  <c r="G37" i="96"/>
  <c r="F37" i="96"/>
  <c r="E37" i="96"/>
  <c r="D37" i="96"/>
  <c r="C37" i="96"/>
  <c r="N36" i="96"/>
  <c r="M36" i="96"/>
  <c r="L36" i="96"/>
  <c r="K36" i="96"/>
  <c r="J36" i="96"/>
  <c r="I36" i="96"/>
  <c r="H36" i="96"/>
  <c r="G36" i="96"/>
  <c r="F36" i="96"/>
  <c r="E36" i="96"/>
  <c r="D36" i="96"/>
  <c r="C36" i="96"/>
  <c r="N35" i="96"/>
  <c r="M35" i="96"/>
  <c r="L35" i="96"/>
  <c r="K35" i="96"/>
  <c r="J35" i="96"/>
  <c r="I35" i="96"/>
  <c r="H35" i="96"/>
  <c r="G35" i="96"/>
  <c r="F35" i="96"/>
  <c r="E35" i="96"/>
  <c r="D35" i="96"/>
  <c r="C35" i="96"/>
  <c r="N32" i="96"/>
  <c r="M32" i="96"/>
  <c r="L32" i="96"/>
  <c r="K32" i="96"/>
  <c r="J32" i="96"/>
  <c r="I32" i="96"/>
  <c r="H32" i="96"/>
  <c r="G32" i="96"/>
  <c r="F32" i="96"/>
  <c r="E32" i="96"/>
  <c r="D32" i="96"/>
  <c r="C32" i="96"/>
  <c r="N31" i="96"/>
  <c r="M31" i="96"/>
  <c r="L31" i="96"/>
  <c r="K31" i="96"/>
  <c r="J31" i="96"/>
  <c r="I31" i="96"/>
  <c r="H31" i="96"/>
  <c r="G31" i="96"/>
  <c r="F31" i="96"/>
  <c r="E31" i="96"/>
  <c r="D31" i="96"/>
  <c r="C31" i="96"/>
  <c r="N30" i="96"/>
  <c r="N43" i="96" s="1"/>
  <c r="M30" i="96"/>
  <c r="M43" i="96" s="1"/>
  <c r="L30" i="96"/>
  <c r="L43" i="96" s="1"/>
  <c r="K30" i="96"/>
  <c r="K43" i="96" s="1"/>
  <c r="J30" i="96"/>
  <c r="J43" i="96" s="1"/>
  <c r="I30" i="96"/>
  <c r="I43" i="96" s="1"/>
  <c r="H30" i="96"/>
  <c r="H43" i="96" s="1"/>
  <c r="G30" i="96"/>
  <c r="G43" i="96" s="1"/>
  <c r="F30" i="96"/>
  <c r="F43" i="96" s="1"/>
  <c r="E30" i="96"/>
  <c r="E43" i="96" s="1"/>
  <c r="D30" i="96"/>
  <c r="D43" i="96" s="1"/>
  <c r="C30" i="96"/>
  <c r="C43" i="96" s="1"/>
  <c r="B28" i="96"/>
  <c r="P5" i="96"/>
  <c r="P6" i="96" s="1"/>
  <c r="P7" i="96" s="1"/>
  <c r="P8" i="96" s="1"/>
  <c r="P9" i="96" s="1"/>
  <c r="P10" i="96" s="1"/>
  <c r="A5" i="96"/>
  <c r="A6" i="96" s="1"/>
  <c r="A7" i="96" s="1"/>
  <c r="A8" i="96" s="1"/>
  <c r="N23" i="96"/>
  <c r="M23" i="96"/>
  <c r="L23" i="96"/>
  <c r="K23" i="96"/>
  <c r="J23" i="96"/>
  <c r="I23" i="96"/>
  <c r="H23" i="96"/>
  <c r="G23" i="96"/>
  <c r="F23" i="96"/>
  <c r="E23" i="96"/>
  <c r="D23" i="96"/>
  <c r="C23" i="96"/>
  <c r="O22" i="96"/>
  <c r="O21" i="96"/>
  <c r="O20" i="96"/>
  <c r="O18" i="96"/>
  <c r="N18" i="96"/>
  <c r="M18" i="96"/>
  <c r="L18" i="96"/>
  <c r="K18" i="96"/>
  <c r="J18" i="96"/>
  <c r="I18" i="96"/>
  <c r="H18" i="96"/>
  <c r="G18" i="96"/>
  <c r="F18" i="96"/>
  <c r="E18" i="96"/>
  <c r="D18" i="96"/>
  <c r="C18" i="96"/>
  <c r="O13" i="96"/>
  <c r="O12" i="96"/>
  <c r="O11" i="96"/>
  <c r="O7" i="96"/>
  <c r="O6" i="96"/>
  <c r="G12" i="79"/>
  <c r="G13" i="79"/>
  <c r="G14" i="79"/>
  <c r="G15" i="79"/>
  <c r="G16" i="79"/>
  <c r="G17" i="79"/>
  <c r="G18" i="79"/>
  <c r="G19" i="79"/>
  <c r="G20" i="79"/>
  <c r="G21" i="79"/>
  <c r="G22" i="79"/>
  <c r="G23" i="79"/>
  <c r="G24" i="79"/>
  <c r="G25" i="79"/>
  <c r="G26" i="79"/>
  <c r="G27" i="79"/>
  <c r="G28" i="79"/>
  <c r="G29" i="79"/>
  <c r="G30" i="79"/>
  <c r="G31" i="79"/>
  <c r="G32" i="79"/>
  <c r="G33" i="79"/>
  <c r="G34" i="79"/>
  <c r="G35" i="79"/>
  <c r="G36" i="79"/>
  <c r="G37" i="79"/>
  <c r="G38" i="79"/>
  <c r="A12" i="79"/>
  <c r="A13" i="79"/>
  <c r="A14" i="79"/>
  <c r="A15" i="79"/>
  <c r="A16" i="79"/>
  <c r="A17" i="79"/>
  <c r="A18" i="79"/>
  <c r="A19" i="79"/>
  <c r="A20" i="79"/>
  <c r="A21" i="79"/>
  <c r="A22" i="79"/>
  <c r="A23" i="79"/>
  <c r="A24" i="79"/>
  <c r="A25" i="79"/>
  <c r="A26" i="79"/>
  <c r="A27" i="79"/>
  <c r="A28" i="79"/>
  <c r="A29" i="79"/>
  <c r="A30" i="79"/>
  <c r="A31" i="79"/>
  <c r="A32" i="79"/>
  <c r="A33" i="79"/>
  <c r="A34" i="79"/>
  <c r="A35" i="79"/>
  <c r="A36" i="79"/>
  <c r="A37" i="79"/>
  <c r="A38" i="79"/>
  <c r="Q8" i="56"/>
  <c r="A8" i="56"/>
  <c r="N5" i="56"/>
  <c r="M5" i="56"/>
  <c r="L5" i="56"/>
  <c r="K5" i="56"/>
  <c r="J5" i="56"/>
  <c r="I5" i="56"/>
  <c r="H5" i="56"/>
  <c r="G5" i="56"/>
  <c r="F5" i="56"/>
  <c r="E5" i="56"/>
  <c r="D5" i="56"/>
  <c r="P9" i="97"/>
  <c r="P10" i="97"/>
  <c r="P11" i="97"/>
  <c r="P12" i="97"/>
  <c r="P13" i="97"/>
  <c r="P14" i="97"/>
  <c r="P15" i="97"/>
  <c r="P16" i="97"/>
  <c r="P17" i="97"/>
  <c r="P18" i="97"/>
  <c r="P19" i="97"/>
  <c r="P20" i="97"/>
  <c r="P21" i="97"/>
  <c r="P22" i="97"/>
  <c r="P23" i="97"/>
  <c r="P24" i="97"/>
  <c r="P29" i="97"/>
  <c r="P30" i="97"/>
  <c r="P31" i="97"/>
  <c r="P32" i="97"/>
  <c r="P33" i="97"/>
  <c r="P36" i="97"/>
  <c r="P37" i="97"/>
  <c r="P38" i="97"/>
  <c r="P39" i="97"/>
  <c r="P40" i="97"/>
  <c r="P41" i="97"/>
  <c r="P42" i="97"/>
  <c r="P43" i="97"/>
  <c r="P44" i="97"/>
  <c r="P45" i="97"/>
  <c r="P46" i="97"/>
  <c r="P47" i="97"/>
  <c r="P48" i="97"/>
  <c r="P49" i="97"/>
  <c r="A9" i="97"/>
  <c r="A10" i="97"/>
  <c r="A11" i="97"/>
  <c r="A12" i="97"/>
  <c r="A13" i="97"/>
  <c r="A14" i="97"/>
  <c r="A15" i="97"/>
  <c r="A16" i="97"/>
  <c r="A17" i="97"/>
  <c r="A18" i="97"/>
  <c r="A19" i="97"/>
  <c r="A20" i="97"/>
  <c r="A21" i="97"/>
  <c r="A22" i="97"/>
  <c r="A23" i="97"/>
  <c r="A24" i="97"/>
  <c r="A29" i="97"/>
  <c r="A30" i="97"/>
  <c r="A31" i="97"/>
  <c r="A32" i="97"/>
  <c r="A33" i="97"/>
  <c r="A36" i="97"/>
  <c r="A37" i="97"/>
  <c r="A38" i="97"/>
  <c r="A39" i="97"/>
  <c r="A40" i="97"/>
  <c r="A41" i="97"/>
  <c r="A42" i="97"/>
  <c r="A43" i="97"/>
  <c r="A44" i="97"/>
  <c r="A45" i="97"/>
  <c r="A46" i="97"/>
  <c r="A47" i="97"/>
  <c r="A48" i="97"/>
  <c r="A49" i="97"/>
  <c r="D15" i="116"/>
  <c r="I15" i="117" s="1"/>
  <c r="D15" i="119"/>
  <c r="D23" i="119" s="1"/>
  <c r="D37" i="119"/>
  <c r="D14" i="140" s="1"/>
  <c r="H15" i="119"/>
  <c r="H37" i="119"/>
  <c r="H14" i="140" s="1"/>
  <c r="H15" i="116"/>
  <c r="F16" i="96"/>
  <c r="J14" i="96"/>
  <c r="N16" i="96"/>
  <c r="C14" i="96"/>
  <c r="D14" i="96"/>
  <c r="H14" i="96"/>
  <c r="L16" i="96"/>
  <c r="Q9" i="56"/>
  <c r="Q10" i="56"/>
  <c r="Q11" i="56"/>
  <c r="Q12" i="56"/>
  <c r="Q13" i="56"/>
  <c r="Q14" i="56"/>
  <c r="Q15" i="56"/>
  <c r="Q16" i="56"/>
  <c r="Q17" i="56"/>
  <c r="Q18" i="56"/>
  <c r="Q19" i="56"/>
  <c r="Q20" i="56"/>
  <c r="A9" i="56"/>
  <c r="A10" i="56"/>
  <c r="A11" i="56"/>
  <c r="A12" i="56"/>
  <c r="A13" i="56"/>
  <c r="A14" i="56"/>
  <c r="A15" i="56"/>
  <c r="G31" i="97"/>
  <c r="C32" i="97"/>
  <c r="K32" i="97"/>
  <c r="N35" i="97"/>
  <c r="N36" i="97"/>
  <c r="N37" i="97"/>
  <c r="F31" i="97"/>
  <c r="J31" i="97"/>
  <c r="N31" i="97"/>
  <c r="F32" i="97"/>
  <c r="F41" i="97" s="1"/>
  <c r="F12" i="140"/>
  <c r="J32" i="97"/>
  <c r="N32" i="97"/>
  <c r="E35" i="97"/>
  <c r="I35" i="97"/>
  <c r="C34" i="140"/>
  <c r="M35" i="97"/>
  <c r="E36" i="97"/>
  <c r="I36" i="97"/>
  <c r="M36" i="97"/>
  <c r="E37" i="97"/>
  <c r="I37" i="97"/>
  <c r="M37" i="97"/>
  <c r="C31" i="97"/>
  <c r="G32" i="97"/>
  <c r="J35" i="97"/>
  <c r="F36" i="97"/>
  <c r="F37" i="97"/>
  <c r="D32" i="97"/>
  <c r="O32" i="97" s="1"/>
  <c r="H32" i="97"/>
  <c r="L32" i="97"/>
  <c r="G35" i="97"/>
  <c r="K35" i="97"/>
  <c r="C36" i="97"/>
  <c r="C18" i="140"/>
  <c r="G36" i="97"/>
  <c r="G18" i="140"/>
  <c r="K36" i="97"/>
  <c r="C37" i="97"/>
  <c r="O37" i="97" s="1"/>
  <c r="C20" i="140"/>
  <c r="G37" i="97"/>
  <c r="K37" i="97"/>
  <c r="K31" i="97"/>
  <c r="F35" i="97"/>
  <c r="O35" i="97" s="1"/>
  <c r="J36" i="97"/>
  <c r="J37" i="97"/>
  <c r="I31" i="97"/>
  <c r="E32" i="97"/>
  <c r="I32" i="97"/>
  <c r="M32" i="97"/>
  <c r="D35" i="97"/>
  <c r="D16" i="140"/>
  <c r="H35" i="97"/>
  <c r="L35" i="97"/>
  <c r="D36" i="97"/>
  <c r="H36" i="97"/>
  <c r="L36" i="97"/>
  <c r="D37" i="97"/>
  <c r="H37" i="97"/>
  <c r="L37" i="97"/>
  <c r="I18" i="111"/>
  <c r="M18" i="111"/>
  <c r="F18" i="111"/>
  <c r="N18" i="111"/>
  <c r="C18" i="111"/>
  <c r="G18" i="111"/>
  <c r="K18" i="111"/>
  <c r="E18" i="111"/>
  <c r="J18" i="111"/>
  <c r="D18" i="111"/>
  <c r="H18" i="111"/>
  <c r="L18" i="111"/>
  <c r="L23" i="97"/>
  <c r="D35" i="79"/>
  <c r="D37" i="79"/>
  <c r="D22" i="143"/>
  <c r="D26" i="143"/>
  <c r="O10" i="97"/>
  <c r="O11" i="97"/>
  <c r="O20" i="97"/>
  <c r="H16" i="97"/>
  <c r="I23" i="97"/>
  <c r="C45" i="97"/>
  <c r="F23" i="97"/>
  <c r="J23" i="97"/>
  <c r="N23" i="97"/>
  <c r="E23" i="97"/>
  <c r="M23" i="97"/>
  <c r="G16" i="96"/>
  <c r="G14" i="96"/>
  <c r="K16" i="96"/>
  <c r="K14" i="96"/>
  <c r="F14" i="96"/>
  <c r="N14" i="96"/>
  <c r="O22" i="97"/>
  <c r="D46" i="97"/>
  <c r="D48" i="97"/>
  <c r="D33" i="97" s="1"/>
  <c r="L46" i="97"/>
  <c r="L48" i="97"/>
  <c r="L33" i="97"/>
  <c r="G23" i="97"/>
  <c r="D31" i="97"/>
  <c r="L31" i="97"/>
  <c r="C35" i="97"/>
  <c r="F45" i="97"/>
  <c r="F48" i="97"/>
  <c r="F33" i="97"/>
  <c r="N45" i="97"/>
  <c r="N48" i="97"/>
  <c r="N33" i="97"/>
  <c r="E46" i="97"/>
  <c r="E48" i="97"/>
  <c r="E33" i="97" s="1"/>
  <c r="M46" i="97"/>
  <c r="M48" i="97"/>
  <c r="M33" i="97" s="1"/>
  <c r="D16" i="97"/>
  <c r="E31" i="97"/>
  <c r="M31" i="97"/>
  <c r="G45" i="97"/>
  <c r="G48" i="97"/>
  <c r="G33" i="97" s="1"/>
  <c r="H46" i="97"/>
  <c r="H48" i="97" s="1"/>
  <c r="H33" i="97" s="1"/>
  <c r="H41" i="97" s="1"/>
  <c r="O7" i="97"/>
  <c r="C23" i="97"/>
  <c r="K23" i="97"/>
  <c r="H31" i="97"/>
  <c r="J45" i="97"/>
  <c r="J48" i="97"/>
  <c r="J33" i="97" s="1"/>
  <c r="J41" i="97" s="1"/>
  <c r="O12" i="97"/>
  <c r="O6" i="97"/>
  <c r="O14" i="97" s="1"/>
  <c r="O21" i="97"/>
  <c r="E14" i="96"/>
  <c r="E16" i="96"/>
  <c r="I14" i="96"/>
  <c r="I16" i="96"/>
  <c r="M14" i="96"/>
  <c r="M16" i="96"/>
  <c r="O13" i="56"/>
  <c r="E12" i="17"/>
  <c r="D19" i="32"/>
  <c r="C15" i="116"/>
  <c r="C15" i="119"/>
  <c r="F15" i="119"/>
  <c r="F37" i="119" s="1"/>
  <c r="F14" i="140" s="1"/>
  <c r="F15" i="116"/>
  <c r="F23" i="116" s="1"/>
  <c r="E15" i="119"/>
  <c r="E37" i="119" s="1"/>
  <c r="E15" i="116"/>
  <c r="H15" i="120"/>
  <c r="H15" i="117"/>
  <c r="C15" i="117"/>
  <c r="C23" i="117"/>
  <c r="C15" i="120"/>
  <c r="I15" i="120" s="1"/>
  <c r="F15" i="120"/>
  <c r="F15" i="117"/>
  <c r="E15" i="120"/>
  <c r="E15" i="117"/>
  <c r="G15" i="119"/>
  <c r="G37" i="119" s="1"/>
  <c r="G14" i="140" s="1"/>
  <c r="G15" i="116"/>
  <c r="G15" i="120"/>
  <c r="G15" i="117"/>
  <c r="D15" i="120"/>
  <c r="D15" i="117"/>
  <c r="L14" i="96"/>
  <c r="D16" i="96"/>
  <c r="H16" i="96"/>
  <c r="C16" i="96"/>
  <c r="J16" i="96"/>
  <c r="O8" i="96"/>
  <c r="F16" i="97"/>
  <c r="K16" i="97"/>
  <c r="J16" i="97"/>
  <c r="O36" i="97"/>
  <c r="C16" i="97"/>
  <c r="L16" i="97"/>
  <c r="I16" i="97"/>
  <c r="D23" i="116"/>
  <c r="N16" i="97"/>
  <c r="E10" i="140"/>
  <c r="F10" i="140"/>
  <c r="D10" i="56"/>
  <c r="D17" i="111" s="1"/>
  <c r="J10" i="56"/>
  <c r="K10" i="56"/>
  <c r="I10" i="56"/>
  <c r="G10" i="56"/>
  <c r="M10" i="56"/>
  <c r="C31" i="79" s="1"/>
  <c r="N10" i="56"/>
  <c r="C33" i="79" s="1"/>
  <c r="E33" i="79" s="1"/>
  <c r="H10" i="56"/>
  <c r="C21" i="79" s="1"/>
  <c r="E21" i="79" s="1"/>
  <c r="O18" i="111"/>
  <c r="C10" i="56"/>
  <c r="F10" i="56"/>
  <c r="M16" i="97"/>
  <c r="O8" i="97"/>
  <c r="O16" i="97"/>
  <c r="G16" i="97"/>
  <c r="E16" i="97"/>
  <c r="O23" i="97"/>
  <c r="O31" i="97"/>
  <c r="O45" i="97"/>
  <c r="D37" i="120"/>
  <c r="D32" i="140" s="1"/>
  <c r="C37" i="120"/>
  <c r="C32" i="140" s="1"/>
  <c r="C37" i="119"/>
  <c r="E23" i="117"/>
  <c r="D23" i="117"/>
  <c r="C17" i="79"/>
  <c r="E17" i="79" s="1"/>
  <c r="F17" i="111"/>
  <c r="C19" i="79"/>
  <c r="G17" i="111"/>
  <c r="C29" i="79"/>
  <c r="C11" i="79"/>
  <c r="C17" i="111"/>
  <c r="C27" i="79"/>
  <c r="E27" i="79"/>
  <c r="K17" i="111"/>
  <c r="C25" i="79"/>
  <c r="E25" i="79" s="1"/>
  <c r="J17" i="111"/>
  <c r="C23" i="79"/>
  <c r="E23" i="79"/>
  <c r="I17" i="111"/>
  <c r="C23" i="120"/>
  <c r="D23" i="120"/>
  <c r="O8" i="56"/>
  <c r="C14" i="140"/>
  <c r="E19" i="79"/>
  <c r="E29" i="79"/>
  <c r="E11" i="79"/>
  <c r="F22" i="108"/>
  <c r="D26" i="47"/>
  <c r="D28" i="47"/>
  <c r="D24" i="47"/>
  <c r="D16" i="47"/>
  <c r="D14" i="47"/>
  <c r="D10" i="47"/>
  <c r="B4" i="22"/>
  <c r="B4" i="47"/>
  <c r="B15" i="32"/>
  <c r="B4" i="32"/>
  <c r="A4" i="51"/>
  <c r="A4" i="35"/>
  <c r="D22" i="24"/>
  <c r="D21" i="24"/>
  <c r="D19" i="24"/>
  <c r="D18" i="24"/>
  <c r="D17" i="24"/>
  <c r="D16" i="24"/>
  <c r="D14" i="24"/>
  <c r="D13" i="24"/>
  <c r="B23" i="35"/>
  <c r="B22" i="35"/>
  <c r="B21" i="35"/>
  <c r="B20" i="35"/>
  <c r="B19" i="35"/>
  <c r="B18" i="35"/>
  <c r="B17" i="35"/>
  <c r="B16" i="35"/>
  <c r="B15" i="35"/>
  <c r="B14" i="35"/>
  <c r="B13" i="35"/>
  <c r="A9" i="89"/>
  <c r="G13" i="24"/>
  <c r="G14" i="24"/>
  <c r="G15" i="24"/>
  <c r="G16" i="24"/>
  <c r="G17" i="24"/>
  <c r="G18" i="24"/>
  <c r="G19" i="24"/>
  <c r="G20" i="24"/>
  <c r="G21" i="24"/>
  <c r="G22" i="24"/>
  <c r="G23" i="24"/>
  <c r="G24" i="24"/>
  <c r="G25" i="24"/>
  <c r="G26" i="24"/>
  <c r="H11" i="17"/>
  <c r="H12" i="17"/>
  <c r="H13" i="17"/>
  <c r="H14" i="17"/>
  <c r="H15" i="17"/>
  <c r="H16" i="17"/>
  <c r="H17" i="17"/>
  <c r="H18" i="17"/>
  <c r="H19" i="17"/>
  <c r="H20" i="17"/>
  <c r="H21" i="17"/>
  <c r="H22" i="17"/>
  <c r="A11" i="17"/>
  <c r="A12" i="17"/>
  <c r="A13" i="17"/>
  <c r="A14" i="17"/>
  <c r="A15" i="17"/>
  <c r="A16" i="17"/>
  <c r="A17" i="17"/>
  <c r="A18" i="17"/>
  <c r="A19" i="17"/>
  <c r="A20" i="17"/>
  <c r="G14" i="32"/>
  <c r="G15" i="32"/>
  <c r="G16" i="32"/>
  <c r="G17" i="32"/>
  <c r="G18" i="32"/>
  <c r="G19" i="32"/>
  <c r="G20" i="32"/>
  <c r="G21" i="32"/>
  <c r="G22" i="32"/>
  <c r="A14" i="32"/>
  <c r="A15" i="32"/>
  <c r="A16" i="32"/>
  <c r="A17" i="32"/>
  <c r="A18" i="32"/>
  <c r="A19" i="32"/>
  <c r="A20" i="32"/>
  <c r="A21" i="32"/>
  <c r="A22" i="32"/>
  <c r="E11" i="47"/>
  <c r="E12" i="47"/>
  <c r="E13" i="47"/>
  <c r="E14" i="47"/>
  <c r="E15" i="47"/>
  <c r="E16" i="47"/>
  <c r="E17" i="47"/>
  <c r="A11" i="46"/>
  <c r="A12" i="46"/>
  <c r="A13" i="46"/>
  <c r="A14" i="46"/>
  <c r="A15" i="46"/>
  <c r="A16" i="46"/>
  <c r="A17" i="46"/>
  <c r="G13" i="51"/>
  <c r="G14" i="51"/>
  <c r="G15" i="51"/>
  <c r="G16" i="51"/>
  <c r="G17" i="51"/>
  <c r="G18" i="51"/>
  <c r="G19" i="51"/>
  <c r="G20" i="51"/>
  <c r="G21" i="51"/>
  <c r="G22" i="51"/>
  <c r="G23" i="51"/>
  <c r="G24" i="51"/>
  <c r="G25" i="51"/>
  <c r="G26" i="51"/>
  <c r="A13" i="51"/>
  <c r="A14" i="51"/>
  <c r="A15" i="51"/>
  <c r="A16" i="51"/>
  <c r="A17" i="51"/>
  <c r="A18" i="51"/>
  <c r="A19" i="51"/>
  <c r="A20" i="51"/>
  <c r="A21" i="51"/>
  <c r="A22" i="51"/>
  <c r="A23" i="51"/>
  <c r="A24" i="51"/>
  <c r="A25" i="51"/>
  <c r="A26" i="51"/>
  <c r="E11" i="46"/>
  <c r="E12" i="46"/>
  <c r="E13" i="46"/>
  <c r="E14" i="46"/>
  <c r="E15" i="46"/>
  <c r="E16" i="46"/>
  <c r="E17" i="46"/>
  <c r="A11" i="47"/>
  <c r="A12" i="47"/>
  <c r="A13" i="47"/>
  <c r="A14" i="47"/>
  <c r="A15" i="47"/>
  <c r="A16" i="47"/>
  <c r="A17" i="47"/>
  <c r="D13" i="22"/>
  <c r="C13" i="22"/>
  <c r="H14" i="35"/>
  <c r="H15" i="35"/>
  <c r="H16" i="35"/>
  <c r="H17" i="35"/>
  <c r="H18" i="35"/>
  <c r="H19" i="35"/>
  <c r="H20" i="35"/>
  <c r="H21" i="35"/>
  <c r="H22" i="35"/>
  <c r="H23" i="35"/>
  <c r="H24" i="35"/>
  <c r="H25" i="35"/>
  <c r="H26" i="35"/>
  <c r="H27" i="35"/>
  <c r="H28" i="35"/>
  <c r="H29" i="35"/>
  <c r="H30" i="35"/>
  <c r="H31" i="35"/>
  <c r="H32" i="35"/>
  <c r="H33" i="35"/>
  <c r="H34" i="35"/>
  <c r="H35" i="35"/>
  <c r="H36" i="35"/>
  <c r="H37" i="35"/>
  <c r="H38" i="35"/>
  <c r="H39" i="35"/>
  <c r="H40" i="35"/>
  <c r="A14" i="35"/>
  <c r="A15" i="35"/>
  <c r="A16" i="35"/>
  <c r="A17" i="35"/>
  <c r="A18" i="35"/>
  <c r="A19" i="35"/>
  <c r="A20" i="35"/>
  <c r="A21" i="35"/>
  <c r="A22" i="35"/>
  <c r="A23" i="35"/>
  <c r="A24" i="35"/>
  <c r="A25" i="35"/>
  <c r="A26" i="35"/>
  <c r="A27" i="35"/>
  <c r="A28" i="35"/>
  <c r="A29" i="35"/>
  <c r="A30" i="35"/>
  <c r="A31" i="35"/>
  <c r="A32" i="35"/>
  <c r="A33" i="35"/>
  <c r="A34" i="35"/>
  <c r="A35" i="35"/>
  <c r="A36" i="35"/>
  <c r="A37" i="35"/>
  <c r="A38" i="35"/>
  <c r="A39" i="35"/>
  <c r="A13" i="24"/>
  <c r="A14" i="24"/>
  <c r="A15" i="24"/>
  <c r="A16" i="24"/>
  <c r="A17" i="24"/>
  <c r="A18" i="24"/>
  <c r="A19" i="24"/>
  <c r="A20" i="24"/>
  <c r="A21" i="24"/>
  <c r="A22" i="24"/>
  <c r="A23" i="24"/>
  <c r="A24" i="24"/>
  <c r="A25" i="24"/>
  <c r="A26" i="24"/>
  <c r="A14" i="22"/>
  <c r="A15" i="22"/>
  <c r="A16" i="22"/>
  <c r="A17" i="22"/>
  <c r="A18" i="22"/>
  <c r="A19" i="22"/>
  <c r="A20" i="22"/>
  <c r="A21" i="22"/>
  <c r="A22" i="22"/>
  <c r="A23" i="22"/>
  <c r="G14" i="22"/>
  <c r="G15" i="22"/>
  <c r="G16" i="22"/>
  <c r="G17" i="22"/>
  <c r="G18" i="22"/>
  <c r="G19" i="22"/>
  <c r="G20" i="22"/>
  <c r="G21" i="22"/>
  <c r="G22" i="22"/>
  <c r="G23" i="22"/>
  <c r="A40" i="35"/>
  <c r="A21" i="17"/>
  <c r="A22" i="17"/>
  <c r="A23" i="17"/>
  <c r="A24" i="17"/>
  <c r="H23" i="17"/>
  <c r="H24" i="17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G23" i="32"/>
  <c r="G24" i="32"/>
  <c r="G25" i="32"/>
  <c r="G26" i="32"/>
  <c r="G27" i="32"/>
  <c r="G28" i="32"/>
  <c r="G29" i="32"/>
  <c r="G30" i="32"/>
  <c r="G31" i="32"/>
  <c r="G32" i="32"/>
  <c r="G33" i="32"/>
  <c r="G34" i="32"/>
  <c r="G35" i="32"/>
  <c r="G36" i="32"/>
  <c r="G37" i="32"/>
  <c r="C8" i="89"/>
  <c r="C9" i="89"/>
  <c r="E18" i="47"/>
  <c r="E19" i="47"/>
  <c r="E20" i="47"/>
  <c r="E21" i="47"/>
  <c r="E22" i="47"/>
  <c r="E23" i="47"/>
  <c r="E24" i="47"/>
  <c r="E25" i="47"/>
  <c r="A18" i="47"/>
  <c r="A19" i="47"/>
  <c r="A20" i="47"/>
  <c r="A21" i="47"/>
  <c r="A22" i="47"/>
  <c r="A23" i="47"/>
  <c r="A24" i="47"/>
  <c r="A25" i="47"/>
  <c r="E18" i="46"/>
  <c r="E19" i="46"/>
  <c r="E20" i="46"/>
  <c r="E21" i="46"/>
  <c r="E22" i="46"/>
  <c r="E23" i="46"/>
  <c r="E24" i="46"/>
  <c r="E25" i="46"/>
  <c r="A18" i="46"/>
  <c r="A19" i="46"/>
  <c r="A20" i="46"/>
  <c r="A21" i="46"/>
  <c r="A22" i="46"/>
  <c r="A23" i="46"/>
  <c r="A24" i="46"/>
  <c r="B24" i="35"/>
  <c r="C13" i="35"/>
  <c r="E13" i="35" s="1"/>
  <c r="E26" i="47"/>
  <c r="E27" i="47"/>
  <c r="E28" i="47"/>
  <c r="E29" i="47"/>
  <c r="E30" i="47"/>
  <c r="E31" i="47"/>
  <c r="E32" i="47"/>
  <c r="E33" i="47"/>
  <c r="E34" i="47"/>
  <c r="E35" i="47"/>
  <c r="E36" i="47"/>
  <c r="A26" i="47"/>
  <c r="A27" i="47"/>
  <c r="A28" i="47"/>
  <c r="A29" i="47"/>
  <c r="A30" i="47"/>
  <c r="A31" i="47"/>
  <c r="A32" i="47"/>
  <c r="A33" i="47"/>
  <c r="A34" i="47"/>
  <c r="A35" i="47"/>
  <c r="A36" i="47"/>
  <c r="A25" i="46"/>
  <c r="A26" i="46"/>
  <c r="A27" i="46"/>
  <c r="A28" i="46"/>
  <c r="A29" i="46"/>
  <c r="A30" i="46"/>
  <c r="A31" i="46"/>
  <c r="A32" i="46"/>
  <c r="E26" i="46"/>
  <c r="E27" i="46"/>
  <c r="E28" i="46"/>
  <c r="E29" i="46"/>
  <c r="E30" i="46"/>
  <c r="E31" i="46"/>
  <c r="E32" i="46"/>
  <c r="C18" i="35"/>
  <c r="E18" i="35" s="1"/>
  <c r="F18" i="35" s="1"/>
  <c r="C16" i="35"/>
  <c r="E16" i="35" s="1"/>
  <c r="F16" i="35" s="1"/>
  <c r="C20" i="35"/>
  <c r="E20" i="35" s="1"/>
  <c r="F20" i="35" s="1"/>
  <c r="L39" i="97"/>
  <c r="C21" i="51" s="1"/>
  <c r="E21" i="51" s="1"/>
  <c r="C19" i="35"/>
  <c r="E19" i="35" s="1"/>
  <c r="F19" i="35" s="1"/>
  <c r="C24" i="35"/>
  <c r="E24" i="35" s="1"/>
  <c r="F24" i="35" s="1"/>
  <c r="O38" i="97"/>
  <c r="C17" i="35"/>
  <c r="E17" i="35"/>
  <c r="F17" i="35" s="1"/>
  <c r="D26" i="35"/>
  <c r="O13" i="97"/>
  <c r="A16" i="56"/>
  <c r="A17" i="56"/>
  <c r="A18" i="56"/>
  <c r="A19" i="56"/>
  <c r="A20" i="56"/>
  <c r="E45" i="143" l="1"/>
  <c r="I20" i="111"/>
  <c r="N22" i="108"/>
  <c r="J20" i="111"/>
  <c r="K21" i="108" s="1"/>
  <c r="K22" i="108" s="1"/>
  <c r="G19" i="56"/>
  <c r="F19" i="56"/>
  <c r="N19" i="56"/>
  <c r="C30" i="107" s="1"/>
  <c r="G52" i="141"/>
  <c r="H49" i="141"/>
  <c r="H52" i="141" s="1"/>
  <c r="I49" i="141"/>
  <c r="H16" i="56" s="1"/>
  <c r="O10" i="56"/>
  <c r="E16" i="143"/>
  <c r="C18" i="143" s="1"/>
  <c r="D18" i="143"/>
  <c r="H17" i="111"/>
  <c r="C13" i="79"/>
  <c r="E13" i="79" s="1"/>
  <c r="O61" i="111"/>
  <c r="E63" i="111"/>
  <c r="O63" i="111" s="1"/>
  <c r="N5" i="111"/>
  <c r="N56" i="111" s="1"/>
  <c r="K5" i="111"/>
  <c r="K56" i="111" s="1"/>
  <c r="J5" i="111"/>
  <c r="J56" i="111" s="1"/>
  <c r="I5" i="111"/>
  <c r="I56" i="111" s="1"/>
  <c r="E11" i="147"/>
  <c r="D13" i="147" s="1"/>
  <c r="D15" i="147" s="1"/>
  <c r="D35" i="32" s="1"/>
  <c r="D17" i="22" s="1"/>
  <c r="H43" i="119"/>
  <c r="H20" i="140" s="1"/>
  <c r="G41" i="120"/>
  <c r="G36" i="140" s="1"/>
  <c r="E28" i="120"/>
  <c r="H35" i="119"/>
  <c r="H12" i="140" s="1"/>
  <c r="E43" i="119"/>
  <c r="E20" i="140" s="1"/>
  <c r="F22" i="140"/>
  <c r="F28" i="120"/>
  <c r="G35" i="119"/>
  <c r="G12" i="140" s="1"/>
  <c r="F39" i="119"/>
  <c r="F16" i="140" s="1"/>
  <c r="E41" i="119"/>
  <c r="E18" i="140" s="1"/>
  <c r="D33" i="120"/>
  <c r="D28" i="140" s="1"/>
  <c r="H28" i="120"/>
  <c r="E39" i="119"/>
  <c r="D41" i="119"/>
  <c r="D18" i="140" s="1"/>
  <c r="D22" i="140" s="1"/>
  <c r="G37" i="120"/>
  <c r="G32" i="140" s="1"/>
  <c r="G40" i="140" s="1"/>
  <c r="F45" i="119"/>
  <c r="D35" i="120"/>
  <c r="D30" i="140" s="1"/>
  <c r="G33" i="120"/>
  <c r="G28" i="140" s="1"/>
  <c r="C33" i="120"/>
  <c r="G33" i="119"/>
  <c r="G10" i="140" s="1"/>
  <c r="G22" i="140" s="1"/>
  <c r="A5" i="120"/>
  <c r="F21" i="35"/>
  <c r="O48" i="97"/>
  <c r="D41" i="97"/>
  <c r="J39" i="97"/>
  <c r="C19" i="51" s="1"/>
  <c r="E19" i="51" s="1"/>
  <c r="M41" i="97"/>
  <c r="L41" i="97"/>
  <c r="N41" i="97"/>
  <c r="F39" i="97"/>
  <c r="C15" i="51" s="1"/>
  <c r="E15" i="51" s="1"/>
  <c r="C39" i="97"/>
  <c r="C12" i="51" s="1"/>
  <c r="E12" i="51" s="1"/>
  <c r="K48" i="97"/>
  <c r="K33" i="97" s="1"/>
  <c r="I39" i="97"/>
  <c r="C18" i="51" s="1"/>
  <c r="E18" i="51" s="1"/>
  <c r="C48" i="97"/>
  <c r="C33" i="97" s="1"/>
  <c r="O33" i="97" s="1"/>
  <c r="O41" i="97" s="1"/>
  <c r="K39" i="97"/>
  <c r="C20" i="51" s="1"/>
  <c r="E20" i="51" s="1"/>
  <c r="G41" i="97"/>
  <c r="D39" i="97"/>
  <c r="C13" i="51" s="1"/>
  <c r="E13" i="51" s="1"/>
  <c r="E41" i="97"/>
  <c r="K41" i="97"/>
  <c r="H39" i="97"/>
  <c r="C17" i="51" s="1"/>
  <c r="E17" i="51" s="1"/>
  <c r="E14" i="140"/>
  <c r="E45" i="119"/>
  <c r="O39" i="97"/>
  <c r="F13" i="35"/>
  <c r="F26" i="35" s="1"/>
  <c r="F34" i="35" s="1"/>
  <c r="F40" i="35" s="1"/>
  <c r="E26" i="35"/>
  <c r="E28" i="35" s="1"/>
  <c r="C12" i="140"/>
  <c r="C10" i="140"/>
  <c r="C45" i="119"/>
  <c r="E16" i="140"/>
  <c r="D40" i="140"/>
  <c r="C28" i="140"/>
  <c r="C40" i="140" s="1"/>
  <c r="N39" i="97"/>
  <c r="C23" i="51" s="1"/>
  <c r="E23" i="51" s="1"/>
  <c r="M39" i="97"/>
  <c r="C22" i="51" s="1"/>
  <c r="E22" i="51" s="1"/>
  <c r="H23" i="120"/>
  <c r="E23" i="116"/>
  <c r="C41" i="97"/>
  <c r="I41" i="97"/>
  <c r="I13" i="117"/>
  <c r="I23" i="117" s="1"/>
  <c r="E41" i="120"/>
  <c r="E36" i="140" s="1"/>
  <c r="C26" i="35"/>
  <c r="E39" i="97"/>
  <c r="C14" i="51" s="1"/>
  <c r="E14" i="51" s="1"/>
  <c r="D45" i="120"/>
  <c r="C23" i="119"/>
  <c r="C35" i="120"/>
  <c r="C30" i="140" s="1"/>
  <c r="I17" i="117"/>
  <c r="G39" i="97"/>
  <c r="C16" i="51" s="1"/>
  <c r="E16" i="51" s="1"/>
  <c r="G45" i="120"/>
  <c r="E23" i="119"/>
  <c r="H33" i="119"/>
  <c r="G23" i="119"/>
  <c r="J48" i="96"/>
  <c r="J33" i="96" s="1"/>
  <c r="O34" i="96"/>
  <c r="G39" i="96"/>
  <c r="C16" i="24" s="1"/>
  <c r="O35" i="96"/>
  <c r="B10" i="107"/>
  <c r="B14" i="113"/>
  <c r="B10" i="113"/>
  <c r="B30" i="113"/>
  <c r="B14" i="144"/>
  <c r="B26" i="107"/>
  <c r="B30" i="144"/>
  <c r="A3" i="113"/>
  <c r="A3" i="107" s="1"/>
  <c r="B8" i="113"/>
  <c r="N20" i="111"/>
  <c r="O21" i="108" s="1"/>
  <c r="O22" i="108" s="1"/>
  <c r="E13" i="22"/>
  <c r="Q7" i="141"/>
  <c r="D49" i="141"/>
  <c r="C16" i="56" s="1"/>
  <c r="C19" i="111" s="1"/>
  <c r="D53" i="141" s="1"/>
  <c r="K16" i="56"/>
  <c r="K19" i="111" s="1"/>
  <c r="L52" i="141"/>
  <c r="A9" i="141"/>
  <c r="Q8" i="141"/>
  <c r="J49" i="141"/>
  <c r="I16" i="56" s="1"/>
  <c r="P17" i="108"/>
  <c r="E43" i="143" s="1"/>
  <c r="O52" i="141"/>
  <c r="N19" i="111"/>
  <c r="O53" i="141" s="1"/>
  <c r="C30" i="144"/>
  <c r="N17" i="111"/>
  <c r="P47" i="141"/>
  <c r="F52" i="141"/>
  <c r="M52" i="141"/>
  <c r="J19" i="111"/>
  <c r="K53" i="141" s="1"/>
  <c r="C22" i="144"/>
  <c r="J24" i="56"/>
  <c r="K52" i="141"/>
  <c r="C14" i="144"/>
  <c r="F24" i="56"/>
  <c r="F19" i="111"/>
  <c r="G53" i="141" s="1"/>
  <c r="E24" i="56"/>
  <c r="E19" i="111"/>
  <c r="F53" i="141" s="1"/>
  <c r="C12" i="144"/>
  <c r="P21" i="141"/>
  <c r="E52" i="141"/>
  <c r="E54" i="141" s="1"/>
  <c r="D24" i="56"/>
  <c r="C10" i="144"/>
  <c r="C18" i="107"/>
  <c r="H20" i="111"/>
  <c r="D21" i="108"/>
  <c r="D22" i="108" s="1"/>
  <c r="I20" i="108"/>
  <c r="D21" i="111"/>
  <c r="J21" i="108"/>
  <c r="J22" i="108" s="1"/>
  <c r="O23" i="96"/>
  <c r="L19" i="111"/>
  <c r="L21" i="111" s="1"/>
  <c r="C26" i="144"/>
  <c r="L24" i="56"/>
  <c r="N52" i="141"/>
  <c r="C28" i="144"/>
  <c r="M19" i="111"/>
  <c r="M24" i="56"/>
  <c r="E31" i="79"/>
  <c r="E35" i="79" s="1"/>
  <c r="E37" i="79" s="1"/>
  <c r="C35" i="79"/>
  <c r="C37" i="79" s="1"/>
  <c r="C22" i="143" s="1"/>
  <c r="M17" i="111"/>
  <c r="M48" i="96"/>
  <c r="M33" i="96" s="1"/>
  <c r="M41" i="96" s="1"/>
  <c r="M10" i="111" s="1"/>
  <c r="M12" i="111" s="1"/>
  <c r="M13" i="111" s="1"/>
  <c r="M14" i="111" s="1"/>
  <c r="D48" i="96"/>
  <c r="D33" i="96" s="1"/>
  <c r="D41" i="96" s="1"/>
  <c r="D10" i="111" s="1"/>
  <c r="D12" i="111" s="1"/>
  <c r="D13" i="111" s="1"/>
  <c r="D14" i="111" s="1"/>
  <c r="H48" i="96"/>
  <c r="H33" i="96" s="1"/>
  <c r="H41" i="96" s="1"/>
  <c r="H10" i="111" s="1"/>
  <c r="H12" i="111" s="1"/>
  <c r="N41" i="96"/>
  <c r="N10" i="111" s="1"/>
  <c r="N12" i="111" s="1"/>
  <c r="N13" i="111" s="1"/>
  <c r="I48" i="96"/>
  <c r="I33" i="96" s="1"/>
  <c r="I39" i="96" s="1"/>
  <c r="C18" i="24" s="1"/>
  <c r="E18" i="24" s="1"/>
  <c r="A9" i="96"/>
  <c r="A10" i="96" s="1"/>
  <c r="A11" i="96" s="1"/>
  <c r="A12" i="96" s="1"/>
  <c r="A13" i="96" s="1"/>
  <c r="A14" i="96" s="1"/>
  <c r="A15" i="96" s="1"/>
  <c r="A16" i="96" s="1"/>
  <c r="A17" i="96" s="1"/>
  <c r="A18" i="96" s="1"/>
  <c r="A19" i="96" s="1"/>
  <c r="A20" i="96" s="1"/>
  <c r="A21" i="96" s="1"/>
  <c r="A22" i="96" s="1"/>
  <c r="A23" i="96" s="1"/>
  <c r="A24" i="96" s="1"/>
  <c r="A29" i="96" s="1"/>
  <c r="A30" i="96" s="1"/>
  <c r="A31" i="96" s="1"/>
  <c r="A32" i="96" s="1"/>
  <c r="A33" i="96" s="1"/>
  <c r="A36" i="96" s="1"/>
  <c r="A37" i="96" s="1"/>
  <c r="A38" i="96" s="1"/>
  <c r="A39" i="96" s="1"/>
  <c r="A40" i="96" s="1"/>
  <c r="A41" i="96" s="1"/>
  <c r="A42" i="96" s="1"/>
  <c r="A43" i="96" s="1"/>
  <c r="A44" i="96" s="1"/>
  <c r="A45" i="96" s="1"/>
  <c r="A46" i="96" s="1"/>
  <c r="A47" i="96" s="1"/>
  <c r="A48" i="96" s="1"/>
  <c r="A49" i="96" s="1"/>
  <c r="O47" i="96"/>
  <c r="P11" i="96"/>
  <c r="P12" i="96" s="1"/>
  <c r="P13" i="96" s="1"/>
  <c r="P14" i="96" s="1"/>
  <c r="P15" i="96" s="1"/>
  <c r="P16" i="96" s="1"/>
  <c r="P17" i="96" s="1"/>
  <c r="P18" i="96" s="1"/>
  <c r="P19" i="96" s="1"/>
  <c r="P20" i="96" s="1"/>
  <c r="P21" i="96" s="1"/>
  <c r="P22" i="96" s="1"/>
  <c r="P23" i="96" s="1"/>
  <c r="P24" i="96" s="1"/>
  <c r="P29" i="96" s="1"/>
  <c r="P30" i="96" s="1"/>
  <c r="P31" i="96" s="1"/>
  <c r="P32" i="96" s="1"/>
  <c r="P33" i="96" s="1"/>
  <c r="P36" i="96" s="1"/>
  <c r="P37" i="96" s="1"/>
  <c r="P38" i="96" s="1"/>
  <c r="P39" i="96" s="1"/>
  <c r="P40" i="96" s="1"/>
  <c r="P41" i="96" s="1"/>
  <c r="P42" i="96" s="1"/>
  <c r="P43" i="96" s="1"/>
  <c r="P44" i="96" s="1"/>
  <c r="P45" i="96" s="1"/>
  <c r="P46" i="96" s="1"/>
  <c r="P47" i="96" s="1"/>
  <c r="P48" i="96" s="1"/>
  <c r="P49" i="96" s="1"/>
  <c r="O16" i="96"/>
  <c r="M39" i="96"/>
  <c r="C22" i="24" s="1"/>
  <c r="E22" i="24" s="1"/>
  <c r="O46" i="96"/>
  <c r="O48" i="96" s="1"/>
  <c r="N39" i="96"/>
  <c r="C23" i="24" s="1"/>
  <c r="E23" i="24" s="1"/>
  <c r="E16" i="24"/>
  <c r="J39" i="96"/>
  <c r="C19" i="24" s="1"/>
  <c r="E19" i="24" s="1"/>
  <c r="O36" i="96"/>
  <c r="D26" i="24"/>
  <c r="O31" i="96"/>
  <c r="O37" i="96"/>
  <c r="C41" i="96"/>
  <c r="C10" i="111" s="1"/>
  <c r="C12" i="111" s="1"/>
  <c r="C13" i="111" s="1"/>
  <c r="C39" i="96"/>
  <c r="C12" i="24" s="1"/>
  <c r="E12" i="24" s="1"/>
  <c r="K41" i="96"/>
  <c r="K10" i="111" s="1"/>
  <c r="K12" i="111" s="1"/>
  <c r="K13" i="111" s="1"/>
  <c r="L41" i="96"/>
  <c r="L10" i="111" s="1"/>
  <c r="L12" i="111" s="1"/>
  <c r="L13" i="111" s="1"/>
  <c r="F39" i="96"/>
  <c r="C15" i="24" s="1"/>
  <c r="E15" i="24" s="1"/>
  <c r="G41" i="96"/>
  <c r="G10" i="111" s="1"/>
  <c r="G12" i="111" s="1"/>
  <c r="G13" i="111" s="1"/>
  <c r="G14" i="111" s="1"/>
  <c r="E48" i="96"/>
  <c r="E33" i="96" s="1"/>
  <c r="F41" i="96"/>
  <c r="F10" i="111" s="1"/>
  <c r="F12" i="111" s="1"/>
  <c r="J41" i="96"/>
  <c r="J10" i="111" s="1"/>
  <c r="J12" i="111" s="1"/>
  <c r="O32" i="96"/>
  <c r="O38" i="96"/>
  <c r="O14" i="96"/>
  <c r="K39" i="96"/>
  <c r="C20" i="24" s="1"/>
  <c r="E20" i="24" s="1"/>
  <c r="L39" i="96"/>
  <c r="C21" i="24" s="1"/>
  <c r="E21" i="24" s="1"/>
  <c r="C13" i="147" l="1"/>
  <c r="E13" i="147" s="1"/>
  <c r="E47" i="143"/>
  <c r="C47" i="143" s="1"/>
  <c r="C49" i="143" s="1"/>
  <c r="O19" i="56"/>
  <c r="F20" i="111"/>
  <c r="G21" i="108" s="1"/>
  <c r="G22" i="108" s="1"/>
  <c r="C14" i="107"/>
  <c r="N24" i="56"/>
  <c r="C16" i="107"/>
  <c r="G20" i="111"/>
  <c r="H21" i="108" s="1"/>
  <c r="H22" i="108" s="1"/>
  <c r="G16" i="56"/>
  <c r="G19" i="111" s="1"/>
  <c r="G54" i="141"/>
  <c r="I52" i="141"/>
  <c r="H24" i="56"/>
  <c r="C18" i="144"/>
  <c r="H19" i="111"/>
  <c r="I53" i="141" s="1"/>
  <c r="K24" i="56"/>
  <c r="J52" i="141"/>
  <c r="C8" i="144"/>
  <c r="C24" i="56"/>
  <c r="D52" i="141"/>
  <c r="D54" i="141" s="1"/>
  <c r="L53" i="141"/>
  <c r="L54" i="141" s="1"/>
  <c r="K21" i="111"/>
  <c r="K25" i="111" s="1"/>
  <c r="C24" i="144"/>
  <c r="C21" i="111"/>
  <c r="C25" i="111" s="1"/>
  <c r="D45" i="119"/>
  <c r="F37" i="120"/>
  <c r="F32" i="140" s="1"/>
  <c r="F33" i="120"/>
  <c r="F28" i="140" s="1"/>
  <c r="F35" i="120"/>
  <c r="F30" i="140" s="1"/>
  <c r="F43" i="120"/>
  <c r="F38" i="140" s="1"/>
  <c r="F41" i="120"/>
  <c r="F36" i="140" s="1"/>
  <c r="I36" i="140" s="1"/>
  <c r="D22" i="114" s="1"/>
  <c r="F39" i="120"/>
  <c r="F34" i="140" s="1"/>
  <c r="F40" i="140" s="1"/>
  <c r="C45" i="120"/>
  <c r="H37" i="120"/>
  <c r="H32" i="140" s="1"/>
  <c r="H39" i="120"/>
  <c r="H34" i="140" s="1"/>
  <c r="H33" i="120"/>
  <c r="H41" i="120"/>
  <c r="H36" i="140" s="1"/>
  <c r="H43" i="120"/>
  <c r="H38" i="140" s="1"/>
  <c r="E22" i="140"/>
  <c r="G45" i="119"/>
  <c r="H35" i="120"/>
  <c r="H30" i="140" s="1"/>
  <c r="E43" i="120"/>
  <c r="E33" i="120"/>
  <c r="E28" i="140" s="1"/>
  <c r="E37" i="120"/>
  <c r="E39" i="120"/>
  <c r="E35" i="120"/>
  <c r="E30" i="140" s="1"/>
  <c r="I30" i="140" s="1"/>
  <c r="D16" i="114" s="1"/>
  <c r="I35" i="120"/>
  <c r="C26" i="51"/>
  <c r="E26" i="51"/>
  <c r="R42" i="97" s="1"/>
  <c r="H10" i="140"/>
  <c r="H22" i="140" s="1"/>
  <c r="H45" i="119"/>
  <c r="C22" i="140"/>
  <c r="C21" i="22"/>
  <c r="E21" i="22"/>
  <c r="D21" i="22"/>
  <c r="P20" i="108"/>
  <c r="E21" i="111"/>
  <c r="E25" i="56" s="1"/>
  <c r="E26" i="56" s="1"/>
  <c r="Q9" i="141"/>
  <c r="A10" i="141"/>
  <c r="A11" i="141" s="1"/>
  <c r="F21" i="111"/>
  <c r="F25" i="56" s="1"/>
  <c r="F26" i="56" s="1"/>
  <c r="N21" i="111"/>
  <c r="N25" i="111" s="1"/>
  <c r="O54" i="141"/>
  <c r="P49" i="141"/>
  <c r="P52" i="141" s="1"/>
  <c r="F54" i="141"/>
  <c r="J21" i="111"/>
  <c r="K54" i="141"/>
  <c r="I19" i="111"/>
  <c r="I24" i="56"/>
  <c r="C20" i="144"/>
  <c r="O20" i="111"/>
  <c r="P21" i="108" s="1"/>
  <c r="I21" i="108"/>
  <c r="I22" i="108" s="1"/>
  <c r="D25" i="56"/>
  <c r="D26" i="56" s="1"/>
  <c r="D25" i="111"/>
  <c r="D27" i="111" s="1"/>
  <c r="D31" i="111" s="1"/>
  <c r="M53" i="141"/>
  <c r="M54" i="141" s="1"/>
  <c r="L25" i="111"/>
  <c r="L25" i="56"/>
  <c r="L26" i="56" s="1"/>
  <c r="N53" i="141"/>
  <c r="D33" i="143"/>
  <c r="C33" i="143"/>
  <c r="E18" i="143"/>
  <c r="C24" i="143" s="1"/>
  <c r="E24" i="143" s="1"/>
  <c r="O17" i="111"/>
  <c r="M21" i="111"/>
  <c r="C14" i="46"/>
  <c r="C14" i="47"/>
  <c r="E22" i="143"/>
  <c r="K14" i="111"/>
  <c r="H39" i="96"/>
  <c r="C17" i="24" s="1"/>
  <c r="E17" i="24" s="1"/>
  <c r="O33" i="96"/>
  <c r="O39" i="96" s="1"/>
  <c r="D39" i="96"/>
  <c r="C13" i="24" s="1"/>
  <c r="E13" i="24" s="1"/>
  <c r="N14" i="111"/>
  <c r="I41" i="96"/>
  <c r="I10" i="111" s="1"/>
  <c r="I12" i="111" s="1"/>
  <c r="I13" i="111" s="1"/>
  <c r="I14" i="111" s="1"/>
  <c r="L14" i="111"/>
  <c r="E39" i="96"/>
  <c r="C14" i="24" s="1"/>
  <c r="E14" i="24" s="1"/>
  <c r="E41" i="96"/>
  <c r="E10" i="111" s="1"/>
  <c r="E12" i="111" s="1"/>
  <c r="H13" i="111"/>
  <c r="H14" i="111" s="1"/>
  <c r="C14" i="111"/>
  <c r="F13" i="111"/>
  <c r="F14" i="111" s="1"/>
  <c r="J13" i="111"/>
  <c r="J14" i="111" s="1"/>
  <c r="C15" i="147" l="1"/>
  <c r="C35" i="32" s="1"/>
  <c r="C17" i="22" s="1"/>
  <c r="E17" i="22" s="1"/>
  <c r="I54" i="141"/>
  <c r="D47" i="143"/>
  <c r="D49" i="143" s="1"/>
  <c r="E18" i="17" s="1"/>
  <c r="G24" i="56"/>
  <c r="O24" i="56" s="1"/>
  <c r="C16" i="144"/>
  <c r="O16" i="56"/>
  <c r="P22" i="108"/>
  <c r="C32" i="107"/>
  <c r="C34" i="107" s="1"/>
  <c r="H21" i="111"/>
  <c r="H25" i="111" s="1"/>
  <c r="H27" i="111" s="1"/>
  <c r="H31" i="111" s="1"/>
  <c r="K27" i="111"/>
  <c r="K31" i="111" s="1"/>
  <c r="K25" i="56"/>
  <c r="K26" i="56" s="1"/>
  <c r="E25" i="111"/>
  <c r="C25" i="56"/>
  <c r="C26" i="56" s="1"/>
  <c r="E45" i="120"/>
  <c r="E34" i="140"/>
  <c r="I34" i="140" s="1"/>
  <c r="D20" i="114" s="1"/>
  <c r="I39" i="120"/>
  <c r="E32" i="140"/>
  <c r="I37" i="120"/>
  <c r="H28" i="140"/>
  <c r="H40" i="140" s="1"/>
  <c r="H45" i="120"/>
  <c r="I28" i="140"/>
  <c r="E38" i="140"/>
  <c r="I38" i="140" s="1"/>
  <c r="D24" i="114" s="1"/>
  <c r="I43" i="120"/>
  <c r="I41" i="120"/>
  <c r="F45" i="120"/>
  <c r="I33" i="120"/>
  <c r="O41" i="96"/>
  <c r="C26" i="143"/>
  <c r="E26" i="143" s="1"/>
  <c r="C32" i="144"/>
  <c r="C34" i="144" s="1"/>
  <c r="C18" i="46" s="1"/>
  <c r="O19" i="111"/>
  <c r="O21" i="111" s="1"/>
  <c r="O25" i="111" s="1"/>
  <c r="Q10" i="141"/>
  <c r="F25" i="111"/>
  <c r="F27" i="111" s="1"/>
  <c r="F31" i="111" s="1"/>
  <c r="N25" i="56"/>
  <c r="N26" i="56" s="1"/>
  <c r="N27" i="111"/>
  <c r="N31" i="111" s="1"/>
  <c r="J25" i="56"/>
  <c r="J26" i="56" s="1"/>
  <c r="J25" i="111"/>
  <c r="J27" i="111" s="1"/>
  <c r="J31" i="111" s="1"/>
  <c r="J53" i="141"/>
  <c r="J54" i="141" s="1"/>
  <c r="I21" i="111"/>
  <c r="H53" i="141"/>
  <c r="H54" i="141" s="1"/>
  <c r="G21" i="111"/>
  <c r="L27" i="111"/>
  <c r="L31" i="111" s="1"/>
  <c r="N54" i="141"/>
  <c r="C25" i="32"/>
  <c r="D18" i="17"/>
  <c r="C21" i="32"/>
  <c r="E33" i="143"/>
  <c r="D14" i="17"/>
  <c r="E14" i="17"/>
  <c r="D21" i="32"/>
  <c r="M25" i="56"/>
  <c r="M25" i="111"/>
  <c r="M27" i="111" s="1"/>
  <c r="M31" i="111" s="1"/>
  <c r="O10" i="111"/>
  <c r="C26" i="24"/>
  <c r="E26" i="24"/>
  <c r="C34" i="47" s="1"/>
  <c r="O12" i="111"/>
  <c r="E13" i="111"/>
  <c r="O13" i="111" s="1"/>
  <c r="C27" i="111"/>
  <c r="D12" i="17" l="1"/>
  <c r="E15" i="147"/>
  <c r="E35" i="32"/>
  <c r="E49" i="143"/>
  <c r="D25" i="32"/>
  <c r="E25" i="32"/>
  <c r="C20" i="46"/>
  <c r="C22" i="46" s="1"/>
  <c r="C20" i="47"/>
  <c r="H25" i="56"/>
  <c r="H26" i="56" s="1"/>
  <c r="C19" i="32"/>
  <c r="D14" i="114"/>
  <c r="D27" i="114" s="1"/>
  <c r="I32" i="140"/>
  <c r="D18" i="114" s="1"/>
  <c r="E40" i="140"/>
  <c r="I45" i="120"/>
  <c r="E37" i="143"/>
  <c r="C18" i="47"/>
  <c r="C22" i="47" s="1"/>
  <c r="F14" i="17"/>
  <c r="F18" i="17"/>
  <c r="P53" i="141"/>
  <c r="P54" i="141" s="1"/>
  <c r="I25" i="56"/>
  <c r="I26" i="56" s="1"/>
  <c r="I25" i="111"/>
  <c r="I27" i="111" s="1"/>
  <c r="I31" i="111" s="1"/>
  <c r="G25" i="56"/>
  <c r="G26" i="56" s="1"/>
  <c r="G25" i="111"/>
  <c r="G27" i="111" s="1"/>
  <c r="G31" i="111" s="1"/>
  <c r="E21" i="32"/>
  <c r="F12" i="17"/>
  <c r="M26" i="56"/>
  <c r="E19" i="32"/>
  <c r="R42" i="96"/>
  <c r="E14" i="111"/>
  <c r="C31" i="111"/>
  <c r="C32" i="111" s="1"/>
  <c r="C34" i="111" s="1"/>
  <c r="C38" i="111" s="1"/>
  <c r="D7" i="111" s="1"/>
  <c r="O25" i="56" l="1"/>
  <c r="O26" i="56" s="1"/>
  <c r="I40" i="140"/>
  <c r="D39" i="143"/>
  <c r="D23" i="32" s="1"/>
  <c r="D27" i="32" s="1"/>
  <c r="C39" i="143"/>
  <c r="C23" i="32" s="1"/>
  <c r="A12" i="141"/>
  <c r="A13" i="141" s="1"/>
  <c r="Q11" i="141"/>
  <c r="E27" i="111"/>
  <c r="E31" i="111" s="1"/>
  <c r="O14" i="111"/>
  <c r="O27" i="111" s="1"/>
  <c r="D30" i="111"/>
  <c r="D32" i="111" s="1"/>
  <c r="D34" i="111" s="1"/>
  <c r="D38" i="111" s="1"/>
  <c r="E7" i="111" s="1"/>
  <c r="A14" i="141" l="1"/>
  <c r="Q14" i="141" s="1"/>
  <c r="Q13" i="141"/>
  <c r="E23" i="32"/>
  <c r="E27" i="32" s="1"/>
  <c r="C27" i="32"/>
  <c r="E39" i="143"/>
  <c r="D16" i="17"/>
  <c r="D20" i="17" s="1"/>
  <c r="E16" i="17"/>
  <c r="E20" i="17" s="1"/>
  <c r="Q12" i="141"/>
  <c r="E30" i="111"/>
  <c r="E32" i="111" s="1"/>
  <c r="E34" i="111" s="1"/>
  <c r="F16" i="17" l="1"/>
  <c r="F20" i="17" s="1"/>
  <c r="E22" i="17" s="1"/>
  <c r="A15" i="141"/>
  <c r="E38" i="111"/>
  <c r="F7" i="111" s="1"/>
  <c r="D22" i="17" l="1"/>
  <c r="F22" i="17" s="1"/>
  <c r="A16" i="141"/>
  <c r="Q15" i="141"/>
  <c r="F30" i="111"/>
  <c r="F32" i="111" s="1"/>
  <c r="F34" i="111" s="1"/>
  <c r="F38" i="111" s="1"/>
  <c r="G7" i="111" s="1"/>
  <c r="A17" i="141" l="1"/>
  <c r="Q16" i="141"/>
  <c r="G30" i="111"/>
  <c r="G32" i="111" s="1"/>
  <c r="G34" i="111" s="1"/>
  <c r="G38" i="111" s="1"/>
  <c r="H7" i="111" s="1"/>
  <c r="A18" i="141" l="1"/>
  <c r="Q17" i="141"/>
  <c r="H30" i="111"/>
  <c r="H32" i="111" s="1"/>
  <c r="H34" i="111" s="1"/>
  <c r="H38" i="111" s="1"/>
  <c r="I7" i="111" s="1"/>
  <c r="A19" i="141" l="1"/>
  <c r="Q18" i="141"/>
  <c r="I30" i="111"/>
  <c r="I32" i="111" s="1"/>
  <c r="I34" i="111" s="1"/>
  <c r="I38" i="111" s="1"/>
  <c r="J7" i="111" s="1"/>
  <c r="A20" i="141" l="1"/>
  <c r="Q19" i="141"/>
  <c r="J30" i="111"/>
  <c r="J32" i="111" s="1"/>
  <c r="J34" i="111" s="1"/>
  <c r="J38" i="111" s="1"/>
  <c r="K7" i="111" s="1"/>
  <c r="A21" i="141" l="1"/>
  <c r="Q20" i="141"/>
  <c r="K30" i="111"/>
  <c r="K32" i="111" s="1"/>
  <c r="K34" i="111" s="1"/>
  <c r="K38" i="111" s="1"/>
  <c r="L7" i="111" s="1"/>
  <c r="A22" i="141" l="1"/>
  <c r="Q21" i="141"/>
  <c r="L30" i="111"/>
  <c r="L32" i="111" s="1"/>
  <c r="L34" i="111" s="1"/>
  <c r="L38" i="111" s="1"/>
  <c r="M7" i="111" s="1"/>
  <c r="Q22" i="141" l="1"/>
  <c r="A23" i="141"/>
  <c r="M30" i="111"/>
  <c r="M32" i="111" s="1"/>
  <c r="M34" i="111" s="1"/>
  <c r="M38" i="111" s="1"/>
  <c r="N7" i="111" s="1"/>
  <c r="Q23" i="141" l="1"/>
  <c r="A24" i="141"/>
  <c r="A25" i="141" s="1"/>
  <c r="N30" i="111"/>
  <c r="N32" i="111" s="1"/>
  <c r="O34" i="111" s="1"/>
  <c r="O38" i="111" s="1"/>
  <c r="A26" i="141" l="1"/>
  <c r="A27" i="141" s="1"/>
  <c r="Q25" i="141"/>
  <c r="Q24" i="141"/>
  <c r="N38" i="111"/>
  <c r="C10" i="47"/>
  <c r="C24" i="47" s="1"/>
  <c r="C10" i="17"/>
  <c r="C10" i="46"/>
  <c r="C24" i="46" s="1"/>
  <c r="E24" i="17" l="1"/>
  <c r="D15" i="32" s="1"/>
  <c r="D29" i="32" s="1"/>
  <c r="D31" i="32" s="1"/>
  <c r="D24" i="17"/>
  <c r="Q26" i="141"/>
  <c r="C32" i="46" l="1"/>
  <c r="A28" i="141"/>
  <c r="D33" i="32"/>
  <c r="F24" i="17"/>
  <c r="C15" i="32"/>
  <c r="C36" i="47" l="1"/>
  <c r="C28" i="116" s="1"/>
  <c r="C37" i="116" s="1"/>
  <c r="Q27" i="141"/>
  <c r="E15" i="32"/>
  <c r="E29" i="32" s="1"/>
  <c r="C29" i="32"/>
  <c r="C31" i="32" s="1"/>
  <c r="D15" i="22"/>
  <c r="D19" i="22" s="1"/>
  <c r="D23" i="22" s="1"/>
  <c r="D37" i="32"/>
  <c r="C28" i="117" l="1"/>
  <c r="H28" i="117" s="1"/>
  <c r="C43" i="116"/>
  <c r="C20" i="139" s="1"/>
  <c r="C39" i="116"/>
  <c r="C16" i="139" s="1"/>
  <c r="C35" i="116"/>
  <c r="C12" i="139" s="1"/>
  <c r="C33" i="116"/>
  <c r="C10" i="139" s="1"/>
  <c r="D28" i="116"/>
  <c r="D37" i="116" s="1"/>
  <c r="D14" i="139" s="1"/>
  <c r="C41" i="116"/>
  <c r="C18" i="139" s="1"/>
  <c r="G28" i="116"/>
  <c r="G37" i="116" s="1"/>
  <c r="G14" i="139" s="1"/>
  <c r="E28" i="116"/>
  <c r="E39" i="116" s="1"/>
  <c r="E16" i="139" s="1"/>
  <c r="F28" i="116"/>
  <c r="F43" i="116" s="1"/>
  <c r="F20" i="139" s="1"/>
  <c r="H28" i="116"/>
  <c r="H39" i="116" s="1"/>
  <c r="H16" i="139" s="1"/>
  <c r="C14" i="139"/>
  <c r="E31" i="32"/>
  <c r="E33" i="32" s="1"/>
  <c r="E37" i="32" s="1"/>
  <c r="F33" i="116" l="1"/>
  <c r="F10" i="139" s="1"/>
  <c r="F39" i="116"/>
  <c r="F16" i="139" s="1"/>
  <c r="F41" i="116"/>
  <c r="F18" i="139" s="1"/>
  <c r="F37" i="116"/>
  <c r="F14" i="139" s="1"/>
  <c r="H37" i="116"/>
  <c r="H14" i="139" s="1"/>
  <c r="F35" i="116"/>
  <c r="F12" i="139" s="1"/>
  <c r="H43" i="116"/>
  <c r="H20" i="139" s="1"/>
  <c r="H33" i="116"/>
  <c r="H10" i="139" s="1"/>
  <c r="H35" i="116"/>
  <c r="H12" i="139" s="1"/>
  <c r="H41" i="116"/>
  <c r="H18" i="139" s="1"/>
  <c r="F28" i="117"/>
  <c r="F39" i="117" s="1"/>
  <c r="F34" i="139" s="1"/>
  <c r="D28" i="117"/>
  <c r="D33" i="117" s="1"/>
  <c r="D35" i="116"/>
  <c r="D12" i="139" s="1"/>
  <c r="C45" i="116"/>
  <c r="E33" i="116"/>
  <c r="E10" i="139" s="1"/>
  <c r="E43" i="116"/>
  <c r="E20" i="139" s="1"/>
  <c r="G28" i="117"/>
  <c r="G33" i="117" s="1"/>
  <c r="C33" i="117"/>
  <c r="C28" i="139" s="1"/>
  <c r="D41" i="116"/>
  <c r="D18" i="139" s="1"/>
  <c r="E28" i="117"/>
  <c r="E41" i="117" s="1"/>
  <c r="E36" i="139" s="1"/>
  <c r="C39" i="117"/>
  <c r="C34" i="139" s="1"/>
  <c r="E37" i="116"/>
  <c r="E14" i="139" s="1"/>
  <c r="G35" i="116"/>
  <c r="G12" i="139" s="1"/>
  <c r="C35" i="117"/>
  <c r="C30" i="139" s="1"/>
  <c r="E41" i="116"/>
  <c r="E18" i="139" s="1"/>
  <c r="C43" i="117"/>
  <c r="C38" i="139" s="1"/>
  <c r="C41" i="117"/>
  <c r="C36" i="139" s="1"/>
  <c r="E35" i="116"/>
  <c r="E12" i="139" s="1"/>
  <c r="C37" i="117"/>
  <c r="C32" i="139" s="1"/>
  <c r="D33" i="116"/>
  <c r="G41" i="116"/>
  <c r="G18" i="139" s="1"/>
  <c r="G39" i="116"/>
  <c r="G16" i="139" s="1"/>
  <c r="D39" i="116"/>
  <c r="D16" i="139" s="1"/>
  <c r="G43" i="116"/>
  <c r="G20" i="139" s="1"/>
  <c r="D43" i="116"/>
  <c r="D20" i="139" s="1"/>
  <c r="G33" i="116"/>
  <c r="G10" i="139" s="1"/>
  <c r="A29" i="141"/>
  <c r="Q28" i="141"/>
  <c r="C33" i="32"/>
  <c r="C37" i="32" s="1"/>
  <c r="H41" i="117"/>
  <c r="H36" i="139" s="1"/>
  <c r="H35" i="117"/>
  <c r="H30" i="139" s="1"/>
  <c r="H33" i="117"/>
  <c r="H39" i="117"/>
  <c r="H34" i="139" s="1"/>
  <c r="H43" i="117"/>
  <c r="H38" i="139" s="1"/>
  <c r="H37" i="117"/>
  <c r="H32" i="139" s="1"/>
  <c r="F33" i="117"/>
  <c r="C22" i="139"/>
  <c r="F43" i="117" l="1"/>
  <c r="F38" i="139" s="1"/>
  <c r="G39" i="117"/>
  <c r="G34" i="139" s="1"/>
  <c r="G35" i="117"/>
  <c r="G30" i="139" s="1"/>
  <c r="G43" i="117"/>
  <c r="G38" i="139" s="1"/>
  <c r="G37" i="117"/>
  <c r="G32" i="139" s="1"/>
  <c r="F41" i="117"/>
  <c r="F36" i="139" s="1"/>
  <c r="D37" i="117"/>
  <c r="D32" i="139" s="1"/>
  <c r="D41" i="117"/>
  <c r="D36" i="139" s="1"/>
  <c r="G41" i="117"/>
  <c r="G36" i="139" s="1"/>
  <c r="D43" i="117"/>
  <c r="D38" i="139" s="1"/>
  <c r="F35" i="117"/>
  <c r="F30" i="139" s="1"/>
  <c r="D39" i="117"/>
  <c r="D34" i="139" s="1"/>
  <c r="H45" i="116"/>
  <c r="D35" i="117"/>
  <c r="D30" i="139" s="1"/>
  <c r="F45" i="116"/>
  <c r="F22" i="139"/>
  <c r="H22" i="139"/>
  <c r="F37" i="117"/>
  <c r="F32" i="139" s="1"/>
  <c r="D45" i="116"/>
  <c r="E33" i="117"/>
  <c r="I33" i="117" s="1"/>
  <c r="C45" i="117"/>
  <c r="E45" i="116"/>
  <c r="C40" i="139"/>
  <c r="E22" i="139"/>
  <c r="E43" i="117"/>
  <c r="E38" i="139" s="1"/>
  <c r="D10" i="139"/>
  <c r="D22" i="139" s="1"/>
  <c r="E37" i="117"/>
  <c r="E32" i="139" s="1"/>
  <c r="E35" i="117"/>
  <c r="E30" i="139" s="1"/>
  <c r="E39" i="117"/>
  <c r="E34" i="139" s="1"/>
  <c r="G22" i="139"/>
  <c r="G45" i="116"/>
  <c r="A30" i="141"/>
  <c r="Q29" i="141"/>
  <c r="C15" i="22"/>
  <c r="E15" i="22" s="1"/>
  <c r="E19" i="22" s="1"/>
  <c r="E23" i="22" s="1"/>
  <c r="H45" i="117"/>
  <c r="H28" i="139"/>
  <c r="H40" i="139" s="1"/>
  <c r="D28" i="139"/>
  <c r="G28" i="139"/>
  <c r="F28" i="139"/>
  <c r="E28" i="139" l="1"/>
  <c r="I28" i="139" s="1"/>
  <c r="I41" i="117"/>
  <c r="I38" i="139"/>
  <c r="C24" i="114" s="1"/>
  <c r="E24" i="114" s="1"/>
  <c r="I34" i="139"/>
  <c r="C20" i="114" s="1"/>
  <c r="E20" i="114" s="1"/>
  <c r="I36" i="139"/>
  <c r="C22" i="114" s="1"/>
  <c r="F22" i="114" s="1"/>
  <c r="G40" i="139"/>
  <c r="F40" i="139"/>
  <c r="F45" i="117"/>
  <c r="G45" i="117"/>
  <c r="I39" i="117"/>
  <c r="D45" i="117"/>
  <c r="D40" i="139"/>
  <c r="I30" i="139"/>
  <c r="C16" i="114" s="1"/>
  <c r="E16" i="114" s="1"/>
  <c r="I32" i="139"/>
  <c r="C18" i="114" s="1"/>
  <c r="E18" i="114" s="1"/>
  <c r="I43" i="117"/>
  <c r="I37" i="117"/>
  <c r="I35" i="117"/>
  <c r="E45" i="117"/>
  <c r="C19" i="22"/>
  <c r="C23" i="22" s="1"/>
  <c r="A31" i="141"/>
  <c r="Q30" i="141"/>
  <c r="E40" i="139" l="1"/>
  <c r="E22" i="114"/>
  <c r="F24" i="114"/>
  <c r="F20" i="114"/>
  <c r="F16" i="114"/>
  <c r="I45" i="117"/>
  <c r="F18" i="114"/>
  <c r="A32" i="141"/>
  <c r="Q31" i="141"/>
  <c r="I40" i="139"/>
  <c r="C14" i="114"/>
  <c r="A33" i="141" l="1"/>
  <c r="Q32" i="141"/>
  <c r="C27" i="114"/>
  <c r="F27" i="114" s="1"/>
  <c r="E14" i="114"/>
  <c r="E27" i="114" s="1"/>
  <c r="F14" i="114"/>
  <c r="A34" i="141" l="1"/>
  <c r="Q33" i="141"/>
  <c r="A35" i="141" l="1"/>
  <c r="Q34" i="141"/>
  <c r="A36" i="141" l="1"/>
  <c r="Q35" i="141"/>
  <c r="Q36" i="141" l="1"/>
  <c r="A37" i="141"/>
  <c r="Q37" i="141" l="1"/>
  <c r="A38" i="141"/>
  <c r="A39" i="141" s="1"/>
  <c r="Q38" i="141" l="1"/>
  <c r="Q39" i="141" l="1"/>
  <c r="Q40" i="141" l="1"/>
  <c r="A41" i="141"/>
  <c r="Q41" i="141" l="1"/>
  <c r="A42" i="141"/>
  <c r="A43" i="141" l="1"/>
  <c r="Q42" i="141"/>
  <c r="A44" i="141" l="1"/>
  <c r="Q43" i="141"/>
  <c r="Q44" i="141" l="1"/>
  <c r="A45" i="141"/>
  <c r="A46" i="141" l="1"/>
  <c r="Q45" i="141"/>
  <c r="A47" i="141" l="1"/>
  <c r="A48" i="141" s="1"/>
  <c r="Q46" i="141"/>
  <c r="Q47" i="141" l="1"/>
  <c r="A49" i="141" l="1"/>
  <c r="Q48" i="141"/>
  <c r="A50" i="141" l="1"/>
  <c r="Q49" i="141"/>
  <c r="A51" i="141" l="1"/>
  <c r="Q50" i="141"/>
  <c r="Q51" i="141" l="1"/>
  <c r="A52" i="141"/>
  <c r="Q52" i="141" l="1"/>
  <c r="A53" i="141"/>
  <c r="Q53" i="141" l="1"/>
  <c r="A54" i="141"/>
  <c r="Q54" i="14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Tanedo, Lolit</author>
  </authors>
  <commentList>
    <comment ref="N34" authorId="0" shapeId="0" xr:uid="{EA9DF565-C276-45DF-915C-8AB43D9B5A69}">
      <text>
        <r>
          <rPr>
            <b/>
            <sz val="9"/>
            <color indexed="81"/>
            <rFont val="Tahoma"/>
            <family val="2"/>
          </rPr>
          <t>Tanedo, Lolit:</t>
        </r>
        <r>
          <rPr>
            <sz val="9"/>
            <color indexed="81"/>
            <rFont val="Tahoma"/>
            <family val="2"/>
          </rPr>
          <t xml:space="preserve">
includes interest adjustment for prior period adjustments on CAISO Jan 2023 invoices that were not previously included and trued-up in Sept 2023.</t>
        </r>
      </text>
    </comment>
  </commentList>
</comments>
</file>

<file path=xl/sharedStrings.xml><?xml version="1.0" encoding="utf-8"?>
<sst xmlns="http://schemas.openxmlformats.org/spreadsheetml/2006/main" count="1179" uniqueCount="533">
  <si>
    <t>Statement BD</t>
  </si>
  <si>
    <t>San Diego Gas &amp; Electric Company</t>
  </si>
  <si>
    <t>Allocation Energy and Supporting Data</t>
  </si>
  <si>
    <t>(A)</t>
  </si>
  <si>
    <t>(B)</t>
  </si>
  <si>
    <t>(C) = (A) - (B)</t>
  </si>
  <si>
    <t>Retail Energy Sales</t>
  </si>
  <si>
    <t>Sale for Resale</t>
  </si>
  <si>
    <t>Line</t>
  </si>
  <si>
    <t>@ Meter Level</t>
  </si>
  <si>
    <t xml:space="preserve">(City of </t>
  </si>
  <si>
    <t>No.</t>
  </si>
  <si>
    <t>Date</t>
  </si>
  <si>
    <t>Plus Sale for Resale</t>
  </si>
  <si>
    <r>
      <t xml:space="preserve">Escondido)  </t>
    </r>
    <r>
      <rPr>
        <b/>
        <vertAlign val="superscript"/>
        <sz val="12"/>
        <rFont val="Times New Roman"/>
        <family val="1"/>
      </rPr>
      <t>1</t>
    </r>
  </si>
  <si>
    <t>Net of Sale for Resale</t>
  </si>
  <si>
    <t>Reference</t>
  </si>
  <si>
    <t>Workpaper No. 1; Page 1.1; Lines 30; 29</t>
  </si>
  <si>
    <t>Total</t>
  </si>
  <si>
    <t>Sum Lines 1 thru 12</t>
  </si>
  <si>
    <t>City of Escondido sales are excluded from the KWh total because they are classified as sales to wholesale customers.</t>
  </si>
  <si>
    <t xml:space="preserve">(B) </t>
  </si>
  <si>
    <t>Workpaper No. 1; Page 1.2; Lines 30; 29</t>
  </si>
  <si>
    <t>City of Escondido sales are excluded from the KWh total because they are classified as sales to wholesale customers not retail.</t>
  </si>
  <si>
    <t>Forecast sales are used to develop Statements BG and BH, Revenues at Proposed Rates and Revenues at Present Rates.</t>
  </si>
  <si>
    <t>SAN DIEGO GAS &amp; ELECTRIC COMPANY</t>
  </si>
  <si>
    <t>MWH SALES FORECAST @ Transmission Level</t>
  </si>
  <si>
    <t>(D) = (C) x  Line 19, Col. C</t>
  </si>
  <si>
    <t xml:space="preserve">Retail Energy </t>
  </si>
  <si>
    <t>Energy Sales</t>
  </si>
  <si>
    <t>Sales</t>
  </si>
  <si>
    <t>@ Transmission</t>
  </si>
  <si>
    <t>Months</t>
  </si>
  <si>
    <t>MWh Sales</t>
  </si>
  <si>
    <t>(City of Escondido)</t>
  </si>
  <si>
    <t>Level</t>
  </si>
  <si>
    <t>Cols. A to C, WP No. 1; Page 1.2; Lines 10, 9 &amp; 12</t>
  </si>
  <si>
    <t>Retail Sales Forecast @ Meter Level</t>
  </si>
  <si>
    <t>Col. C; Line 14</t>
  </si>
  <si>
    <r>
      <t xml:space="preserve">Transmission Loss Factor  </t>
    </r>
    <r>
      <rPr>
        <b/>
        <vertAlign val="superscript"/>
        <sz val="12"/>
        <rFont val="Times New Roman"/>
        <family val="1"/>
      </rPr>
      <t>2</t>
    </r>
  </si>
  <si>
    <t>Column B / Column A</t>
  </si>
  <si>
    <t>Retail Sales Forecast @ Transmission Level</t>
  </si>
  <si>
    <t>Col. D; Line 14</t>
  </si>
  <si>
    <r>
      <t xml:space="preserve">Lake Hodges Pumped Storage Facilities </t>
    </r>
    <r>
      <rPr>
        <b/>
        <vertAlign val="superscript"/>
        <sz val="12"/>
        <rFont val="Times New Roman"/>
        <family val="1"/>
      </rPr>
      <t xml:space="preserve"> 3</t>
    </r>
  </si>
  <si>
    <t>Statement BD WP; Page 4 of 5</t>
  </si>
  <si>
    <r>
      <t xml:space="preserve">Pumped Storage True Up Adjustment </t>
    </r>
    <r>
      <rPr>
        <b/>
        <vertAlign val="superscript"/>
        <sz val="12"/>
        <rFont val="Times New Roman"/>
        <family val="1"/>
      </rPr>
      <t>4</t>
    </r>
  </si>
  <si>
    <t>Statement BD WP; Page 5 of 5</t>
  </si>
  <si>
    <t>Total Gross Load Forecast</t>
  </si>
  <si>
    <t>Sum Lines 22 thru 26</t>
  </si>
  <si>
    <t>This information is used for CAISO TAC purposes as shown in Statement BL -Wholesale. The sales forecast excludes Sale for Resale.</t>
  </si>
  <si>
    <t>Energy used for pumping at the Lake Hodges Pumped Storage Facilities is measured at 69kV and gets adjusted by a distribution loss factor to derive the Gross Load forecast.</t>
  </si>
  <si>
    <t>Represents the difference between actual and forecast load associated with the Lake Hodges Pumped Storage Facility for the base year.</t>
  </si>
  <si>
    <t>SAN DIEGO GAS AND ELECTRIC COMPANY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</si>
  <si>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</si>
  <si>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</si>
  <si>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</si>
  <si>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</si>
  <si>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</si>
  <si>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</si>
  <si>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</si>
  <si>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</si>
  <si>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</si>
  <si>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</si>
  <si>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</si>
  <si>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</si>
  <si>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Olivenhain-Lake Hodges Pumping Load</t>
  </si>
  <si>
    <t>Primary Level Distribution Loss Factor</t>
  </si>
  <si>
    <t>Total Lake Hodges Pumping Load</t>
  </si>
  <si>
    <t>Lake Hodges Pumping Load Adjustment Mechanism</t>
  </si>
  <si>
    <t>Line No.</t>
  </si>
  <si>
    <t>Description</t>
  </si>
  <si>
    <t>Amount</t>
  </si>
  <si>
    <t xml:space="preserve">Pumped Storage Facility - Actual Load </t>
  </si>
  <si>
    <t>SDG&amp;E Records</t>
  </si>
  <si>
    <t xml:space="preserve">Pumped Storage Facility - Forecast Load </t>
  </si>
  <si>
    <t>Difference</t>
  </si>
  <si>
    <t>Line 1 Minus Line 2</t>
  </si>
  <si>
    <r>
      <t xml:space="preserve">Pumped Storage - True Up Adjustment  </t>
    </r>
    <r>
      <rPr>
        <b/>
        <vertAlign val="superscript"/>
        <sz val="12"/>
        <rFont val="Times New Roman"/>
        <family val="1"/>
      </rPr>
      <t>1</t>
    </r>
  </si>
  <si>
    <t>Line 3 x Line 4</t>
  </si>
  <si>
    <t>The pumped storage True-Up Adjustment reconciles the difference between the prior year's forecast and actual load data.</t>
  </si>
  <si>
    <t>Statement BG</t>
  </si>
  <si>
    <t>Transmission Revenue Balancing Account Adjustment (TRBAA) Revenues Data to Reflect Changed Rates</t>
  </si>
  <si>
    <t>Comparison of Revenues</t>
  </si>
  <si>
    <t>(D) = (C) / (B)</t>
  </si>
  <si>
    <t>(Statement BG)</t>
  </si>
  <si>
    <t>(Statement BH)</t>
  </si>
  <si>
    <t>TRBAA Revenues</t>
  </si>
  <si>
    <t>(%)</t>
  </si>
  <si>
    <t>Customer Classes</t>
  </si>
  <si>
    <t>@ Changed Rates</t>
  </si>
  <si>
    <r>
      <t xml:space="preserve">@ Present Rates </t>
    </r>
    <r>
      <rPr>
        <b/>
        <vertAlign val="superscript"/>
        <sz val="12"/>
        <rFont val="Times New Roman"/>
        <family val="1"/>
      </rPr>
      <t>1</t>
    </r>
  </si>
  <si>
    <t>($) Change</t>
  </si>
  <si>
    <t>Change</t>
  </si>
  <si>
    <t>Residential Customers</t>
  </si>
  <si>
    <t>Statement BG; Page 2 of 4; Line 14</t>
  </si>
  <si>
    <t>Statement BH; Page 1 of 3; Line 14</t>
  </si>
  <si>
    <t>Small Commercial Customers</t>
  </si>
  <si>
    <t>Statement BG; Page 2 of 4; Line 16</t>
  </si>
  <si>
    <t>Statement BH; Page 1 of 3; Line 16</t>
  </si>
  <si>
    <t xml:space="preserve">Medium and Large Commercial/Industrial  </t>
  </si>
  <si>
    <t>Statement BG; Page 2 of 4; Line 18</t>
  </si>
  <si>
    <t>Statement BH; Page 1 of 3; Line 18</t>
  </si>
  <si>
    <t>Agriculture (PA and TOU-PA)</t>
  </si>
  <si>
    <t>Statement BG; Page 2 of 4; Line 20</t>
  </si>
  <si>
    <t>Statement BH; Page 1 of 3; Line 20</t>
  </si>
  <si>
    <t>Agriculture (PA-T-1)</t>
  </si>
  <si>
    <t>Statement BG; Page 2 of 4; Line 22</t>
  </si>
  <si>
    <t>Statement BH; Page 1 of 3; Line 22</t>
  </si>
  <si>
    <t>Street Lighting Customers</t>
  </si>
  <si>
    <t>Statement BG; Page 2 of 4; Line 24</t>
  </si>
  <si>
    <t>Statement BH; Page 1 of 3; Line 24</t>
  </si>
  <si>
    <t xml:space="preserve">     Grand Total</t>
  </si>
  <si>
    <t>Sum Lines 1 through 11</t>
  </si>
  <si>
    <t>(C)</t>
  </si>
  <si>
    <t>(D)</t>
  </si>
  <si>
    <t>(E)</t>
  </si>
  <si>
    <t>(F)</t>
  </si>
  <si>
    <t>(G)</t>
  </si>
  <si>
    <r>
      <t xml:space="preserve">Residential  </t>
    </r>
    <r>
      <rPr>
        <b/>
        <vertAlign val="superscript"/>
        <sz val="12"/>
        <rFont val="Times New Roman"/>
        <family val="1"/>
      </rPr>
      <t>1</t>
    </r>
  </si>
  <si>
    <r>
      <t xml:space="preserve">Small Commercial  </t>
    </r>
    <r>
      <rPr>
        <b/>
        <vertAlign val="superscript"/>
        <sz val="12"/>
        <rFont val="Times New Roman"/>
        <family val="1"/>
      </rPr>
      <t>2</t>
    </r>
    <r>
      <rPr>
        <sz val="12"/>
        <rFont val="Times New Roman"/>
        <family val="1"/>
      </rPr>
      <t xml:space="preserve"> </t>
    </r>
  </si>
  <si>
    <r>
      <t xml:space="preserve">Medium and Large Commercial/Industrial  </t>
    </r>
    <r>
      <rPr>
        <b/>
        <vertAlign val="superscript"/>
        <sz val="12"/>
        <rFont val="Times New Roman"/>
        <family val="1"/>
      </rPr>
      <t>3</t>
    </r>
  </si>
  <si>
    <r>
      <t xml:space="preserve">Agriculture (PA and TOU-PA)  </t>
    </r>
    <r>
      <rPr>
        <b/>
        <vertAlign val="superscript"/>
        <sz val="12"/>
        <rFont val="Times New Roman"/>
        <family val="1"/>
      </rPr>
      <t>4</t>
    </r>
  </si>
  <si>
    <r>
      <t xml:space="preserve">Agriculture (PA-T-1)  </t>
    </r>
    <r>
      <rPr>
        <b/>
        <vertAlign val="superscript"/>
        <sz val="12"/>
        <rFont val="Times New Roman"/>
        <family val="1"/>
      </rPr>
      <t>5</t>
    </r>
  </si>
  <si>
    <r>
      <t xml:space="preserve">Street Lighting  </t>
    </r>
    <r>
      <rPr>
        <b/>
        <vertAlign val="superscript"/>
        <sz val="12"/>
        <rFont val="Times New Roman"/>
        <family val="1"/>
      </rPr>
      <t>6</t>
    </r>
  </si>
  <si>
    <t>TOTAL</t>
  </si>
  <si>
    <t>1</t>
  </si>
  <si>
    <t>See Stmt BG pages 3 of 4 and 4 of 4, Line 23.</t>
  </si>
  <si>
    <t>See Stmt BG pages 3 of 4 and 4 of 4, Line 29.</t>
  </si>
  <si>
    <t>See Stmt BG pages 3 of 4 and 4 of 4, Line 25.</t>
  </si>
  <si>
    <t>See Stmt BG pages 3 of 4 and 4 of 4, Line 31.</t>
  </si>
  <si>
    <t>See Stmt BG pages 3 of 4 and 4 of 4, Line 27.</t>
  </si>
  <si>
    <t>See Stmt BG pages 3 of 4 and 4 of 4, Line 33.</t>
  </si>
  <si>
    <t>Energy (kWh)</t>
  </si>
  <si>
    <t>Workpaper No. 1; Page 1.2; Line 23</t>
  </si>
  <si>
    <t xml:space="preserve">Small Commercial </t>
  </si>
  <si>
    <t>Workpaper No. 1; Page 1.2; Line 24</t>
  </si>
  <si>
    <t>Workpaper No. 1; Page 1.2; Line 25</t>
  </si>
  <si>
    <t>Workpaper No. 1; Page 1.2; Line 26</t>
  </si>
  <si>
    <t>Workpaper No. 1; Page 1.2; Line 27</t>
  </si>
  <si>
    <t>Street Lighting</t>
  </si>
  <si>
    <t>Workpaper No. 1; Page 1.2; Line 28</t>
  </si>
  <si>
    <t>Sum Lines 1 thru 11</t>
  </si>
  <si>
    <t>$/(kWh)</t>
  </si>
  <si>
    <t>Retail TRBAA Rate ($/kWh) @ Changed Rate</t>
  </si>
  <si>
    <t>Statement BL (Retail); Page 1; Line 27</t>
  </si>
  <si>
    <t>Revenues @ Changed Rates</t>
  </si>
  <si>
    <t>Line 1 x Line 18</t>
  </si>
  <si>
    <t>Line 3 x Line 18</t>
  </si>
  <si>
    <t>Line 5 x Line 18</t>
  </si>
  <si>
    <t>Line 7 x Line 18</t>
  </si>
  <si>
    <t>Line 9 x Line 18</t>
  </si>
  <si>
    <t>Line 11 x Line 18</t>
  </si>
  <si>
    <t>Sum Lines 23 through 33</t>
  </si>
  <si>
    <t>(H)</t>
  </si>
  <si>
    <t>(I)</t>
  </si>
  <si>
    <t>(J)</t>
  </si>
  <si>
    <t>(K)</t>
  </si>
  <si>
    <t>(L)</t>
  </si>
  <si>
    <t>(M)</t>
  </si>
  <si>
    <t>(N)</t>
  </si>
  <si>
    <t>(O)</t>
  </si>
  <si>
    <t xml:space="preserve">   TOTAL</t>
  </si>
  <si>
    <t>Statement BH</t>
  </si>
  <si>
    <t>See Stmt BH pages 2 of 3 and 3 of 3, Line 23.</t>
  </si>
  <si>
    <t>See Stmt BH pages 2 of 3 and 3 of 3, Line 29.</t>
  </si>
  <si>
    <t>See Stmt BH pages 2 of 3 and 3 of 3, Line 25.</t>
  </si>
  <si>
    <t>See Stmt BH pages 2 of 3 and 3 of 3, Line 31.</t>
  </si>
  <si>
    <t>See Stmt BH pages 2 of 3 and 3 of 3, Line 27.</t>
  </si>
  <si>
    <t>See Stmt BH pages 2 of 3 and 3 of 3, Line 33.</t>
  </si>
  <si>
    <t>Retail TRBAA Rate ($/kWh) @ Present Rate</t>
  </si>
  <si>
    <t>TRBAA @ Present Rates</t>
  </si>
  <si>
    <t>Statement BK-1</t>
  </si>
  <si>
    <t>Total Retail TRBAA Forecast - Including Franchise Fees &amp; Uncollectible Expense</t>
  </si>
  <si>
    <t>Components</t>
  </si>
  <si>
    <t xml:space="preserve">Retail - TRBAA </t>
  </si>
  <si>
    <t>Work paper No. 4; Page 4.4; Line 32</t>
  </si>
  <si>
    <t>Transmission Revenue Credits Forecast:</t>
  </si>
  <si>
    <t xml:space="preserve">   Wheeling Revenues </t>
  </si>
  <si>
    <t>Work paper No. 7; Page 7.1; Line 27</t>
  </si>
  <si>
    <t xml:space="preserve">   Settlements, Metering and Client Relations </t>
  </si>
  <si>
    <t>Work paper No. 8; Page 8.1; Line 27</t>
  </si>
  <si>
    <t xml:space="preserve">   Existing Transmission Contract (ETC) Cost Differentials</t>
  </si>
  <si>
    <t>Work paper No. 9; Page 9.1; Line 27</t>
  </si>
  <si>
    <t xml:space="preserve">   Other PTO Related Revenue (Credits)/Charges</t>
  </si>
  <si>
    <t>Work paper No. 11; Page 11.1; Line 27</t>
  </si>
  <si>
    <t>Total Transmission Revenue Credits Forecast</t>
  </si>
  <si>
    <t>Sum {Line 5 thru Line 11}</t>
  </si>
  <si>
    <t>Total TRBAA Before Franchise Fees and Uncollectibles</t>
  </si>
  <si>
    <t>Line 1 + Line 13</t>
  </si>
  <si>
    <t>Total Franchise Fees and Uncollectible</t>
  </si>
  <si>
    <t>Line 17 + Line 19</t>
  </si>
  <si>
    <t>Total Retail TRBAA Forecast Including FF&amp;U</t>
  </si>
  <si>
    <t>Line 15 + Line 21</t>
  </si>
  <si>
    <t>Statement BK-2</t>
  </si>
  <si>
    <t>Wholesale Customers - HVTRR &amp; LVTRR Calculation</t>
  </si>
  <si>
    <t>(C) = (A) + (B)</t>
  </si>
  <si>
    <t>HIGH VOLTAGE</t>
  </si>
  <si>
    <t>LOW VOLTAGE</t>
  </si>
  <si>
    <t>Transmission</t>
  </si>
  <si>
    <t>Transmission Revenue</t>
  </si>
  <si>
    <t xml:space="preserve">Revenue </t>
  </si>
  <si>
    <t>Requirements</t>
  </si>
  <si>
    <r>
      <t xml:space="preserve">Wholesale Base Transmission Revenue Requirement  </t>
    </r>
    <r>
      <rPr>
        <b/>
        <vertAlign val="superscript"/>
        <sz val="12"/>
        <rFont val="Times New Roman"/>
        <family val="1"/>
      </rPr>
      <t>1</t>
    </r>
  </si>
  <si>
    <t>See Note 1</t>
  </si>
  <si>
    <t>Work paper No. 2 Page 2.1; Line 15</t>
  </si>
  <si>
    <t xml:space="preserve">   Wheeling Revenues</t>
  </si>
  <si>
    <t>Work paper No. 6; Page 6.1; Line 19</t>
  </si>
  <si>
    <t xml:space="preserve">   Settlements, Metering and Client Relations</t>
  </si>
  <si>
    <t>Work paper No. 6; Page 6.1; Line 26</t>
  </si>
  <si>
    <t xml:space="preserve">   ETC Cost Differentials</t>
  </si>
  <si>
    <t>Work paper No. 6; Page 6.1; Line 32</t>
  </si>
  <si>
    <t>Work paper No. 6; Page 6.1; Line 42</t>
  </si>
  <si>
    <t>Sum {Line 7 through Line 13}</t>
  </si>
  <si>
    <t>Total Wholesale TRBAA Before Franchise Fees</t>
  </si>
  <si>
    <t xml:space="preserve">Line 3 + Line 15 </t>
  </si>
  <si>
    <t>Total Wholesale TRBAA Forecast Including Franchise Fees</t>
  </si>
  <si>
    <r>
      <t>Transmission Standby Revenues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 xml:space="preserve"> 2</t>
    </r>
  </si>
  <si>
    <t>Work paper No. 3; Page 3.1; Line 7</t>
  </si>
  <si>
    <t>Wholesale Transmission Revenue Requirement</t>
  </si>
  <si>
    <t>Line 1 + Line 21 + Line 23</t>
  </si>
  <si>
    <t>Statement BL</t>
  </si>
  <si>
    <t>Retail TRBAA Rate Calculation</t>
  </si>
  <si>
    <t>Sum {Line 5 through Line 11}</t>
  </si>
  <si>
    <t>Statement BD; Pg. 1 of 5; Col. C; Ln. 15</t>
  </si>
  <si>
    <t>Retail TRBAA Rate ($/kWh)</t>
  </si>
  <si>
    <t>Line 23 / Line 25</t>
  </si>
  <si>
    <t>High Voltage &amp; Low Voltage Component</t>
  </si>
  <si>
    <t>Combined</t>
  </si>
  <si>
    <t>High Voltage</t>
  </si>
  <si>
    <t>Low Voltage</t>
  </si>
  <si>
    <t>TRR</t>
  </si>
  <si>
    <t>Notes &amp; Reference</t>
  </si>
  <si>
    <r>
      <t xml:space="preserve">Total Wholesale TRBAA 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</si>
  <si>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t>Statement BK-2; Page 1; Line 21</t>
  </si>
  <si>
    <r>
      <t xml:space="preserve">Transmission Standby Revenue 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</si>
  <si>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t>See Note 3</t>
  </si>
  <si>
    <t>Wholesale Transmission Revenue Requirements</t>
  </si>
  <si>
    <t>Sum ( Lines 1, 3, &amp; 5 )</t>
  </si>
  <si>
    <t>Gross Load - MWh</t>
  </si>
  <si>
    <t>Utility Specific Access Charges ($/MWh)</t>
  </si>
  <si>
    <t>Line 7 / Line 9</t>
  </si>
  <si>
    <t>NOTES:</t>
  </si>
  <si>
    <t>The Wholesale TRBAA amount comes from the instant filing, in Statement BK-2; Page 1; Line 21</t>
  </si>
  <si>
    <t>San Diego Gas &amp; Electric Co.</t>
  </si>
  <si>
    <t>System Delivery Determinants</t>
  </si>
  <si>
    <t>Customer Class Deliveries (MWh)</t>
  </si>
  <si>
    <t>Residential</t>
  </si>
  <si>
    <t>Small Commercial</t>
  </si>
  <si>
    <t>Med. &amp; Large Comm./Ind.</t>
  </si>
  <si>
    <t>Agriculture (PA)</t>
  </si>
  <si>
    <t>Lighting</t>
  </si>
  <si>
    <t>Total System</t>
  </si>
  <si>
    <t>Total System - EXCLUDING Sale for Resale</t>
  </si>
  <si>
    <t>INPUT FROM RECORDED SALES FILE:</t>
  </si>
  <si>
    <t>Medium &amp; Large Details - Deliveries in MWH:</t>
  </si>
  <si>
    <t>Med &amp; Large C/I (AD)</t>
  </si>
  <si>
    <t>Med &amp; Large C/I (AL+AY+DGR)</t>
  </si>
  <si>
    <t>Med &amp; Large C/I (A6)</t>
  </si>
  <si>
    <t>San Diego Gas &amp; Electric</t>
  </si>
  <si>
    <t>Customer Class Deliveries (kWh)</t>
  </si>
  <si>
    <t>Medium &amp; Large Details - Deliveries in kWh:</t>
  </si>
  <si>
    <t xml:space="preserve">Med. &amp; Large Comm./Ind. </t>
  </si>
  <si>
    <t>INPUT FROM FORECAST INFORMATION:</t>
  </si>
  <si>
    <t>Allocation Of Beginning TRBAA Balance Based on Forecast Balances</t>
  </si>
  <si>
    <t>Beginning</t>
  </si>
  <si>
    <t>TRBAA Balance</t>
  </si>
  <si>
    <t>TRBAA</t>
  </si>
  <si>
    <t>Forecast - Wheeling Revenues</t>
  </si>
  <si>
    <t>Forecast - Settlements, Metering and Client Relations</t>
  </si>
  <si>
    <t>Forecast - ETC Cost Differentials</t>
  </si>
  <si>
    <t>Forecast - Other PTO Related Revenue (Credits)/Charges</t>
  </si>
  <si>
    <t>Sum Lines 3 through 9</t>
  </si>
  <si>
    <t>Allocation Factors Based on Revenue Credit Forecast</t>
  </si>
  <si>
    <t>Ratios Per Line 11</t>
  </si>
  <si>
    <r>
      <t xml:space="preserve">Allocation of Beginning TRBAA Balance  </t>
    </r>
    <r>
      <rPr>
        <b/>
        <vertAlign val="superscript"/>
        <sz val="12"/>
        <rFont val="Times New Roman"/>
        <family val="1"/>
      </rPr>
      <t>1</t>
    </r>
  </si>
  <si>
    <t>Column (A) Line 1 x Line 13</t>
  </si>
  <si>
    <t>The beginning TRBAA balance on line 1, Column (A), is allocated between High Voltage and Low Voltage, using the ratios that were developed on line 13.</t>
  </si>
  <si>
    <t>Standby Revenues</t>
  </si>
  <si>
    <t>(1)</t>
  </si>
  <si>
    <t>(2)</t>
  </si>
  <si>
    <t>(3) = (1) + (2)</t>
  </si>
  <si>
    <t>Combined TRR</t>
  </si>
  <si>
    <t xml:space="preserve">Total Standby Revenues  </t>
  </si>
  <si>
    <t>See Note 2</t>
  </si>
  <si>
    <t>HV-LV Allocation Factors</t>
  </si>
  <si>
    <t>Ratios Based on Line 2</t>
  </si>
  <si>
    <t>Total HV-LV Standby Revenue Credits</t>
  </si>
  <si>
    <t xml:space="preserve">Col. 3; Line 1 x Line 5 Ratios </t>
  </si>
  <si>
    <t>October</t>
  </si>
  <si>
    <t>November</t>
  </si>
  <si>
    <t>December</t>
  </si>
  <si>
    <t>January</t>
  </si>
  <si>
    <t>February</t>
  </si>
  <si>
    <t>March</t>
  </si>
  <si>
    <t>April</t>
  </si>
  <si>
    <t>August</t>
  </si>
  <si>
    <t>September</t>
  </si>
  <si>
    <t>Beginning Balance (Overcollection)/Undercollection</t>
  </si>
  <si>
    <t>Previous Month's Balance</t>
  </si>
  <si>
    <t>TRBAA Refund</t>
  </si>
  <si>
    <t xml:space="preserve">   Kwh (Excluding Sales for Resale).</t>
  </si>
  <si>
    <t>Work Paper No. 1; Page 1.1; Line 32</t>
  </si>
  <si>
    <t xml:space="preserve">   TRBAA Rate</t>
  </si>
  <si>
    <t xml:space="preserve">        Total TRBAA Refund Including Franchise Fees &amp; Uncollectibles</t>
  </si>
  <si>
    <t>Line 4 x Line 5</t>
  </si>
  <si>
    <t xml:space="preserve">   Franchise Fees &amp; Uncollectible Expense Adjustment</t>
  </si>
  <si>
    <t>(Line 6 / (1+ Line 38)) * Line 38</t>
  </si>
  <si>
    <t xml:space="preserve">   TRBAA Refunds/Collections Excluding Uncollectibles</t>
  </si>
  <si>
    <t>Line 6 - Line 7</t>
  </si>
  <si>
    <t>PTO Related - ISO Charge Types:</t>
  </si>
  <si>
    <t xml:space="preserve">    CT 384/ CT 382 - HV Wheeling Revenues Due TO/Due ISO (Net)</t>
  </si>
  <si>
    <t>Work Paper No. 5; Page 5.1-5.2; Line 4</t>
  </si>
  <si>
    <t xml:space="preserve">    CT 4575 - Settlements, Metering, Client Relations </t>
  </si>
  <si>
    <t>Work Paper No. 5; Page 5.1-5.2; Line 7</t>
  </si>
  <si>
    <t xml:space="preserve">    ETC Cost Differentials</t>
  </si>
  <si>
    <t>Work Paper No. 5; Page 5.1-5.2; Line 10</t>
  </si>
  <si>
    <t xml:space="preserve">    Other PTO Related Revenue (Credits)/Charges</t>
  </si>
  <si>
    <t>Work Paper No. 5; Page 5.1-5.2; Line 13</t>
  </si>
  <si>
    <t xml:space="preserve">          Sub-Total Monthly PTO Related Activity</t>
  </si>
  <si>
    <t>Sum Lines 11 thru 14</t>
  </si>
  <si>
    <t>Other CAISO Adjustment</t>
  </si>
  <si>
    <t xml:space="preserve">          Sub-Total Adjustment</t>
  </si>
  <si>
    <t>Sum Line 17</t>
  </si>
  <si>
    <t xml:space="preserve">               Total </t>
  </si>
  <si>
    <t>Sum Lines 15; 18</t>
  </si>
  <si>
    <t>Net Monthly Activity (Net Refunds, Revenues, Expenses, &amp; Adjustments)</t>
  </si>
  <si>
    <t>Interest Expense Calculations:</t>
  </si>
  <si>
    <t xml:space="preserve">      Beginning Balance for Interest Calculation</t>
  </si>
  <si>
    <t xml:space="preserve">      Monthly Activity Included in Interest Calculation Basis</t>
  </si>
  <si>
    <t>Interest Calculation Basis</t>
  </si>
  <si>
    <t xml:space="preserve">      Basis for Interest Expense Calculation</t>
  </si>
  <si>
    <t>Line 24 + Line 25</t>
  </si>
  <si>
    <t xml:space="preserve">      Monthly Interest Rate</t>
  </si>
  <si>
    <t>FERC Monthly Rates</t>
  </si>
  <si>
    <t xml:space="preserve">         Interest Expense</t>
  </si>
  <si>
    <t>Line 26 x Line 27</t>
  </si>
  <si>
    <t>Other Adjustment (rounding)</t>
  </si>
  <si>
    <t>Ending Balance (Overcollection)/Undercollection</t>
  </si>
  <si>
    <t>Line 1 + Line 21 + Line 28 + Line 30</t>
  </si>
  <si>
    <t>Franchise Fees &amp; Uncollectible Adjustment:</t>
  </si>
  <si>
    <t>Franchise Fees Expense Rate</t>
  </si>
  <si>
    <t>Uncollectible Expense Adjustment Rate</t>
  </si>
  <si>
    <t xml:space="preserve">     Combined FF&amp;U Adjustment Rate</t>
  </si>
  <si>
    <t>Line 36 + Line 37</t>
  </si>
  <si>
    <t>Franchise Fee Rate</t>
  </si>
  <si>
    <t>Uncollectible Rate</t>
  </si>
  <si>
    <t xml:space="preserve">      Total</t>
  </si>
  <si>
    <t>Total Rate</t>
  </si>
  <si>
    <t>Verification of Interest Rates</t>
  </si>
  <si>
    <t>FERC INTEREST RATE</t>
  </si>
  <si>
    <t>Days in Year</t>
  </si>
  <si>
    <t>Days in Month</t>
  </si>
  <si>
    <t>Monthly Interest Rate - Calculated</t>
  </si>
  <si>
    <t>FERC Interest Rates - Website</t>
  </si>
  <si>
    <t>FOOTNOTES to Monthly TRBAA Balance:</t>
  </si>
  <si>
    <r>
      <t xml:space="preserve"> </t>
    </r>
    <r>
      <rPr>
        <b/>
        <vertAlign val="superscript"/>
        <sz val="12"/>
        <rFont val="Times New Roman"/>
        <family val="1"/>
      </rPr>
      <t>1</t>
    </r>
    <r>
      <rPr>
        <sz val="12"/>
        <rFont val="Times New Roman"/>
        <family val="1"/>
      </rPr>
      <t xml:space="preserve">   The Franchise Fees and Uncollectible expense amount adjustment are removed from the amount collected from/(refunded) to customers to properly balance in the TRBAA mechanism only the approved revenue credits and CAISO charges.</t>
    </r>
  </si>
  <si>
    <r>
      <t xml:space="preserve"> </t>
    </r>
    <r>
      <rPr>
        <b/>
        <vertAlign val="superscript"/>
        <sz val="12"/>
        <rFont val="Times New Roman"/>
        <family val="1"/>
      </rPr>
      <t>2</t>
    </r>
    <r>
      <rPr>
        <sz val="12"/>
        <rFont val="Times New Roman"/>
        <family val="1"/>
      </rPr>
      <t xml:space="preserve">   Existing Transmission Contract (ETC) Cost Differentials related to APS-IID pertains to SDG&amp;E as the Scheduling Coordinator for Arizona Public Service - Imperial Irrigation District ("APS-IID") (See Work Paper No. 5; Pages 5.1 - 5.2; Line 10).</t>
    </r>
  </si>
  <si>
    <r>
      <rPr>
        <b/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 xml:space="preserve">    Other Participating Transmission Owner (PTO) Related (Credits)/Charges include CAISO charge codes 1592, 7989, 7999, 8526, 8989, and 8999. These charges are segregated out of the ETC Cost Differentials category and classified as Other PTO related (Credits)/Charges to enhance reporting transparency. Each account has a different allocation method specified by CAISO.</t>
    </r>
  </si>
  <si>
    <t>High Voltage Wheeling Revenues:</t>
  </si>
  <si>
    <t xml:space="preserve">      CT 384 - HV Wheeling Revenues Due TO</t>
  </si>
  <si>
    <t>ISO Charge Type 384</t>
  </si>
  <si>
    <t xml:space="preserve">      CT 382 - HV Wheeling Charge Due ISO </t>
  </si>
  <si>
    <t>ISO Charge Type 382</t>
  </si>
  <si>
    <t xml:space="preserve">            Net </t>
  </si>
  <si>
    <t>CT 4575 - Settlements, Metering, &amp; Client Relations (SDGE-PTO)</t>
  </si>
  <si>
    <t>ISO Charge Type 4575</t>
  </si>
  <si>
    <t>ETC Cost Differentials from CAISO</t>
  </si>
  <si>
    <t>Other PTO Related Revenue (Credits)/Charges</t>
  </si>
  <si>
    <t>Check:</t>
  </si>
  <si>
    <t>Total Per TRBAA Details (From Regulatory Reporting)</t>
  </si>
  <si>
    <t>Summary of TRBAA Forecast Allocation Between High Voltage and Low Voltage Facilities</t>
  </si>
  <si>
    <t>HV-LV Allocation Factors:</t>
  </si>
  <si>
    <t>A. Development of Allocation Factors:</t>
  </si>
  <si>
    <t xml:space="preserve">   Total Recorded &amp; Forecast Gross Plant Balances; Dollars in ($000)</t>
  </si>
  <si>
    <t>Line 5 + Line 7</t>
  </si>
  <si>
    <t>High Voltage - Low Voltage Ratios Based on Gross Plant; Per Line 9</t>
  </si>
  <si>
    <t>Allocation Ratios Based on Line 9</t>
  </si>
  <si>
    <t>B. Allocation of High Voltage Wheeling Revenues:</t>
  </si>
  <si>
    <t>Work paper No.7; Page 7.1; Line 27</t>
  </si>
  <si>
    <t xml:space="preserve">HV - Allocation Ratio is NOT Based on Plant as shown on Line 11 </t>
  </si>
  <si>
    <t>Wheeling Revenues are assigned 100% to High Voltage facilities</t>
  </si>
  <si>
    <t>Total HV-LV Wheeling Revenues Allocation</t>
  </si>
  <si>
    <t>Line 15 x Line 17</t>
  </si>
  <si>
    <t>C. Forecast of Settlements, Metering, &amp; Client Relations Expense:</t>
  </si>
  <si>
    <t>Work paper No. 8; Page 8.1, Line 27</t>
  </si>
  <si>
    <t>Adjusted for Known and Measurable Changes.</t>
  </si>
  <si>
    <t>Total Settlements, Metering, &amp; Client Relations Allocation</t>
  </si>
  <si>
    <t>Col. C; Line 23 x Line 11 Ratios</t>
  </si>
  <si>
    <t>D: Forecast of ETC Cost Differentials Expense:</t>
  </si>
  <si>
    <t>Work paper No. 9; Page 9.1, Line 27</t>
  </si>
  <si>
    <t>Total ETC Cost Differentials Allocation</t>
  </si>
  <si>
    <t>Col. C; Line 30 x Line 11 Ratios</t>
  </si>
  <si>
    <t>E: Forecast of Other PTO Related Revenue (Credits)/Charges:</t>
  </si>
  <si>
    <t>Less: CC 8526 HV/LV specific allocation per CAISO</t>
  </si>
  <si>
    <t>WP No. 12; Page 12.1, footnotes (b) and (c) explanation on the HV/LV allocation per CAISO</t>
  </si>
  <si>
    <t>Net Other PTO Related Revenue (Credits)/Charges HV/LV Allocation</t>
  </si>
  <si>
    <t>Col. C, Line 36 x Line 11 Ratios</t>
  </si>
  <si>
    <t>Total Other PTO Related Revenue (Credits)/Charges Allocation</t>
  </si>
  <si>
    <t>Line 38 + Line 40</t>
  </si>
  <si>
    <t>Wheeling Revenues Forecast</t>
  </si>
  <si>
    <t xml:space="preserve">High Voltage </t>
  </si>
  <si>
    <t>Wheeling Revenues</t>
  </si>
  <si>
    <t>No</t>
  </si>
  <si>
    <t>Actual Recorded Month</t>
  </si>
  <si>
    <t>(384)/(382)-Net</t>
  </si>
  <si>
    <t>(385)</t>
  </si>
  <si>
    <t>Work paper No. 5; Page 5.1 and 5.2; Line 4</t>
  </si>
  <si>
    <t>Total Recorded</t>
  </si>
  <si>
    <t>Sum Lines 1 to 23</t>
  </si>
  <si>
    <t>Wheeling Revenue Forecast</t>
  </si>
  <si>
    <t>See Line 25</t>
  </si>
  <si>
    <t>CAISO Charge Code 4575 - Settlements, Metering and Client Relations Charge Code 4575 Forecast</t>
  </si>
  <si>
    <t xml:space="preserve">Settlements, Metering, and Client Relations Charge Code - 4575 </t>
  </si>
  <si>
    <t>Work paper No. 5; Page 5.1 and 5.2; Line 7</t>
  </si>
  <si>
    <r>
      <t xml:space="preserve">Settlements, Metering and Client Relations Charge Code - 4575 Forecast  </t>
    </r>
    <r>
      <rPr>
        <b/>
        <vertAlign val="superscript"/>
        <sz val="12"/>
        <rFont val="Times New Roman"/>
        <family val="1"/>
      </rPr>
      <t>a</t>
    </r>
  </si>
  <si>
    <t>a</t>
  </si>
  <si>
    <t>CAISO Settlements, Metering and Client Relations forecast is based on the recorded rates under MRTU.</t>
  </si>
  <si>
    <t xml:space="preserve">The monthly amounts represent the amount charged to SDG&amp;E as a PTO. A similar amount is charged to SDG&amp;E as the Scheduling </t>
  </si>
  <si>
    <t>Coordinator for APS-IID where the amount is included as part of ETC Cost Differentials.</t>
  </si>
  <si>
    <t>Existing Transmission Contracts (ETC) Cost Differentials Forecast</t>
  </si>
  <si>
    <t xml:space="preserve">Existing Transmission Contracts (ETC) Cost Differentials  </t>
  </si>
  <si>
    <t>Work paper No. 5; Page 5.1 and 5.2; Line 10</t>
  </si>
  <si>
    <t>Charge Type</t>
  </si>
  <si>
    <t>ETC Cost Differentials Charge Types</t>
  </si>
  <si>
    <t>EP Penalty Allocation Payment</t>
  </si>
  <si>
    <t>Day Ahead Energy Congestion Loss Management</t>
  </si>
  <si>
    <t>Ancillary Service Upward Neutrality Allocation</t>
  </si>
  <si>
    <t>Spinning Reserve Obligation Settlement</t>
  </si>
  <si>
    <t>Non-Spinning Reserve Obligation Settlement</t>
  </si>
  <si>
    <t>Intertie Deviation Settlement Allocation</t>
  </si>
  <si>
    <t>Real Time System Imbalance Energy Offset</t>
  </si>
  <si>
    <t>Monthly CRRBA Clearing</t>
  </si>
  <si>
    <t>Real Time Market Congestion Credit Settlement</t>
  </si>
  <si>
    <t>CRR Accrued Interest Allocation</t>
  </si>
  <si>
    <t>IFM Marginal Losses Surplus Credit Allocation- Prelim</t>
  </si>
  <si>
    <t>Allocation of Transmission Loss Obligation Charge for Real Time Schedule Under Control Agreement</t>
  </si>
  <si>
    <t>Flexible Ramp Forecasted Movement Settlement</t>
  </si>
  <si>
    <t>Monthly Flexible Ramp Up Uncertainty Award Allocation</t>
  </si>
  <si>
    <t>Invoice Deviation Interest Distribution</t>
  </si>
  <si>
    <t>Generator Interconnection Process Forfeited Deposit Allocation</t>
  </si>
  <si>
    <t>TRBAA Expenses</t>
  </si>
  <si>
    <t>0550</t>
  </si>
  <si>
    <t>FERC Fees</t>
  </si>
  <si>
    <t>Bid Segment Fee</t>
  </si>
  <si>
    <t>GMC - Market Services Charge</t>
  </si>
  <si>
    <t>GMC - System Operations Charge</t>
  </si>
  <si>
    <t>GMC - Transmission Ownership Rights</t>
  </si>
  <si>
    <t>Settlements, Metering, Client Relations</t>
  </si>
  <si>
    <t>Spinning Reserve Neutrality Allocation</t>
  </si>
  <si>
    <t>Non-Spinning Reserve Neutrality Allocation</t>
  </si>
  <si>
    <t>Intertie Deviation Settlement</t>
  </si>
  <si>
    <t>FMM Instructed Imbalance Energy Settlement</t>
  </si>
  <si>
    <t>Real Time Instructed Imbalance Energy Settlement</t>
  </si>
  <si>
    <t>Real Time Imbalance Energy Offset</t>
  </si>
  <si>
    <t>6484</t>
  </si>
  <si>
    <t>Hour-Ahead Scheduling Process Uplift Settlement Allocation</t>
  </si>
  <si>
    <t>Real Time Bid Cost Recovery Allocation</t>
  </si>
  <si>
    <t>Real Time Congestion Offset</t>
  </si>
  <si>
    <t>CRR Balancing Account</t>
  </si>
  <si>
    <t>Real Time Marginal Losses Offset</t>
  </si>
  <si>
    <t>Daily Flexible Ramp Up Uncertainty Award Allocation</t>
  </si>
  <si>
    <t>Daily Flexible Ramp Down Uncertainty Award Allocation</t>
  </si>
  <si>
    <t>Monthly Flexible Ramp Down Uncertainty Award Allocation</t>
  </si>
  <si>
    <t>Invoice Deviation Interest Allocation</t>
  </si>
  <si>
    <t>Grand Total</t>
  </si>
  <si>
    <t>Per TRBAA Schedule; Workpaper 4.1 to 4.4; Line 13</t>
  </si>
  <si>
    <t>Other PTO Related Revenue (Credits) / Charge Forecast</t>
  </si>
  <si>
    <t xml:space="preserve">Other PTO Related Revenue (Credits)/Charges </t>
  </si>
  <si>
    <t>Work paper No. 5; Page 5.1 and 5.2; Line 13</t>
  </si>
  <si>
    <t>Other PTO Related Revenue (Credits) / Charges Forecast</t>
  </si>
  <si>
    <r>
      <t xml:space="preserve">Other PTO Related Revenue (Credits)/Charge Types  </t>
    </r>
    <r>
      <rPr>
        <b/>
        <vertAlign val="superscript"/>
        <sz val="14"/>
        <rFont val="Times New Roman"/>
        <family val="1"/>
      </rPr>
      <t>a</t>
    </r>
  </si>
  <si>
    <t>b</t>
  </si>
  <si>
    <t>Neutrality Adjustment</t>
  </si>
  <si>
    <t>Daily Neutrality Adjustment</t>
  </si>
  <si>
    <t>Adjusted Total Other PTO Related Revenue (Credits)/Charges - Line 13 above</t>
  </si>
  <si>
    <t>Per TRBAA Schedule; Workpaper 4.1 to 4.4; Line 14</t>
  </si>
  <si>
    <t>Other Participating Transmission Owner (PTO) Related (Credits)/Charges include CAISO charge codes 1592, 7989, 7999, 8526, 8989, and 8999. The segregation of these charges and classifying them as Other PTO Related (Credits)/Charges enhances reporting transparency.</t>
  </si>
  <si>
    <t>San Diego Unified Port District</t>
  </si>
  <si>
    <t xml:space="preserve">Beg. Monthly Balances </t>
  </si>
  <si>
    <t>FF&amp;U Per FERC ER22-258-000 (2022 Rates) less 0.004% over charge in 2021:</t>
  </si>
  <si>
    <t>So in 2022, the uncollectible rates that should have used 0.1650% was reduced by the 0.004% overcharge from 2021, thus, now using 0.1610% in 2022 (0.1650% - .004% = 0.1610%).</t>
  </si>
  <si>
    <t>2021 should have used 0.1690% but continued to use the 0.1730% from the 2020 rates (over by 0.004%).</t>
  </si>
  <si>
    <t>(a)</t>
  </si>
  <si>
    <t>Minus Line 8 + Line 19</t>
  </si>
  <si>
    <t>Statement BD; Page 1 of 5; Line 28; Col. D</t>
  </si>
  <si>
    <t>Adjusted Total ETC Cost Differential - Line 45 above</t>
  </si>
  <si>
    <t>Work Paper 12; Pages 12.1; Line 13</t>
  </si>
  <si>
    <t>Work Paper 10; Pages 10.1 - 10.3; Line 45</t>
  </si>
  <si>
    <t>WP No. 12; Page 12.1, Total Col, Line 13</t>
  </si>
  <si>
    <t>2024 - TRBAA Rate Filing</t>
  </si>
  <si>
    <t>Recorded Billing Determinants for the 12-Month Period: October 2022 - September 2023</t>
  </si>
  <si>
    <t>Forecast Billing Determinants for the 12-Month Period: January 2024- December 2024</t>
  </si>
  <si>
    <r>
      <t xml:space="preserve">January 2024 - December 2024 </t>
    </r>
    <r>
      <rPr>
        <b/>
        <vertAlign val="superscript"/>
        <sz val="12"/>
        <rFont val="Times New Roman"/>
        <family val="1"/>
      </rPr>
      <t xml:space="preserve"> 1</t>
    </r>
  </si>
  <si>
    <t>Per Cost Statement BB; Page 1; Line 24 of SDG&amp;E's TO5-Cycle 6 Annual Informational Filing.</t>
  </si>
  <si>
    <t>The 1.0414 factor is used to convert the retail sales forecast at meter level up to the transmission level.</t>
  </si>
  <si>
    <t>Forecast Period January 2024 - December 2024</t>
  </si>
  <si>
    <t>2024 (MWh)</t>
  </si>
  <si>
    <t>For the 12-Month Base &amp; True Up Period Ending December 31, 2022</t>
  </si>
  <si>
    <t>Rate Effective Period - Twelve Months Ending December 31, 2024</t>
  </si>
  <si>
    <t>FERC Docket No. ER23-257-000</t>
  </si>
  <si>
    <t>Beginning TRBAA Balance @ 9/30/2023</t>
  </si>
  <si>
    <t xml:space="preserve">   Franchise Fees Expense @ 1.0207%</t>
  </si>
  <si>
    <t xml:space="preserve">   Uncollectibles @ 0.205%</t>
  </si>
  <si>
    <t>Line 15 x 1.0207%</t>
  </si>
  <si>
    <t>Line 15 x 0.205%</t>
  </si>
  <si>
    <t>12 Months kWh Ending September 30, 2023</t>
  </si>
  <si>
    <t>TRBAA Balance @ 9/30/2023</t>
  </si>
  <si>
    <t>Forecast 2024 - Net Transmission Revenue Credits</t>
  </si>
  <si>
    <t xml:space="preserve">TO5-Cycle 6 Informational Filing-Wholesale Base TRR  </t>
  </si>
  <si>
    <t>Wholesale Base TRR information comes from SDG&amp;E's TO5 Cycle 6 Annual Informational Filing.</t>
  </si>
  <si>
    <t>Average TRBAA Rate Calculation for January 2023</t>
  </si>
  <si>
    <t xml:space="preserve">   Prior Year - TRBAA Rate 2022</t>
  </si>
  <si>
    <t xml:space="preserve">   Current Year - TRBAA Rate 2023</t>
  </si>
  <si>
    <t>Average TRBAA Rate Calculation for January 2023:</t>
  </si>
  <si>
    <t>FF&amp;U Per FERC ER23-542-000 (2023 Rates)</t>
  </si>
  <si>
    <t>TO5 Cycle 6 - Recorded Gross Plant Balances; Dollars in ($000)</t>
  </si>
  <si>
    <t>TO5 Cycle 6 - Weighted Forecast Plant Additions; Dollars in ($000)</t>
  </si>
  <si>
    <t>HV-LV Plant Study; Line 38 of SDG&amp;E's TO5 Cycle 6 Annual  Informational Filing</t>
  </si>
  <si>
    <t xml:space="preserve"> Forecast Plant; Line 16 of SDG&amp;E's TO5-Cycle 6 Annual Informational Filing</t>
  </si>
  <si>
    <t>Total Wheeling Revenues Forecast based on recorded HV-LV wheeling revenues ending 9/30/2023</t>
  </si>
  <si>
    <t>Total Settlements, Metering &amp; Client Relations Expense Forecast based on recorded CC4575 ending 9/30/2023</t>
  </si>
  <si>
    <t>Total ETC Cost Differentials Expense Forecast based on recorded other various CAISO charges ending 9/30/2023</t>
  </si>
  <si>
    <t>Total Other PTO Related Revenue (Credits)/Charges based on recorded specific various CAISO charges ending 9/30/2023</t>
  </si>
  <si>
    <t>RTM Congestion Credit Settlement</t>
  </si>
  <si>
    <t>Present Rates are defined as rates effective pursuant to ER23-257.</t>
  </si>
  <si>
    <t>Transmission Revenue Balancing Account Adjustment (TRBAA) Revenue Data To Reflect Present Rates per ER23-257</t>
  </si>
  <si>
    <t>TRBAA Rates; ER22-258 (Oct - Dec 2022); ER23-257 (Jan - Sep 2023)</t>
  </si>
  <si>
    <t>Wholesale Base TRR information comes from Cost Statement BK-2 of SDG&amp;E's TO5 Cycle 6 Annual Informational Filing.</t>
  </si>
  <si>
    <t>2024 - Wholesale Customers Utility Specific Access Charge Rate Calculations</t>
  </si>
  <si>
    <t>Real Time Assistance Energy Surcharge Allocation</t>
  </si>
  <si>
    <t>In accordance with the CAISO Tariff Appendix DD, Section 7.6, SDG&amp;E, as a PTO, received $654,047.45 under CAISO Charge Code 8526 in September, 2023, and this was recorded in the TRBA.  Of this amount, $147,968.44 is associated with the High Voltage Transmission Revenue Requirement and $0 is associated with the Low Voltage Transmission Revenue Requirement.</t>
  </si>
  <si>
    <t>Line 17 x 1.0207%</t>
  </si>
  <si>
    <t>Standby Revenue amount of $15,948,492, from Cost Statement BG; Page 1; Column A; Line 26, of SDG&amp;E's TO5 Cycle 6 Annual Informational Filing.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</si>
</sst>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_(&quot;$&quot;* #,##0_);_(&quot;$&quot;* \(#,##0\);_(&quot;$&quot;* &quot;-&quot;??_);_(@_)"/>
    <numFmt numFmtId="167" formatCode="_(&quot;$&quot;* #,##0.0000_);_(&quot;$&quot;* \(#,##0.0000\);_(&quot;$&quot;* &quot;-&quot;??_);_(@_)"/>
    <numFmt numFmtId="168" formatCode="_(&quot;$&quot;* #,##0.00000_);_(&quot;$&quot;* \(#,##0.00000\);_(&quot;$&quot;* &quot;-&quot;??_);_(@_)"/>
    <numFmt numFmtId="169" formatCode="0.000%"/>
    <numFmt numFmtId="170" formatCode="0.0000%"/>
    <numFmt numFmtId="171" formatCode="[$-409]mmmm\-yy;@"/>
    <numFmt numFmtId="172" formatCode="&quot;$&quot;#,##0.00000"/>
    <numFmt numFmtId="173" formatCode="0.00000%"/>
    <numFmt numFmtId="174" formatCode="[$-409]mmm\-yy;@"/>
    <numFmt numFmtId="175" formatCode="_(* #,##0.00000_);_(* \(#,##0.00000\);_(* &quot;-&quot;??_);_(@_)"/>
    <numFmt numFmtId="176" formatCode="#,##0.0000000_);[Red]\(#,##0.0000000\)"/>
    <numFmt numFmtId="177" formatCode="_(&quot;$&quot;* #,##0.000000_);_(&quot;$&quot;* \(#,##0.000000\);_(&quot;$&quot;* &quot;-&quot;??_);_(@_)"/>
    <numFmt numFmtId="178" formatCode="mmmm\-yy"/>
    <numFmt numFmtId="179" formatCode="0.0000"/>
    <numFmt numFmtId="180" formatCode="_(* #,##0.00000_);_(* \(#,##0.00000\);_(* &quot;-&quot;_);_(@_)"/>
    <numFmt numFmtId="181" formatCode="0.0%"/>
    <numFmt numFmtId="182" formatCode="_(* #,##0.0000_);_(* \(#,##0.0000\);_(* &quot;-&quot;_);_(@_)"/>
    <numFmt numFmtId="183" formatCode="_(* #,##0.0_);_(* \(#,##0.0\);_(* &quot;-&quot;??_);_(@_)"/>
    <numFmt numFmtId="184" formatCode="0.0"/>
  </numFmts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vertAlign val="superscript"/>
      <sz val="12"/>
      <name val="Times New Roman"/>
      <family val="1"/>
    </font>
    <font>
      <b/>
      <vertAlign val="superscript"/>
      <sz val="12"/>
      <name val="Times New Roman"/>
      <family val="1"/>
    </font>
    <font>
      <sz val="8"/>
      <name val="Arial"/>
      <family val="2"/>
    </font>
    <font>
      <b/>
      <i/>
      <u/>
      <sz val="10"/>
      <name val="Times New Roman"/>
      <family val="1"/>
    </font>
    <font>
      <b/>
      <i/>
      <u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2"/>
      <name val="Times New Roman"/>
      <family val="1"/>
    </font>
    <font>
      <b/>
      <u/>
      <sz val="12"/>
      <name val="Times New Roman"/>
      <family val="1"/>
    </font>
    <font>
      <b/>
      <i/>
      <sz val="13"/>
      <name val="Times New Roman"/>
      <family val="1"/>
    </font>
    <font>
      <vertAlign val="superscript"/>
      <sz val="13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2"/>
      <name val="Arial"/>
      <family val="2"/>
    </font>
    <font>
      <b/>
      <u/>
      <sz val="13"/>
      <name val="Times New Roman"/>
      <family val="1"/>
    </font>
    <font>
      <vertAlign val="superscript"/>
      <sz val="14"/>
      <name val="Times New Roman"/>
      <family val="1"/>
    </font>
    <font>
      <b/>
      <u/>
      <sz val="11"/>
      <name val="Times New Roman"/>
      <family val="1"/>
    </font>
    <font>
      <b/>
      <vertAlign val="superscript"/>
      <sz val="14"/>
      <name val="Times New Roman"/>
      <family val="1"/>
    </font>
    <font>
      <sz val="14"/>
      <name val="Arial"/>
      <family val="2"/>
    </font>
    <font>
      <sz val="10"/>
      <name val="System"/>
      <family val="2"/>
    </font>
    <font>
      <u/>
      <sz val="10"/>
      <name val="Arial"/>
      <family val="2"/>
    </font>
    <font>
      <b/>
      <sz val="10"/>
      <name val="Arial"/>
      <family val="2"/>
    </font>
    <font>
      <i/>
      <u/>
      <sz val="12"/>
      <name val="Times New Roman"/>
      <family val="1"/>
    </font>
    <font>
      <b/>
      <sz val="20"/>
      <name val="Times New Roman"/>
      <family val="1"/>
    </font>
    <font>
      <b/>
      <sz val="13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 val="double"/>
      <sz val="12"/>
      <name val="Times New Roman"/>
      <family val="1"/>
    </font>
    <font>
      <sz val="12"/>
      <color rgb="FFFF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6" fillId="0" borderId="0"/>
    <xf numFmtId="0" fontId="7" fillId="0" borderId="0"/>
    <xf numFmtId="9" fontId="7" fillId="0" borderId="0" applyFont="0" applyFill="0" applyBorder="0" applyAlignment="0" applyProtection="0"/>
    <xf numFmtId="0" fontId="32" fillId="0" borderId="0"/>
    <xf numFmtId="0" fontId="6" fillId="0" borderId="0"/>
    <xf numFmtId="0" fontId="7" fillId="0" borderId="0"/>
    <xf numFmtId="0" fontId="5" fillId="0" borderId="0"/>
    <xf numFmtId="0" fontId="7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993">
    <xf numFmtId="0" fontId="0" fillId="0" borderId="0" xfId="0"/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41" fontId="9" fillId="0" borderId="0" xfId="0" applyNumberFormat="1" applyFont="1"/>
    <xf numFmtId="0" fontId="10" fillId="0" borderId="0" xfId="0" applyFont="1" applyAlignment="1">
      <alignment horizontal="centerContinuous" vertical="justify"/>
    </xf>
    <xf numFmtId="0" fontId="8" fillId="0" borderId="0" xfId="0" applyFont="1" applyAlignment="1">
      <alignment horizontal="centerContinuous" vertical="justify"/>
    </xf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1" fillId="0" borderId="3" xfId="0" applyFont="1" applyBorder="1"/>
    <xf numFmtId="0" fontId="11" fillId="0" borderId="3" xfId="0" applyFont="1" applyBorder="1" applyAlignment="1">
      <alignment horizontal="center"/>
    </xf>
    <xf numFmtId="166" fontId="11" fillId="0" borderId="3" xfId="2" applyNumberFormat="1" applyFont="1" applyBorder="1"/>
    <xf numFmtId="44" fontId="11" fillId="0" borderId="2" xfId="2" applyFont="1" applyBorder="1"/>
    <xf numFmtId="166" fontId="11" fillId="0" borderId="2" xfId="0" applyNumberFormat="1" applyFont="1" applyBorder="1"/>
    <xf numFmtId="0" fontId="11" fillId="0" borderId="2" xfId="0" applyFont="1" applyBorder="1"/>
    <xf numFmtId="17" fontId="11" fillId="0" borderId="2" xfId="0" applyNumberFormat="1" applyFont="1" applyBorder="1" applyAlignment="1">
      <alignment horizontal="left"/>
    </xf>
    <xf numFmtId="166" fontId="11" fillId="0" borderId="2" xfId="2" applyNumberFormat="1" applyFont="1" applyBorder="1"/>
    <xf numFmtId="17" fontId="12" fillId="0" borderId="2" xfId="0" applyNumberFormat="1" applyFont="1" applyBorder="1" applyAlignment="1">
      <alignment horizontal="left"/>
    </xf>
    <xf numFmtId="166" fontId="11" fillId="0" borderId="1" xfId="2" applyNumberFormat="1" applyFont="1" applyBorder="1"/>
    <xf numFmtId="0" fontId="11" fillId="0" borderId="0" xfId="0" applyFont="1"/>
    <xf numFmtId="44" fontId="11" fillId="0" borderId="2" xfId="2" applyFont="1" applyBorder="1" applyAlignment="1">
      <alignment horizontal="center"/>
    </xf>
    <xf numFmtId="166" fontId="11" fillId="0" borderId="2" xfId="0" applyNumberFormat="1" applyFont="1" applyBorder="1" applyAlignment="1">
      <alignment horizontal="left"/>
    </xf>
    <xf numFmtId="10" fontId="11" fillId="0" borderId="2" xfId="5" applyNumberFormat="1" applyFont="1" applyBorder="1"/>
    <xf numFmtId="166" fontId="11" fillId="0" borderId="2" xfId="2" applyNumberFormat="1" applyFont="1" applyBorder="1" applyAlignment="1">
      <alignment horizontal="center"/>
    </xf>
    <xf numFmtId="0" fontId="11" fillId="0" borderId="5" xfId="0" applyFont="1" applyBorder="1"/>
    <xf numFmtId="166" fontId="11" fillId="0" borderId="0" xfId="2" applyNumberFormat="1" applyFont="1" applyBorder="1"/>
    <xf numFmtId="44" fontId="11" fillId="0" borderId="4" xfId="2" applyFont="1" applyBorder="1" applyAlignment="1">
      <alignment horizontal="center"/>
    </xf>
    <xf numFmtId="10" fontId="11" fillId="0" borderId="2" xfId="0" applyNumberFormat="1" applyFont="1" applyBorder="1"/>
    <xf numFmtId="165" fontId="11" fillId="0" borderId="2" xfId="1" applyNumberFormat="1" applyFont="1" applyBorder="1"/>
    <xf numFmtId="0" fontId="11" fillId="0" borderId="9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165" fontId="11" fillId="0" borderId="2" xfId="1" applyNumberFormat="1" applyFont="1" applyBorder="1" applyAlignment="1">
      <alignment horizontal="center"/>
    </xf>
    <xf numFmtId="167" fontId="11" fillId="0" borderId="4" xfId="2" applyNumberFormat="1" applyFont="1" applyBorder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5" fontId="11" fillId="0" borderId="3" xfId="1" applyNumberFormat="1" applyFont="1" applyBorder="1"/>
    <xf numFmtId="165" fontId="11" fillId="0" borderId="2" xfId="1" applyNumberFormat="1" applyFont="1" applyBorder="1" applyAlignment="1">
      <alignment horizontal="left"/>
    </xf>
    <xf numFmtId="165" fontId="11" fillId="0" borderId="3" xfId="1" applyNumberFormat="1" applyFont="1" applyBorder="1" applyAlignment="1">
      <alignment horizontal="left"/>
    </xf>
    <xf numFmtId="0" fontId="11" fillId="0" borderId="0" xfId="0" applyFont="1" applyAlignment="1">
      <alignment horizontal="centerContinuous" vertical="justify"/>
    </xf>
    <xf numFmtId="166" fontId="11" fillId="0" borderId="4" xfId="0" applyNumberFormat="1" applyFont="1" applyBorder="1" applyAlignment="1">
      <alignment horizontal="left"/>
    </xf>
    <xf numFmtId="0" fontId="11" fillId="0" borderId="4" xfId="0" applyFont="1" applyBorder="1" applyAlignment="1">
      <alignment horizontal="center"/>
    </xf>
    <xf numFmtId="165" fontId="11" fillId="0" borderId="2" xfId="1" applyNumberFormat="1" applyFont="1" applyFill="1" applyBorder="1"/>
    <xf numFmtId="41" fontId="11" fillId="0" borderId="2" xfId="0" applyNumberFormat="1" applyFont="1" applyBorder="1"/>
    <xf numFmtId="41" fontId="11" fillId="0" borderId="3" xfId="0" applyNumberFormat="1" applyFont="1" applyBorder="1"/>
    <xf numFmtId="41" fontId="11" fillId="0" borderId="4" xfId="0" applyNumberFormat="1" applyFont="1" applyBorder="1"/>
    <xf numFmtId="41" fontId="11" fillId="0" borderId="0" xfId="0" applyNumberFormat="1" applyFont="1"/>
    <xf numFmtId="41" fontId="11" fillId="0" borderId="2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165" fontId="11" fillId="0" borderId="3" xfId="1" applyNumberFormat="1" applyFont="1" applyFill="1" applyBorder="1"/>
    <xf numFmtId="17" fontId="11" fillId="0" borderId="1" xfId="0" applyNumberFormat="1" applyFont="1" applyBorder="1" applyAlignment="1">
      <alignment horizontal="center"/>
    </xf>
    <xf numFmtId="165" fontId="11" fillId="0" borderId="1" xfId="1" applyNumberFormat="1" applyFont="1" applyBorder="1"/>
    <xf numFmtId="165" fontId="11" fillId="0" borderId="0" xfId="1" applyNumberFormat="1" applyFont="1" applyBorder="1"/>
    <xf numFmtId="0" fontId="9" fillId="0" borderId="12" xfId="0" applyFont="1" applyBorder="1"/>
    <xf numFmtId="0" fontId="11" fillId="0" borderId="9" xfId="0" applyFont="1" applyBorder="1" applyAlignment="1">
      <alignment horizontal="left"/>
    </xf>
    <xf numFmtId="0" fontId="11" fillId="0" borderId="13" xfId="0" applyFont="1" applyBorder="1" applyAlignment="1">
      <alignment horizontal="center"/>
    </xf>
    <xf numFmtId="165" fontId="11" fillId="0" borderId="13" xfId="1" applyNumberFormat="1" applyFont="1" applyBorder="1"/>
    <xf numFmtId="0" fontId="11" fillId="0" borderId="14" xfId="0" applyFont="1" applyBorder="1" applyAlignment="1">
      <alignment horizontal="center"/>
    </xf>
    <xf numFmtId="0" fontId="11" fillId="0" borderId="14" xfId="0" applyFont="1" applyBorder="1"/>
    <xf numFmtId="44" fontId="11" fillId="0" borderId="8" xfId="2" applyFont="1" applyBorder="1" applyAlignment="1">
      <alignment horizontal="center"/>
    </xf>
    <xf numFmtId="44" fontId="10" fillId="0" borderId="8" xfId="2" applyFont="1" applyBorder="1" applyAlignment="1">
      <alignment horizontal="center"/>
    </xf>
    <xf numFmtId="44" fontId="10" fillId="0" borderId="8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17" fontId="11" fillId="0" borderId="9" xfId="0" applyNumberFormat="1" applyFont="1" applyBorder="1" applyAlignment="1">
      <alignment horizontal="left"/>
    </xf>
    <xf numFmtId="0" fontId="11" fillId="0" borderId="9" xfId="0" applyFont="1" applyBorder="1"/>
    <xf numFmtId="0" fontId="13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3" fillId="0" borderId="0" xfId="0" quotePrefix="1" applyFont="1" applyAlignment="1">
      <alignment horizontal="center"/>
    </xf>
    <xf numFmtId="44" fontId="18" fillId="0" borderId="8" xfId="2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166" fontId="10" fillId="0" borderId="0" xfId="2" applyNumberFormat="1" applyFont="1" applyBorder="1"/>
    <xf numFmtId="166" fontId="10" fillId="0" borderId="4" xfId="2" applyNumberFormat="1" applyFont="1" applyBorder="1"/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1" fillId="0" borderId="12" xfId="0" applyFont="1" applyBorder="1" applyAlignment="1">
      <alignment horizontal="left"/>
    </xf>
    <xf numFmtId="0" fontId="11" fillId="0" borderId="12" xfId="0" applyFont="1" applyBorder="1" applyAlignment="1">
      <alignment horizontal="center"/>
    </xf>
    <xf numFmtId="40" fontId="11" fillId="0" borderId="0" xfId="0" applyNumberFormat="1" applyFont="1"/>
    <xf numFmtId="38" fontId="11" fillId="0" borderId="2" xfId="0" applyNumberFormat="1" applyFont="1" applyBorder="1"/>
    <xf numFmtId="0" fontId="11" fillId="0" borderId="12" xfId="0" applyFont="1" applyBorder="1"/>
    <xf numFmtId="0" fontId="11" fillId="0" borderId="13" xfId="0" applyFont="1" applyBorder="1"/>
    <xf numFmtId="165" fontId="11" fillId="0" borderId="13" xfId="1" applyNumberFormat="1" applyFont="1" applyFill="1" applyBorder="1"/>
    <xf numFmtId="0" fontId="14" fillId="0" borderId="0" xfId="0" quotePrefix="1" applyFont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2" xfId="0" applyFont="1" applyBorder="1" applyAlignment="1">
      <alignment horizontal="left"/>
    </xf>
    <xf numFmtId="44" fontId="18" fillId="0" borderId="8" xfId="0" applyNumberFormat="1" applyFont="1" applyBorder="1" applyAlignment="1">
      <alignment horizontal="center"/>
    </xf>
    <xf numFmtId="0" fontId="11" fillId="0" borderId="15" xfId="0" applyFont="1" applyBorder="1"/>
    <xf numFmtId="0" fontId="10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10" fillId="0" borderId="0" xfId="0" applyFont="1" applyAlignment="1">
      <alignment horizontal="center"/>
    </xf>
    <xf numFmtId="0" fontId="11" fillId="0" borderId="8" xfId="0" applyFont="1" applyBorder="1"/>
    <xf numFmtId="0" fontId="10" fillId="0" borderId="0" xfId="0" applyFont="1" applyAlignment="1">
      <alignment horizontal="left"/>
    </xf>
    <xf numFmtId="165" fontId="11" fillId="0" borderId="0" xfId="1" applyNumberFormat="1" applyFont="1" applyFill="1" applyBorder="1"/>
    <xf numFmtId="0" fontId="10" fillId="0" borderId="2" xfId="0" applyFont="1" applyBorder="1"/>
    <xf numFmtId="37" fontId="11" fillId="0" borderId="2" xfId="0" applyNumberFormat="1" applyFont="1" applyBorder="1"/>
    <xf numFmtId="37" fontId="11" fillId="0" borderId="3" xfId="0" applyNumberFormat="1" applyFont="1" applyBorder="1"/>
    <xf numFmtId="166" fontId="11" fillId="0" borderId="10" xfId="2" applyNumberFormat="1" applyFont="1" applyBorder="1"/>
    <xf numFmtId="0" fontId="20" fillId="0" borderId="2" xfId="0" applyFont="1" applyBorder="1"/>
    <xf numFmtId="0" fontId="20" fillId="0" borderId="13" xfId="0" applyFont="1" applyBorder="1"/>
    <xf numFmtId="166" fontId="11" fillId="0" borderId="13" xfId="2" applyNumberFormat="1" applyFont="1" applyBorder="1"/>
    <xf numFmtId="166" fontId="10" fillId="0" borderId="2" xfId="2" applyNumberFormat="1" applyFont="1" applyBorder="1"/>
    <xf numFmtId="168" fontId="11" fillId="0" borderId="3" xfId="2" applyNumberFormat="1" applyFont="1" applyFill="1" applyBorder="1"/>
    <xf numFmtId="166" fontId="11" fillId="0" borderId="3" xfId="2" applyNumberFormat="1" applyFont="1" applyFill="1" applyBorder="1"/>
    <xf numFmtId="166" fontId="25" fillId="0" borderId="0" xfId="0" applyNumberFormat="1" applyFont="1"/>
    <xf numFmtId="0" fontId="24" fillId="0" borderId="13" xfId="0" applyFont="1" applyBorder="1" applyAlignment="1">
      <alignment horizontal="center"/>
    </xf>
    <xf numFmtId="174" fontId="11" fillId="0" borderId="2" xfId="0" applyNumberFormat="1" applyFont="1" applyBorder="1" applyAlignment="1">
      <alignment horizontal="center"/>
    </xf>
    <xf numFmtId="0" fontId="11" fillId="0" borderId="0" xfId="3" applyFont="1"/>
    <xf numFmtId="17" fontId="11" fillId="0" borderId="2" xfId="3" applyNumberFormat="1" applyFont="1" applyBorder="1" applyAlignment="1">
      <alignment horizontal="center"/>
    </xf>
    <xf numFmtId="17" fontId="11" fillId="0" borderId="13" xfId="3" applyNumberFormat="1" applyFont="1" applyBorder="1" applyAlignment="1">
      <alignment horizontal="center"/>
    </xf>
    <xf numFmtId="169" fontId="11" fillId="0" borderId="0" xfId="5" applyNumberFormat="1" applyFont="1" applyBorder="1"/>
    <xf numFmtId="0" fontId="9" fillId="0" borderId="0" xfId="3" applyFont="1" applyAlignment="1">
      <alignment horizontal="left"/>
    </xf>
    <xf numFmtId="0" fontId="9" fillId="0" borderId="0" xfId="3" applyFont="1"/>
    <xf numFmtId="0" fontId="11" fillId="0" borderId="0" xfId="3" quotePrefix="1" applyFont="1" applyAlignment="1">
      <alignment horizontal="center"/>
    </xf>
    <xf numFmtId="164" fontId="11" fillId="0" borderId="2" xfId="0" applyNumberFormat="1" applyFont="1" applyBorder="1"/>
    <xf numFmtId="170" fontId="11" fillId="0" borderId="2" xfId="5" applyNumberFormat="1" applyFont="1" applyBorder="1"/>
    <xf numFmtId="165" fontId="11" fillId="0" borderId="19" xfId="1" applyNumberFormat="1" applyFont="1" applyBorder="1"/>
    <xf numFmtId="165" fontId="11" fillId="0" borderId="19" xfId="1" applyNumberFormat="1" applyFont="1" applyFill="1" applyBorder="1"/>
    <xf numFmtId="165" fontId="11" fillId="0" borderId="22" xfId="1" applyNumberFormat="1" applyFont="1" applyBorder="1"/>
    <xf numFmtId="165" fontId="11" fillId="0" borderId="22" xfId="1" applyNumberFormat="1" applyFont="1" applyFill="1" applyBorder="1"/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24" xfId="0" applyFont="1" applyBorder="1"/>
    <xf numFmtId="0" fontId="11" fillId="0" borderId="22" xfId="0" applyFont="1" applyBorder="1"/>
    <xf numFmtId="0" fontId="11" fillId="0" borderId="23" xfId="0" applyFont="1" applyBorder="1"/>
    <xf numFmtId="0" fontId="11" fillId="0" borderId="28" xfId="0" applyFont="1" applyBorder="1"/>
    <xf numFmtId="0" fontId="11" fillId="0" borderId="29" xfId="0" applyFont="1" applyBorder="1"/>
    <xf numFmtId="165" fontId="10" fillId="0" borderId="20" xfId="1" applyNumberFormat="1" applyFont="1" applyFill="1" applyBorder="1"/>
    <xf numFmtId="165" fontId="10" fillId="0" borderId="23" xfId="1" applyNumberFormat="1" applyFont="1" applyFill="1" applyBorder="1"/>
    <xf numFmtId="0" fontId="10" fillId="0" borderId="0" xfId="3" applyFont="1" applyAlignment="1">
      <alignment horizontal="centerContinuous" vertical="justify"/>
    </xf>
    <xf numFmtId="0" fontId="8" fillId="0" borderId="0" xfId="3" applyFont="1" applyAlignment="1">
      <alignment horizontal="centerContinuous" vertical="justify"/>
    </xf>
    <xf numFmtId="0" fontId="11" fillId="0" borderId="0" xfId="3" applyFont="1" applyAlignment="1">
      <alignment horizontal="left"/>
    </xf>
    <xf numFmtId="0" fontId="10" fillId="0" borderId="4" xfId="3" applyFont="1" applyBorder="1" applyAlignment="1">
      <alignment horizontal="center"/>
    </xf>
    <xf numFmtId="0" fontId="11" fillId="0" borderId="0" xfId="4" applyFont="1"/>
    <xf numFmtId="166" fontId="11" fillId="0" borderId="14" xfId="2" applyNumberFormat="1" applyFont="1" applyBorder="1"/>
    <xf numFmtId="0" fontId="11" fillId="0" borderId="34" xfId="0" applyFont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11" fillId="0" borderId="33" xfId="0" applyFont="1" applyBorder="1"/>
    <xf numFmtId="166" fontId="11" fillId="0" borderId="1" xfId="2" applyNumberFormat="1" applyFont="1" applyFill="1" applyBorder="1"/>
    <xf numFmtId="0" fontId="11" fillId="0" borderId="38" xfId="0" applyFont="1" applyBorder="1" applyAlignment="1">
      <alignment horizontal="center"/>
    </xf>
    <xf numFmtId="165" fontId="11" fillId="0" borderId="0" xfId="1" applyNumberFormat="1" applyFont="1"/>
    <xf numFmtId="166" fontId="11" fillId="0" borderId="2" xfId="2" applyNumberFormat="1" applyFont="1" applyFill="1" applyBorder="1"/>
    <xf numFmtId="0" fontId="9" fillId="0" borderId="6" xfId="0" applyFont="1" applyBorder="1"/>
    <xf numFmtId="166" fontId="11" fillId="0" borderId="0" xfId="0" applyNumberFormat="1" applyFont="1"/>
    <xf numFmtId="0" fontId="28" fillId="0" borderId="8" xfId="0" applyFont="1" applyBorder="1" applyAlignment="1">
      <alignment horizontal="center"/>
    </xf>
    <xf numFmtId="0" fontId="13" fillId="0" borderId="0" xfId="0" applyFont="1"/>
    <xf numFmtId="0" fontId="11" fillId="0" borderId="37" xfId="0" applyFont="1" applyBorder="1"/>
    <xf numFmtId="0" fontId="11" fillId="0" borderId="41" xfId="0" applyFont="1" applyBorder="1"/>
    <xf numFmtId="165" fontId="11" fillId="0" borderId="28" xfId="1" applyNumberFormat="1" applyFont="1" applyFill="1" applyBorder="1"/>
    <xf numFmtId="0" fontId="11" fillId="0" borderId="28" xfId="0" applyFont="1" applyBorder="1" applyAlignment="1">
      <alignment horizontal="left"/>
    </xf>
    <xf numFmtId="0" fontId="11" fillId="0" borderId="39" xfId="0" applyFont="1" applyBorder="1" applyAlignment="1">
      <alignment horizontal="center"/>
    </xf>
    <xf numFmtId="165" fontId="10" fillId="0" borderId="0" xfId="1" applyNumberFormat="1" applyFont="1"/>
    <xf numFmtId="173" fontId="11" fillId="0" borderId="3" xfId="5" applyNumberFormat="1" applyFont="1" applyFill="1" applyBorder="1"/>
    <xf numFmtId="0" fontId="10" fillId="0" borderId="13" xfId="0" applyFont="1" applyBorder="1" applyAlignment="1">
      <alignment horizontal="center"/>
    </xf>
    <xf numFmtId="166" fontId="10" fillId="0" borderId="3" xfId="2" applyNumberFormat="1" applyFont="1" applyBorder="1"/>
    <xf numFmtId="165" fontId="10" fillId="0" borderId="4" xfId="1" applyNumberFormat="1" applyFont="1" applyBorder="1"/>
    <xf numFmtId="0" fontId="21" fillId="0" borderId="0" xfId="0" applyFont="1" applyAlignment="1">
      <alignment horizontal="left"/>
    </xf>
    <xf numFmtId="44" fontId="18" fillId="0" borderId="2" xfId="2" applyFont="1" applyBorder="1" applyAlignment="1">
      <alignment horizontal="center"/>
    </xf>
    <xf numFmtId="0" fontId="10" fillId="0" borderId="2" xfId="0" quotePrefix="1" applyFont="1" applyBorder="1" applyAlignment="1">
      <alignment horizontal="center"/>
    </xf>
    <xf numFmtId="0" fontId="9" fillId="0" borderId="2" xfId="0" applyFont="1" applyBorder="1"/>
    <xf numFmtId="0" fontId="8" fillId="0" borderId="13" xfId="0" applyFont="1" applyBorder="1" applyAlignment="1">
      <alignment horizontal="center"/>
    </xf>
    <xf numFmtId="166" fontId="18" fillId="0" borderId="2" xfId="2" applyNumberFormat="1" applyFont="1" applyBorder="1"/>
    <xf numFmtId="165" fontId="18" fillId="0" borderId="2" xfId="1" applyNumberFormat="1" applyFont="1" applyBorder="1"/>
    <xf numFmtId="165" fontId="10" fillId="0" borderId="2" xfId="1" applyNumberFormat="1" applyFont="1" applyFill="1" applyBorder="1"/>
    <xf numFmtId="0" fontId="30" fillId="0" borderId="0" xfId="3" quotePrefix="1" applyFont="1" applyAlignment="1">
      <alignment horizontal="center"/>
    </xf>
    <xf numFmtId="0" fontId="10" fillId="0" borderId="48" xfId="0" quotePrefix="1" applyFont="1" applyBorder="1" applyAlignment="1">
      <alignment horizontal="center"/>
    </xf>
    <xf numFmtId="0" fontId="11" fillId="0" borderId="42" xfId="0" applyFont="1" applyBorder="1"/>
    <xf numFmtId="0" fontId="23" fillId="0" borderId="45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11" fillId="0" borderId="38" xfId="0" applyFont="1" applyBorder="1"/>
    <xf numFmtId="0" fontId="10" fillId="0" borderId="37" xfId="0" applyFont="1" applyBorder="1"/>
    <xf numFmtId="172" fontId="11" fillId="0" borderId="36" xfId="0" applyNumberFormat="1" applyFont="1" applyBorder="1"/>
    <xf numFmtId="168" fontId="11" fillId="0" borderId="34" xfId="2" applyNumberFormat="1" applyFont="1" applyBorder="1"/>
    <xf numFmtId="168" fontId="11" fillId="0" borderId="35" xfId="2" applyNumberFormat="1" applyFont="1" applyBorder="1"/>
    <xf numFmtId="164" fontId="11" fillId="0" borderId="40" xfId="0" applyNumberFormat="1" applyFont="1" applyBorder="1"/>
    <xf numFmtId="0" fontId="10" fillId="0" borderId="34" xfId="0" applyFont="1" applyBorder="1"/>
    <xf numFmtId="0" fontId="11" fillId="0" borderId="7" xfId="0" applyFont="1" applyBorder="1" applyAlignment="1">
      <alignment horizontal="center"/>
    </xf>
    <xf numFmtId="3" fontId="11" fillId="0" borderId="0" xfId="0" applyNumberFormat="1" applyFont="1"/>
    <xf numFmtId="3" fontId="11" fillId="0" borderId="3" xfId="0" applyNumberFormat="1" applyFont="1" applyBorder="1"/>
    <xf numFmtId="165" fontId="9" fillId="0" borderId="0" xfId="1" applyNumberFormat="1" applyFont="1"/>
    <xf numFmtId="0" fontId="31" fillId="0" borderId="0" xfId="0" applyFont="1"/>
    <xf numFmtId="0" fontId="10" fillId="0" borderId="29" xfId="0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11" fillId="0" borderId="43" xfId="0" applyFont="1" applyBorder="1"/>
    <xf numFmtId="0" fontId="21" fillId="0" borderId="28" xfId="0" applyFont="1" applyBorder="1" applyAlignment="1">
      <alignment horizontal="left"/>
    </xf>
    <xf numFmtId="17" fontId="21" fillId="0" borderId="22" xfId="0" applyNumberFormat="1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2" xfId="0" quotePrefix="1" applyFont="1" applyBorder="1" applyAlignment="1">
      <alignment horizontal="center"/>
    </xf>
    <xf numFmtId="174" fontId="11" fillId="0" borderId="5" xfId="0" applyNumberFormat="1" applyFont="1" applyBorder="1" applyAlignment="1">
      <alignment horizontal="center"/>
    </xf>
    <xf numFmtId="0" fontId="18" fillId="0" borderId="0" xfId="0" applyFont="1" applyAlignment="1">
      <alignment horizontal="center" wrapText="1"/>
    </xf>
    <xf numFmtId="166" fontId="10" fillId="0" borderId="3" xfId="2" applyNumberFormat="1" applyFont="1" applyFill="1" applyBorder="1"/>
    <xf numFmtId="166" fontId="10" fillId="0" borderId="4" xfId="2" applyNumberFormat="1" applyFont="1" applyFill="1" applyBorder="1"/>
    <xf numFmtId="0" fontId="11" fillId="0" borderId="0" xfId="0" applyFont="1" applyAlignment="1">
      <alignment vertical="center"/>
    </xf>
    <xf numFmtId="44" fontId="18" fillId="0" borderId="8" xfId="2" applyFont="1" applyBorder="1" applyAlignment="1">
      <alignment horizontal="center" wrapText="1"/>
    </xf>
    <xf numFmtId="44" fontId="19" fillId="0" borderId="8" xfId="2" applyFont="1" applyBorder="1"/>
    <xf numFmtId="44" fontId="19" fillId="0" borderId="2" xfId="2" applyFont="1" applyBorder="1"/>
    <xf numFmtId="165" fontId="11" fillId="0" borderId="0" xfId="1" applyNumberFormat="1" applyFont="1" applyFill="1"/>
    <xf numFmtId="3" fontId="11" fillId="0" borderId="19" xfId="0" applyNumberFormat="1" applyFont="1" applyBorder="1"/>
    <xf numFmtId="3" fontId="11" fillId="0" borderId="22" xfId="0" applyNumberFormat="1" applyFont="1" applyBorder="1" applyAlignment="1">
      <alignment horizontal="right"/>
    </xf>
    <xf numFmtId="3" fontId="11" fillId="0" borderId="19" xfId="0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0" fontId="11" fillId="0" borderId="19" xfId="0" applyFont="1" applyBorder="1" applyAlignment="1">
      <alignment horizontal="left"/>
    </xf>
    <xf numFmtId="0" fontId="12" fillId="0" borderId="28" xfId="0" applyFont="1" applyBorder="1" applyAlignment="1">
      <alignment horizontal="left"/>
    </xf>
    <xf numFmtId="0" fontId="10" fillId="0" borderId="28" xfId="0" applyFont="1" applyBorder="1" applyAlignment="1">
      <alignment horizontal="left"/>
    </xf>
    <xf numFmtId="3" fontId="11" fillId="0" borderId="53" xfId="0" applyNumberFormat="1" applyFont="1" applyBorder="1" applyAlignment="1">
      <alignment horizontal="right"/>
    </xf>
    <xf numFmtId="3" fontId="11" fillId="0" borderId="54" xfId="0" applyNumberFormat="1" applyFont="1" applyBorder="1" applyAlignment="1">
      <alignment horizontal="right"/>
    </xf>
    <xf numFmtId="3" fontId="11" fillId="0" borderId="55" xfId="0" applyNumberFormat="1" applyFont="1" applyBorder="1" applyAlignment="1">
      <alignment horizontal="right"/>
    </xf>
    <xf numFmtId="0" fontId="10" fillId="0" borderId="19" xfId="0" applyFont="1" applyBorder="1" applyAlignment="1">
      <alignment horizontal="left"/>
    </xf>
    <xf numFmtId="3" fontId="11" fillId="0" borderId="56" xfId="0" applyNumberFormat="1" applyFont="1" applyBorder="1" applyAlignment="1">
      <alignment horizontal="right"/>
    </xf>
    <xf numFmtId="3" fontId="11" fillId="0" borderId="17" xfId="0" applyNumberFormat="1" applyFont="1" applyBorder="1" applyAlignment="1">
      <alignment horizontal="right"/>
    </xf>
    <xf numFmtId="3" fontId="11" fillId="0" borderId="57" xfId="0" applyNumberFormat="1" applyFont="1" applyBorder="1" applyAlignment="1">
      <alignment horizontal="right"/>
    </xf>
    <xf numFmtId="0" fontId="11" fillId="0" borderId="20" xfId="0" applyFont="1" applyBorder="1"/>
    <xf numFmtId="3" fontId="11" fillId="0" borderId="12" xfId="0" applyNumberFormat="1" applyFont="1" applyBorder="1"/>
    <xf numFmtId="3" fontId="11" fillId="0" borderId="23" xfId="0" applyNumberFormat="1" applyFont="1" applyBorder="1"/>
    <xf numFmtId="0" fontId="27" fillId="0" borderId="28" xfId="0" applyFont="1" applyBorder="1"/>
    <xf numFmtId="17" fontId="21" fillId="0" borderId="19" xfId="0" applyNumberFormat="1" applyFont="1" applyBorder="1" applyAlignment="1">
      <alignment horizontal="center"/>
    </xf>
    <xf numFmtId="17" fontId="21" fillId="0" borderId="0" xfId="0" applyNumberFormat="1" applyFont="1" applyAlignment="1">
      <alignment horizontal="center"/>
    </xf>
    <xf numFmtId="0" fontId="21" fillId="0" borderId="28" xfId="0" applyFont="1" applyBorder="1"/>
    <xf numFmtId="0" fontId="11" fillId="0" borderId="19" xfId="0" applyFont="1" applyBorder="1"/>
    <xf numFmtId="3" fontId="11" fillId="0" borderId="7" xfId="0" applyNumberFormat="1" applyFont="1" applyBorder="1"/>
    <xf numFmtId="3" fontId="11" fillId="0" borderId="53" xfId="0" applyNumberFormat="1" applyFont="1" applyBorder="1"/>
    <xf numFmtId="3" fontId="11" fillId="0" borderId="54" xfId="0" applyNumberFormat="1" applyFont="1" applyBorder="1"/>
    <xf numFmtId="3" fontId="11" fillId="0" borderId="55" xfId="0" applyNumberFormat="1" applyFont="1" applyBorder="1"/>
    <xf numFmtId="0" fontId="11" fillId="0" borderId="21" xfId="0" applyFont="1" applyBorder="1"/>
    <xf numFmtId="3" fontId="11" fillId="0" borderId="59" xfId="0" applyNumberFormat="1" applyFont="1" applyBorder="1"/>
    <xf numFmtId="3" fontId="11" fillId="0" borderId="60" xfId="0" applyNumberFormat="1" applyFont="1" applyBorder="1"/>
    <xf numFmtId="166" fontId="10" fillId="0" borderId="4" xfId="0" applyNumberFormat="1" applyFont="1" applyBorder="1"/>
    <xf numFmtId="166" fontId="10" fillId="0" borderId="2" xfId="2" applyNumberFormat="1" applyFont="1" applyFill="1" applyBorder="1"/>
    <xf numFmtId="10" fontId="10" fillId="0" borderId="4" xfId="5" applyNumberFormat="1" applyFont="1" applyFill="1" applyBorder="1"/>
    <xf numFmtId="0" fontId="16" fillId="0" borderId="12" xfId="0" applyFont="1" applyBorder="1" applyAlignment="1">
      <alignment horizontal="left"/>
    </xf>
    <xf numFmtId="10" fontId="10" fillId="0" borderId="13" xfId="5" applyNumberFormat="1" applyFont="1" applyFill="1" applyBorder="1" applyAlignment="1">
      <alignment horizontal="right"/>
    </xf>
    <xf numFmtId="166" fontId="11" fillId="0" borderId="4" xfId="2" applyNumberFormat="1" applyFont="1" applyFill="1" applyBorder="1"/>
    <xf numFmtId="166" fontId="11" fillId="0" borderId="13" xfId="2" applyNumberFormat="1" applyFont="1" applyFill="1" applyBorder="1"/>
    <xf numFmtId="166" fontId="11" fillId="0" borderId="4" xfId="0" applyNumberFormat="1" applyFont="1" applyBorder="1"/>
    <xf numFmtId="166" fontId="11" fillId="0" borderId="13" xfId="0" applyNumberFormat="1" applyFont="1" applyBorder="1"/>
    <xf numFmtId="0" fontId="11" fillId="0" borderId="8" xfId="0" applyFont="1" applyBorder="1" applyAlignment="1">
      <alignment horizontal="left"/>
    </xf>
    <xf numFmtId="17" fontId="12" fillId="0" borderId="8" xfId="0" applyNumberFormat="1" applyFont="1" applyBorder="1" applyAlignment="1">
      <alignment horizontal="left"/>
    </xf>
    <xf numFmtId="165" fontId="11" fillId="0" borderId="8" xfId="1" applyNumberFormat="1" applyFont="1" applyBorder="1" applyAlignment="1">
      <alignment horizontal="left"/>
    </xf>
    <xf numFmtId="165" fontId="11" fillId="0" borderId="8" xfId="1" applyNumberFormat="1" applyFont="1" applyBorder="1"/>
    <xf numFmtId="166" fontId="11" fillId="0" borderId="8" xfId="2" applyNumberFormat="1" applyFont="1" applyBorder="1"/>
    <xf numFmtId="41" fontId="18" fillId="0" borderId="2" xfId="0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7" fillId="0" borderId="0" xfId="0" applyFont="1"/>
    <xf numFmtId="166" fontId="11" fillId="0" borderId="42" xfId="2" applyNumberFormat="1" applyFont="1" applyBorder="1"/>
    <xf numFmtId="166" fontId="11" fillId="0" borderId="42" xfId="2" applyNumberFormat="1" applyFont="1" applyFill="1" applyBorder="1"/>
    <xf numFmtId="166" fontId="11" fillId="0" borderId="61" xfId="2" applyNumberFormat="1" applyFont="1" applyFill="1" applyBorder="1"/>
    <xf numFmtId="0" fontId="11" fillId="0" borderId="39" xfId="0" applyFont="1" applyBorder="1"/>
    <xf numFmtId="165" fontId="11" fillId="0" borderId="9" xfId="1" applyNumberFormat="1" applyFont="1" applyBorder="1"/>
    <xf numFmtId="166" fontId="11" fillId="0" borderId="45" xfId="2" applyNumberFormat="1" applyFont="1" applyBorder="1"/>
    <xf numFmtId="0" fontId="11" fillId="0" borderId="61" xfId="0" applyFont="1" applyBorder="1"/>
    <xf numFmtId="0" fontId="11" fillId="0" borderId="62" xfId="0" applyFont="1" applyBorder="1" applyAlignment="1">
      <alignment horizontal="center"/>
    </xf>
    <xf numFmtId="38" fontId="11" fillId="0" borderId="8" xfId="0" applyNumberFormat="1" applyFont="1" applyBorder="1"/>
    <xf numFmtId="165" fontId="11" fillId="0" borderId="6" xfId="1" applyNumberFormat="1" applyFont="1" applyBorder="1"/>
    <xf numFmtId="166" fontId="11" fillId="0" borderId="63" xfId="2" applyNumberFormat="1" applyFont="1" applyBorder="1"/>
    <xf numFmtId="166" fontId="11" fillId="0" borderId="6" xfId="2" applyNumberFormat="1" applyFont="1" applyBorder="1"/>
    <xf numFmtId="37" fontId="11" fillId="0" borderId="8" xfId="0" applyNumberFormat="1" applyFont="1" applyBorder="1"/>
    <xf numFmtId="166" fontId="11" fillId="0" borderId="8" xfId="2" applyNumberFormat="1" applyFont="1" applyFill="1" applyBorder="1"/>
    <xf numFmtId="37" fontId="11" fillId="0" borderId="6" xfId="0" applyNumberFormat="1" applyFont="1" applyBorder="1"/>
    <xf numFmtId="173" fontId="11" fillId="0" borderId="6" xfId="5" applyNumberFormat="1" applyFont="1" applyFill="1" applyBorder="1"/>
    <xf numFmtId="166" fontId="11" fillId="0" borderId="6" xfId="2" applyNumberFormat="1" applyFont="1" applyFill="1" applyBorder="1"/>
    <xf numFmtId="166" fontId="11" fillId="0" borderId="52" xfId="2" applyNumberFormat="1" applyFont="1" applyBorder="1"/>
    <xf numFmtId="0" fontId="11" fillId="0" borderId="65" xfId="0" applyFont="1" applyBorder="1"/>
    <xf numFmtId="0" fontId="11" fillId="0" borderId="66" xfId="0" applyFont="1" applyBorder="1" applyAlignment="1">
      <alignment horizontal="center"/>
    </xf>
    <xf numFmtId="0" fontId="11" fillId="0" borderId="67" xfId="0" applyFont="1" applyBorder="1" applyAlignment="1">
      <alignment horizontal="center"/>
    </xf>
    <xf numFmtId="0" fontId="11" fillId="0" borderId="69" xfId="0" applyFont="1" applyBorder="1" applyAlignment="1">
      <alignment horizontal="center"/>
    </xf>
    <xf numFmtId="166" fontId="11" fillId="0" borderId="66" xfId="2" applyNumberFormat="1" applyFont="1" applyBorder="1"/>
    <xf numFmtId="166" fontId="11" fillId="0" borderId="67" xfId="2" applyNumberFormat="1" applyFont="1" applyFill="1" applyBorder="1"/>
    <xf numFmtId="38" fontId="11" fillId="0" borderId="66" xfId="0" applyNumberFormat="1" applyFont="1" applyBorder="1"/>
    <xf numFmtId="165" fontId="11" fillId="0" borderId="66" xfId="1" applyNumberFormat="1" applyFont="1" applyBorder="1"/>
    <xf numFmtId="165" fontId="11" fillId="0" borderId="67" xfId="1" applyNumberFormat="1" applyFont="1" applyBorder="1"/>
    <xf numFmtId="168" fontId="11" fillId="0" borderId="68" xfId="2" applyNumberFormat="1" applyFont="1" applyFill="1" applyBorder="1"/>
    <xf numFmtId="168" fontId="11" fillId="0" borderId="69" xfId="2" applyNumberFormat="1" applyFont="1" applyFill="1" applyBorder="1"/>
    <xf numFmtId="166" fontId="11" fillId="0" borderId="70" xfId="2" applyNumberFormat="1" applyFont="1" applyBorder="1"/>
    <xf numFmtId="165" fontId="11" fillId="0" borderId="68" xfId="1" applyNumberFormat="1" applyFont="1" applyBorder="1"/>
    <xf numFmtId="166" fontId="11" fillId="0" borderId="72" xfId="2" applyNumberFormat="1" applyFont="1" applyBorder="1"/>
    <xf numFmtId="166" fontId="11" fillId="0" borderId="73" xfId="2" applyNumberFormat="1" applyFont="1" applyBorder="1"/>
    <xf numFmtId="165" fontId="11" fillId="0" borderId="69" xfId="1" applyNumberFormat="1" applyFont="1" applyBorder="1"/>
    <xf numFmtId="166" fontId="11" fillId="0" borderId="67" xfId="2" applyNumberFormat="1" applyFont="1" applyBorder="1"/>
    <xf numFmtId="166" fontId="11" fillId="0" borderId="68" xfId="2" applyNumberFormat="1" applyFont="1" applyBorder="1"/>
    <xf numFmtId="37" fontId="11" fillId="0" borderId="66" xfId="0" applyNumberFormat="1" applyFont="1" applyBorder="1"/>
    <xf numFmtId="166" fontId="11" fillId="0" borderId="66" xfId="2" applyNumberFormat="1" applyFont="1" applyFill="1" applyBorder="1"/>
    <xf numFmtId="37" fontId="11" fillId="0" borderId="68" xfId="0" applyNumberFormat="1" applyFont="1" applyBorder="1"/>
    <xf numFmtId="37" fontId="11" fillId="0" borderId="69" xfId="0" applyNumberFormat="1" applyFont="1" applyBorder="1"/>
    <xf numFmtId="173" fontId="11" fillId="0" borderId="68" xfId="5" applyNumberFormat="1" applyFont="1" applyFill="1" applyBorder="1"/>
    <xf numFmtId="173" fontId="11" fillId="0" borderId="69" xfId="5" applyNumberFormat="1" applyFont="1" applyFill="1" applyBorder="1"/>
    <xf numFmtId="164" fontId="11" fillId="0" borderId="19" xfId="0" applyNumberFormat="1" applyFont="1" applyBorder="1"/>
    <xf numFmtId="0" fontId="10" fillId="0" borderId="64" xfId="0" applyFont="1" applyBorder="1"/>
    <xf numFmtId="38" fontId="11" fillId="0" borderId="67" xfId="0" applyNumberFormat="1" applyFont="1" applyBorder="1"/>
    <xf numFmtId="166" fontId="11" fillId="0" borderId="71" xfId="2" applyNumberFormat="1" applyFont="1" applyBorder="1"/>
    <xf numFmtId="165" fontId="11" fillId="0" borderId="66" xfId="1" applyNumberFormat="1" applyFont="1" applyFill="1" applyBorder="1"/>
    <xf numFmtId="166" fontId="11" fillId="0" borderId="69" xfId="2" applyNumberFormat="1" applyFont="1" applyBorder="1"/>
    <xf numFmtId="37" fontId="11" fillId="0" borderId="67" xfId="0" applyNumberFormat="1" applyFont="1" applyBorder="1"/>
    <xf numFmtId="166" fontId="11" fillId="0" borderId="77" xfId="2" applyNumberFormat="1" applyFont="1" applyBorder="1"/>
    <xf numFmtId="166" fontId="11" fillId="0" borderId="78" xfId="2" applyNumberFormat="1" applyFont="1" applyBorder="1"/>
    <xf numFmtId="166" fontId="11" fillId="0" borderId="21" xfId="2" applyNumberFormat="1" applyFont="1" applyBorder="1"/>
    <xf numFmtId="170" fontId="11" fillId="0" borderId="66" xfId="5" applyNumberFormat="1" applyFont="1" applyBorder="1"/>
    <xf numFmtId="170" fontId="11" fillId="0" borderId="67" xfId="5" applyNumberFormat="1" applyFont="1" applyBorder="1"/>
    <xf numFmtId="165" fontId="9" fillId="0" borderId="0" xfId="0" applyNumberFormat="1" applyFont="1"/>
    <xf numFmtId="0" fontId="11" fillId="0" borderId="64" xfId="0" applyFont="1" applyBorder="1" applyAlignment="1">
      <alignment horizontal="center"/>
    </xf>
    <xf numFmtId="0" fontId="9" fillId="0" borderId="43" xfId="0" applyFont="1" applyBorder="1"/>
    <xf numFmtId="0" fontId="11" fillId="0" borderId="77" xfId="0" applyFont="1" applyBorder="1" applyAlignment="1">
      <alignment horizontal="center"/>
    </xf>
    <xf numFmtId="0" fontId="11" fillId="0" borderId="78" xfId="0" applyFont="1" applyBorder="1" applyAlignment="1">
      <alignment horizontal="center"/>
    </xf>
    <xf numFmtId="0" fontId="18" fillId="0" borderId="0" xfId="0" applyFont="1" applyAlignment="1">
      <alignment horizontal="left"/>
    </xf>
    <xf numFmtId="40" fontId="11" fillId="0" borderId="2" xfId="0" applyNumberFormat="1" applyFont="1" applyBorder="1"/>
    <xf numFmtId="165" fontId="10" fillId="0" borderId="13" xfId="1" applyNumberFormat="1" applyFont="1" applyFill="1" applyBorder="1"/>
    <xf numFmtId="40" fontId="10" fillId="0" borderId="0" xfId="0" applyNumberFormat="1" applyFont="1"/>
    <xf numFmtId="165" fontId="10" fillId="0" borderId="0" xfId="1" applyNumberFormat="1" applyFont="1" applyFill="1"/>
    <xf numFmtId="168" fontId="11" fillId="0" borderId="6" xfId="2" applyNumberFormat="1" applyFont="1" applyFill="1" applyBorder="1"/>
    <xf numFmtId="0" fontId="11" fillId="0" borderId="68" xfId="0" applyFont="1" applyBorder="1" applyAlignment="1">
      <alignment horizontal="center"/>
    </xf>
    <xf numFmtId="0" fontId="10" fillId="0" borderId="12" xfId="0" applyFont="1" applyBorder="1"/>
    <xf numFmtId="40" fontId="11" fillId="0" borderId="42" xfId="0" applyNumberFormat="1" applyFont="1" applyBorder="1"/>
    <xf numFmtId="40" fontId="11" fillId="0" borderId="21" xfId="0" applyNumberFormat="1" applyFont="1" applyBorder="1"/>
    <xf numFmtId="40" fontId="11" fillId="0" borderId="24" xfId="0" applyNumberFormat="1" applyFont="1" applyBorder="1"/>
    <xf numFmtId="0" fontId="10" fillId="0" borderId="28" xfId="0" applyFont="1" applyBorder="1" applyAlignment="1">
      <alignment horizontal="center" wrapText="1"/>
    </xf>
    <xf numFmtId="0" fontId="10" fillId="0" borderId="79" xfId="0" applyFont="1" applyBorder="1" applyAlignment="1">
      <alignment horizontal="center" wrapText="1"/>
    </xf>
    <xf numFmtId="0" fontId="11" fillId="0" borderId="0" xfId="0" quotePrefix="1" applyFont="1" applyAlignment="1">
      <alignment vertical="center"/>
    </xf>
    <xf numFmtId="0" fontId="11" fillId="0" borderId="0" xfId="4" quotePrefix="1" applyFont="1"/>
    <xf numFmtId="40" fontId="11" fillId="0" borderId="12" xfId="0" applyNumberFormat="1" applyFont="1" applyBorder="1"/>
    <xf numFmtId="40" fontId="11" fillId="0" borderId="13" xfId="0" applyNumberFormat="1" applyFont="1" applyBorder="1"/>
    <xf numFmtId="165" fontId="11" fillId="0" borderId="4" xfId="1" applyNumberFormat="1" applyFont="1" applyBorder="1"/>
    <xf numFmtId="165" fontId="10" fillId="0" borderId="56" xfId="1" applyNumberFormat="1" applyFont="1" applyBorder="1"/>
    <xf numFmtId="165" fontId="10" fillId="0" borderId="57" xfId="1" applyNumberFormat="1" applyFont="1" applyBorder="1"/>
    <xf numFmtId="165" fontId="11" fillId="0" borderId="57" xfId="1" applyNumberFormat="1" applyFont="1" applyBorder="1"/>
    <xf numFmtId="40" fontId="10" fillId="0" borderId="20" xfId="0" applyNumberFormat="1" applyFont="1" applyBorder="1"/>
    <xf numFmtId="0" fontId="11" fillId="0" borderId="64" xfId="0" applyFont="1" applyBorder="1"/>
    <xf numFmtId="166" fontId="11" fillId="0" borderId="69" xfId="2" applyNumberFormat="1" applyFont="1" applyFill="1" applyBorder="1"/>
    <xf numFmtId="0" fontId="11" fillId="0" borderId="31" xfId="0" applyFont="1" applyBorder="1"/>
    <xf numFmtId="166" fontId="11" fillId="0" borderId="0" xfId="2" applyNumberFormat="1" applyFont="1" applyFill="1" applyBorder="1"/>
    <xf numFmtId="166" fontId="11" fillId="0" borderId="22" xfId="2" applyNumberFormat="1" applyFont="1" applyFill="1" applyBorder="1"/>
    <xf numFmtId="165" fontId="11" fillId="0" borderId="58" xfId="1" applyNumberFormat="1" applyFont="1" applyBorder="1"/>
    <xf numFmtId="165" fontId="11" fillId="0" borderId="76" xfId="1" applyNumberFormat="1" applyFont="1" applyBorder="1"/>
    <xf numFmtId="165" fontId="11" fillId="0" borderId="7" xfId="1" applyNumberFormat="1" applyFont="1" applyBorder="1"/>
    <xf numFmtId="0" fontId="11" fillId="0" borderId="66" xfId="0" applyFont="1" applyBorder="1"/>
    <xf numFmtId="0" fontId="10" fillId="0" borderId="0" xfId="3" applyFont="1" applyAlignment="1">
      <alignment horizontal="left"/>
    </xf>
    <xf numFmtId="0" fontId="11" fillId="0" borderId="66" xfId="3" applyFont="1" applyBorder="1" applyAlignment="1">
      <alignment horizontal="center"/>
    </xf>
    <xf numFmtId="0" fontId="11" fillId="0" borderId="67" xfId="3" applyFont="1" applyBorder="1" applyAlignment="1">
      <alignment horizontal="center"/>
    </xf>
    <xf numFmtId="0" fontId="11" fillId="0" borderId="77" xfId="3" applyFont="1" applyBorder="1" applyAlignment="1">
      <alignment horizontal="center"/>
    </xf>
    <xf numFmtId="0" fontId="10" fillId="0" borderId="13" xfId="3" applyFont="1" applyBorder="1" applyAlignment="1">
      <alignment horizontal="center"/>
    </xf>
    <xf numFmtId="0" fontId="11" fillId="0" borderId="12" xfId="3" applyFont="1" applyBorder="1"/>
    <xf numFmtId="0" fontId="11" fillId="0" borderId="78" xfId="3" applyFont="1" applyBorder="1" applyAlignment="1">
      <alignment horizontal="center"/>
    </xf>
    <xf numFmtId="166" fontId="11" fillId="0" borderId="43" xfId="2" applyNumberFormat="1" applyFont="1" applyFill="1" applyBorder="1"/>
    <xf numFmtId="170" fontId="11" fillId="0" borderId="8" xfId="5" applyNumberFormat="1" applyFont="1" applyBorder="1"/>
    <xf numFmtId="166" fontId="11" fillId="0" borderId="61" xfId="2" applyNumberFormat="1" applyFont="1" applyBorder="1"/>
    <xf numFmtId="0" fontId="11" fillId="0" borderId="81" xfId="0" applyFont="1" applyBorder="1"/>
    <xf numFmtId="176" fontId="11" fillId="0" borderId="67" xfId="0" applyNumberFormat="1" applyFont="1" applyBorder="1"/>
    <xf numFmtId="170" fontId="11" fillId="0" borderId="0" xfId="5" applyNumberFormat="1" applyFont="1" applyBorder="1"/>
    <xf numFmtId="166" fontId="11" fillId="0" borderId="64" xfId="2" applyNumberFormat="1" applyFont="1" applyBorder="1"/>
    <xf numFmtId="166" fontId="11" fillId="0" borderId="65" xfId="2" applyNumberFormat="1" applyFont="1" applyFill="1" applyBorder="1"/>
    <xf numFmtId="0" fontId="11" fillId="0" borderId="67" xfId="0" applyFont="1" applyBorder="1"/>
    <xf numFmtId="0" fontId="11" fillId="0" borderId="22" xfId="0" applyFont="1" applyBorder="1" applyAlignment="1">
      <alignment horizontal="center"/>
    </xf>
    <xf numFmtId="166" fontId="11" fillId="0" borderId="19" xfId="2" applyNumberFormat="1" applyFont="1" applyFill="1" applyBorder="1"/>
    <xf numFmtId="0" fontId="11" fillId="0" borderId="70" xfId="0" applyFont="1" applyBorder="1"/>
    <xf numFmtId="0" fontId="11" fillId="0" borderId="71" xfId="0" applyFont="1" applyBorder="1"/>
    <xf numFmtId="0" fontId="10" fillId="0" borderId="28" xfId="0" applyFont="1" applyBorder="1"/>
    <xf numFmtId="0" fontId="22" fillId="0" borderId="29" xfId="0" applyFont="1" applyBorder="1"/>
    <xf numFmtId="0" fontId="11" fillId="0" borderId="66" xfId="0" applyFont="1" applyBorder="1" applyAlignment="1">
      <alignment horizontal="center" vertical="top"/>
    </xf>
    <xf numFmtId="0" fontId="18" fillId="0" borderId="0" xfId="0" applyFont="1" applyAlignment="1">
      <alignment horizontal="left" vertical="top"/>
    </xf>
    <xf numFmtId="166" fontId="10" fillId="0" borderId="2" xfId="2" applyNumberFormat="1" applyFont="1" applyFill="1" applyBorder="1" applyAlignment="1">
      <alignment vertical="top"/>
    </xf>
    <xf numFmtId="166" fontId="10" fillId="0" borderId="3" xfId="2" applyNumberFormat="1" applyFont="1" applyFill="1" applyBorder="1" applyAlignment="1">
      <alignment vertical="top"/>
    </xf>
    <xf numFmtId="0" fontId="11" fillId="0" borderId="67" xfId="0" applyFont="1" applyBorder="1" applyAlignment="1">
      <alignment horizontal="center" vertical="top"/>
    </xf>
    <xf numFmtId="0" fontId="9" fillId="0" borderId="0" xfId="0" applyFont="1" applyAlignment="1">
      <alignment vertical="top"/>
    </xf>
    <xf numFmtId="43" fontId="11" fillId="0" borderId="23" xfId="1" applyFont="1" applyFill="1" applyBorder="1"/>
    <xf numFmtId="0" fontId="10" fillId="0" borderId="12" xfId="3" applyFont="1" applyBorder="1" applyAlignment="1">
      <alignment horizontal="center"/>
    </xf>
    <xf numFmtId="166" fontId="10" fillId="0" borderId="58" xfId="2" applyNumberFormat="1" applyFont="1" applyBorder="1"/>
    <xf numFmtId="166" fontId="10" fillId="0" borderId="76" xfId="2" applyNumberFormat="1" applyFont="1" applyBorder="1"/>
    <xf numFmtId="174" fontId="10" fillId="0" borderId="27" xfId="0" applyNumberFormat="1" applyFont="1" applyBorder="1" applyAlignment="1">
      <alignment horizontal="center"/>
    </xf>
    <xf numFmtId="174" fontId="10" fillId="0" borderId="47" xfId="0" applyNumberFormat="1" applyFont="1" applyBorder="1" applyAlignment="1">
      <alignment horizontal="center"/>
    </xf>
    <xf numFmtId="174" fontId="10" fillId="0" borderId="25" xfId="0" applyNumberFormat="1" applyFont="1" applyBorder="1" applyAlignment="1">
      <alignment horizontal="center"/>
    </xf>
    <xf numFmtId="174" fontId="10" fillId="0" borderId="26" xfId="0" applyNumberFormat="1" applyFont="1" applyBorder="1" applyAlignment="1">
      <alignment horizontal="center"/>
    </xf>
    <xf numFmtId="174" fontId="10" fillId="0" borderId="2" xfId="0" applyNumberFormat="1" applyFont="1" applyBorder="1" applyAlignment="1">
      <alignment horizontal="center"/>
    </xf>
    <xf numFmtId="174" fontId="10" fillId="0" borderId="19" xfId="0" applyNumberFormat="1" applyFont="1" applyBorder="1" applyAlignment="1">
      <alignment horizontal="center"/>
    </xf>
    <xf numFmtId="0" fontId="11" fillId="0" borderId="0" xfId="0" applyFont="1" applyAlignment="1">
      <alignment vertical="top"/>
    </xf>
    <xf numFmtId="165" fontId="7" fillId="0" borderId="0" xfId="0" applyNumberFormat="1" applyFont="1"/>
    <xf numFmtId="40" fontId="7" fillId="0" borderId="0" xfId="0" applyNumberFormat="1" applyFont="1"/>
    <xf numFmtId="0" fontId="11" fillId="0" borderId="28" xfId="0" applyFont="1" applyBorder="1" applyAlignment="1">
      <alignment vertical="top"/>
    </xf>
    <xf numFmtId="166" fontId="10" fillId="0" borderId="19" xfId="2" applyNumberFormat="1" applyFont="1" applyFill="1" applyBorder="1" applyAlignment="1">
      <alignment vertical="top"/>
    </xf>
    <xf numFmtId="166" fontId="10" fillId="0" borderId="22" xfId="2" applyNumberFormat="1" applyFont="1" applyFill="1" applyBorder="1" applyAlignment="1">
      <alignment vertical="top"/>
    </xf>
    <xf numFmtId="166" fontId="11" fillId="0" borderId="2" xfId="2" applyNumberFormat="1" applyFont="1" applyFill="1" applyBorder="1" applyAlignment="1">
      <alignment vertical="top"/>
    </xf>
    <xf numFmtId="44" fontId="18" fillId="0" borderId="8" xfId="2" applyFont="1" applyBorder="1" applyAlignment="1">
      <alignment horizontal="center" vertical="top" wrapText="1"/>
    </xf>
    <xf numFmtId="165" fontId="10" fillId="0" borderId="66" xfId="1" applyNumberFormat="1" applyFont="1" applyFill="1" applyBorder="1"/>
    <xf numFmtId="171" fontId="10" fillId="0" borderId="79" xfId="0" applyNumberFormat="1" applyFont="1" applyBorder="1" applyAlignment="1">
      <alignment horizontal="center"/>
    </xf>
    <xf numFmtId="0" fontId="30" fillId="0" borderId="0" xfId="0" applyFont="1" applyAlignment="1">
      <alignment horizontal="center" vertical="top"/>
    </xf>
    <xf numFmtId="42" fontId="11" fillId="0" borderId="0" xfId="0" applyNumberFormat="1" applyFont="1" applyAlignment="1">
      <alignment horizontal="centerContinuous" vertical="justify"/>
    </xf>
    <xf numFmtId="10" fontId="11" fillId="0" borderId="0" xfId="5" applyNumberFormat="1" applyFont="1" applyBorder="1" applyAlignment="1">
      <alignment horizontal="centerContinuous" vertical="justify"/>
    </xf>
    <xf numFmtId="168" fontId="11" fillId="0" borderId="2" xfId="2" applyNumberFormat="1" applyFont="1" applyBorder="1"/>
    <xf numFmtId="0" fontId="21" fillId="0" borderId="2" xfId="0" applyFont="1" applyBorder="1" applyAlignment="1">
      <alignment horizontal="left"/>
    </xf>
    <xf numFmtId="42" fontId="11" fillId="0" borderId="4" xfId="0" applyNumberFormat="1" applyFont="1" applyBorder="1"/>
    <xf numFmtId="10" fontId="11" fillId="0" borderId="4" xfId="5" applyNumberFormat="1" applyFont="1" applyBorder="1"/>
    <xf numFmtId="42" fontId="11" fillId="0" borderId="2" xfId="0" applyNumberFormat="1" applyFont="1" applyBorder="1"/>
    <xf numFmtId="42" fontId="11" fillId="0" borderId="2" xfId="0" applyNumberFormat="1" applyFont="1" applyBorder="1" applyAlignment="1">
      <alignment horizontal="center"/>
    </xf>
    <xf numFmtId="0" fontId="21" fillId="0" borderId="0" xfId="0" applyFont="1"/>
    <xf numFmtId="168" fontId="11" fillId="0" borderId="0" xfId="2" applyNumberFormat="1" applyFont="1"/>
    <xf numFmtId="166" fontId="11" fillId="0" borderId="2" xfId="2" applyNumberFormat="1" applyFont="1" applyFill="1" applyBorder="1" applyAlignment="1">
      <alignment horizontal="left"/>
    </xf>
    <xf numFmtId="165" fontId="21" fillId="0" borderId="2" xfId="1" applyNumberFormat="1" applyFont="1" applyFill="1" applyBorder="1" applyAlignment="1">
      <alignment horizontal="left"/>
    </xf>
    <xf numFmtId="166" fontId="11" fillId="0" borderId="4" xfId="2" applyNumberFormat="1" applyFont="1" applyFill="1" applyBorder="1" applyAlignment="1">
      <alignment horizontal="left"/>
    </xf>
    <xf numFmtId="0" fontId="12" fillId="0" borderId="0" xfId="0" applyFont="1"/>
    <xf numFmtId="166" fontId="12" fillId="0" borderId="0" xfId="0" applyNumberFormat="1" applyFont="1"/>
    <xf numFmtId="0" fontId="33" fillId="0" borderId="0" xfId="0" applyFont="1"/>
    <xf numFmtId="165" fontId="11" fillId="0" borderId="2" xfId="1" applyNumberFormat="1" applyFont="1" applyFill="1" applyBorder="1" applyAlignment="1">
      <alignment horizontal="left"/>
    </xf>
    <xf numFmtId="165" fontId="18" fillId="0" borderId="2" xfId="1" applyNumberFormat="1" applyFont="1" applyFill="1" applyBorder="1" applyAlignment="1">
      <alignment horizontal="center"/>
    </xf>
    <xf numFmtId="165" fontId="29" fillId="0" borderId="2" xfId="1" applyNumberFormat="1" applyFont="1" applyFill="1" applyBorder="1" applyAlignment="1">
      <alignment horizontal="center"/>
    </xf>
    <xf numFmtId="165" fontId="18" fillId="0" borderId="2" xfId="1" applyNumberFormat="1" applyFont="1" applyBorder="1" applyAlignment="1">
      <alignment horizontal="center"/>
    </xf>
    <xf numFmtId="168" fontId="11" fillId="0" borderId="2" xfId="2" applyNumberFormat="1" applyFont="1" applyBorder="1" applyAlignment="1">
      <alignment horizontal="center"/>
    </xf>
    <xf numFmtId="0" fontId="11" fillId="0" borderId="13" xfId="0" applyFont="1" applyBorder="1" applyAlignment="1">
      <alignment horizontal="centerContinuous" vertical="justify"/>
    </xf>
    <xf numFmtId="165" fontId="11" fillId="0" borderId="2" xfId="1" applyNumberFormat="1" applyFont="1" applyFill="1" applyBorder="1" applyAlignment="1">
      <alignment horizontal="center"/>
    </xf>
    <xf numFmtId="166" fontId="11" fillId="0" borderId="2" xfId="2" applyNumberFormat="1" applyFont="1" applyFill="1" applyBorder="1" applyAlignment="1">
      <alignment horizontal="center"/>
    </xf>
    <xf numFmtId="0" fontId="11" fillId="0" borderId="78" xfId="0" applyFont="1" applyBorder="1"/>
    <xf numFmtId="165" fontId="21" fillId="0" borderId="2" xfId="1" applyNumberFormat="1" applyFont="1" applyFill="1" applyBorder="1" applyAlignment="1">
      <alignment horizontal="center"/>
    </xf>
    <xf numFmtId="0" fontId="12" fillId="0" borderId="42" xfId="0" applyFont="1" applyBorder="1"/>
    <xf numFmtId="168" fontId="18" fillId="0" borderId="2" xfId="2" applyNumberFormat="1" applyFont="1" applyBorder="1" applyAlignment="1">
      <alignment horizontal="center"/>
    </xf>
    <xf numFmtId="168" fontId="18" fillId="0" borderId="13" xfId="2" applyNumberFormat="1" applyFont="1" applyBorder="1" applyAlignment="1">
      <alignment horizontal="center"/>
    </xf>
    <xf numFmtId="0" fontId="11" fillId="0" borderId="45" xfId="0" applyFont="1" applyBorder="1" applyAlignment="1">
      <alignment horizontal="centerContinuous" vertical="justify"/>
    </xf>
    <xf numFmtId="166" fontId="10" fillId="0" borderId="13" xfId="2" applyNumberFormat="1" applyFont="1" applyFill="1" applyBorder="1"/>
    <xf numFmtId="0" fontId="14" fillId="0" borderId="0" xfId="0" applyFont="1" applyAlignment="1">
      <alignment horizontal="center"/>
    </xf>
    <xf numFmtId="166" fontId="11" fillId="0" borderId="18" xfId="2" applyNumberFormat="1" applyFont="1" applyBorder="1"/>
    <xf numFmtId="0" fontId="10" fillId="0" borderId="0" xfId="3" quotePrefix="1" applyFont="1" applyAlignment="1">
      <alignment horizontal="center"/>
    </xf>
    <xf numFmtId="0" fontId="21" fillId="0" borderId="39" xfId="0" applyFont="1" applyBorder="1" applyAlignment="1">
      <alignment horizontal="center"/>
    </xf>
    <xf numFmtId="0" fontId="34" fillId="0" borderId="0" xfId="0" applyFont="1" applyAlignment="1">
      <alignment horizontal="centerContinuous" vertical="justify"/>
    </xf>
    <xf numFmtId="3" fontId="10" fillId="0" borderId="0" xfId="0" applyNumberFormat="1" applyFont="1" applyAlignment="1">
      <alignment horizontal="centerContinuous" vertical="justify"/>
    </xf>
    <xf numFmtId="0" fontId="11" fillId="0" borderId="13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170" fontId="11" fillId="0" borderId="2" xfId="5" applyNumberFormat="1" applyFont="1" applyFill="1" applyBorder="1"/>
    <xf numFmtId="170" fontId="11" fillId="0" borderId="8" xfId="5" applyNumberFormat="1" applyFont="1" applyFill="1" applyBorder="1"/>
    <xf numFmtId="170" fontId="11" fillId="0" borderId="3" xfId="5" applyNumberFormat="1" applyFont="1" applyFill="1" applyBorder="1"/>
    <xf numFmtId="170" fontId="11" fillId="0" borderId="6" xfId="5" applyNumberFormat="1" applyFont="1" applyFill="1" applyBorder="1"/>
    <xf numFmtId="170" fontId="11" fillId="0" borderId="7" xfId="5" applyNumberFormat="1" applyFont="1" applyBorder="1"/>
    <xf numFmtId="170" fontId="11" fillId="0" borderId="68" xfId="5" applyNumberFormat="1" applyFont="1" applyBorder="1"/>
    <xf numFmtId="170" fontId="11" fillId="0" borderId="6" xfId="5" applyNumberFormat="1" applyFont="1" applyBorder="1"/>
    <xf numFmtId="170" fontId="11" fillId="0" borderId="69" xfId="5" applyNumberFormat="1" applyFont="1" applyBorder="1"/>
    <xf numFmtId="170" fontId="11" fillId="0" borderId="3" xfId="5" applyNumberFormat="1" applyFont="1" applyBorder="1"/>
    <xf numFmtId="0" fontId="11" fillId="0" borderId="9" xfId="4" applyFont="1" applyBorder="1" applyAlignment="1">
      <alignment horizontal="center" wrapText="1"/>
    </xf>
    <xf numFmtId="0" fontId="11" fillId="0" borderId="9" xfId="3" applyFont="1" applyBorder="1" applyAlignment="1">
      <alignment horizontal="center" wrapText="1"/>
    </xf>
    <xf numFmtId="10" fontId="11" fillId="0" borderId="67" xfId="5" applyNumberFormat="1" applyFont="1" applyBorder="1"/>
    <xf numFmtId="10" fontId="11" fillId="0" borderId="66" xfId="5" applyNumberFormat="1" applyFont="1" applyBorder="1"/>
    <xf numFmtId="10" fontId="11" fillId="0" borderId="0" xfId="5" applyNumberFormat="1" applyFont="1" applyBorder="1"/>
    <xf numFmtId="10" fontId="11" fillId="0" borderId="66" xfId="5" applyNumberFormat="1" applyFont="1" applyFill="1" applyBorder="1"/>
    <xf numFmtId="10" fontId="11" fillId="0" borderId="2" xfId="5" applyNumberFormat="1" applyFont="1" applyFill="1" applyBorder="1"/>
    <xf numFmtId="10" fontId="11" fillId="0" borderId="67" xfId="5" applyNumberFormat="1" applyFont="1" applyFill="1" applyBorder="1"/>
    <xf numFmtId="3" fontId="11" fillId="0" borderId="17" xfId="0" applyNumberFormat="1" applyFont="1" applyBorder="1"/>
    <xf numFmtId="166" fontId="11" fillId="0" borderId="6" xfId="0" applyNumberFormat="1" applyFont="1" applyBorder="1" applyAlignment="1">
      <alignment horizontal="left"/>
    </xf>
    <xf numFmtId="165" fontId="11" fillId="0" borderId="6" xfId="1" applyNumberFormat="1" applyFont="1" applyBorder="1" applyAlignment="1">
      <alignment horizontal="left"/>
    </xf>
    <xf numFmtId="0" fontId="9" fillId="0" borderId="8" xfId="0" applyFont="1" applyBorder="1" applyAlignment="1">
      <alignment horizontal="left"/>
    </xf>
    <xf numFmtId="166" fontId="11" fillId="0" borderId="8" xfId="0" applyNumberFormat="1" applyFont="1" applyBorder="1"/>
    <xf numFmtId="44" fontId="11" fillId="0" borderId="8" xfId="0" applyNumberFormat="1" applyFont="1" applyBorder="1"/>
    <xf numFmtId="44" fontId="11" fillId="0" borderId="8" xfId="2" applyFont="1" applyBorder="1"/>
    <xf numFmtId="165" fontId="11" fillId="0" borderId="6" xfId="1" applyNumberFormat="1" applyFont="1" applyFill="1" applyBorder="1"/>
    <xf numFmtId="166" fontId="11" fillId="0" borderId="8" xfId="2" applyNumberFormat="1" applyFont="1" applyFill="1" applyBorder="1" applyAlignment="1">
      <alignment vertical="top"/>
    </xf>
    <xf numFmtId="167" fontId="11" fillId="0" borderId="18" xfId="2" applyNumberFormat="1" applyFont="1" applyBorder="1"/>
    <xf numFmtId="0" fontId="11" fillId="0" borderId="2" xfId="0" applyFont="1" applyBorder="1" applyAlignment="1">
      <alignment horizontal="right"/>
    </xf>
    <xf numFmtId="40" fontId="11" fillId="0" borderId="20" xfId="0" applyNumberFormat="1" applyFont="1" applyBorder="1"/>
    <xf numFmtId="40" fontId="11" fillId="0" borderId="23" xfId="0" applyNumberFormat="1" applyFont="1" applyBorder="1"/>
    <xf numFmtId="40" fontId="11" fillId="0" borderId="29" xfId="0" applyNumberFormat="1" applyFont="1" applyBorder="1"/>
    <xf numFmtId="0" fontId="15" fillId="0" borderId="0" xfId="0" applyFont="1"/>
    <xf numFmtId="0" fontId="11" fillId="0" borderId="19" xfId="3" applyFont="1" applyBorder="1" applyAlignment="1">
      <alignment horizontal="center" wrapText="1"/>
    </xf>
    <xf numFmtId="0" fontId="11" fillId="0" borderId="67" xfId="3" applyFont="1" applyBorder="1" applyAlignment="1">
      <alignment horizontal="center" wrapText="1"/>
    </xf>
    <xf numFmtId="0" fontId="10" fillId="0" borderId="42" xfId="0" applyFont="1" applyBorder="1" applyAlignment="1">
      <alignment horizontal="center"/>
    </xf>
    <xf numFmtId="0" fontId="9" fillId="0" borderId="9" xfId="0" applyFont="1" applyBorder="1"/>
    <xf numFmtId="0" fontId="8" fillId="0" borderId="43" xfId="0" applyFont="1" applyBorder="1" applyAlignment="1">
      <alignment horizontal="center"/>
    </xf>
    <xf numFmtId="0" fontId="9" fillId="0" borderId="49" xfId="0" applyFont="1" applyBorder="1"/>
    <xf numFmtId="0" fontId="11" fillId="0" borderId="24" xfId="0" applyFont="1" applyBorder="1" applyAlignment="1">
      <alignment horizontal="center"/>
    </xf>
    <xf numFmtId="178" fontId="11" fillId="0" borderId="0" xfId="0" applyNumberFormat="1" applyFont="1" applyAlignment="1">
      <alignment horizontal="left"/>
    </xf>
    <xf numFmtId="0" fontId="10" fillId="0" borderId="26" xfId="0" applyFont="1" applyBorder="1" applyAlignment="1">
      <alignment horizontal="center" wrapText="1"/>
    </xf>
    <xf numFmtId="0" fontId="10" fillId="0" borderId="22" xfId="0" applyFont="1" applyBorder="1" applyAlignment="1">
      <alignment horizontal="center" wrapText="1"/>
    </xf>
    <xf numFmtId="0" fontId="11" fillId="0" borderId="23" xfId="0" applyFont="1" applyBorder="1" applyAlignment="1">
      <alignment horizontal="center"/>
    </xf>
    <xf numFmtId="171" fontId="10" fillId="0" borderId="28" xfId="0" applyNumberFormat="1" applyFont="1" applyBorder="1" applyAlignment="1">
      <alignment horizontal="center"/>
    </xf>
    <xf numFmtId="166" fontId="11" fillId="0" borderId="28" xfId="2" applyNumberFormat="1" applyFont="1" applyFill="1" applyBorder="1"/>
    <xf numFmtId="0" fontId="11" fillId="0" borderId="0" xfId="0" applyFont="1" applyAlignment="1">
      <alignment horizontal="centerContinuous" vertical="top"/>
    </xf>
    <xf numFmtId="166" fontId="11" fillId="4" borderId="10" xfId="2" applyNumberFormat="1" applyFont="1" applyFill="1" applyBorder="1"/>
    <xf numFmtId="0" fontId="12" fillId="0" borderId="0" xfId="0" applyFont="1" applyAlignment="1">
      <alignment horizontal="center"/>
    </xf>
    <xf numFmtId="44" fontId="11" fillId="0" borderId="0" xfId="0" applyNumberFormat="1" applyFont="1"/>
    <xf numFmtId="0" fontId="11" fillId="4" borderId="0" xfId="0" applyFont="1" applyFill="1"/>
    <xf numFmtId="0" fontId="10" fillId="0" borderId="13" xfId="0" applyFont="1" applyBorder="1"/>
    <xf numFmtId="165" fontId="11" fillId="0" borderId="0" xfId="0" applyNumberFormat="1" applyFont="1"/>
    <xf numFmtId="166" fontId="10" fillId="4" borderId="10" xfId="0" applyNumberFormat="1" applyFont="1" applyFill="1" applyBorder="1"/>
    <xf numFmtId="165" fontId="11" fillId="0" borderId="4" xfId="1" applyNumberFormat="1" applyFont="1" applyFill="1" applyBorder="1" applyAlignment="1">
      <alignment horizontal="left"/>
    </xf>
    <xf numFmtId="165" fontId="11" fillId="0" borderId="1" xfId="1" applyNumberFormat="1" applyFont="1" applyFill="1" applyBorder="1"/>
    <xf numFmtId="44" fontId="11" fillId="0" borderId="2" xfId="0" applyNumberFormat="1" applyFont="1" applyBorder="1"/>
    <xf numFmtId="17" fontId="11" fillId="0" borderId="2" xfId="0" applyNumberFormat="1" applyFont="1" applyBorder="1" applyAlignment="1">
      <alignment horizontal="center"/>
    </xf>
    <xf numFmtId="17" fontId="11" fillId="0" borderId="2" xfId="0" applyNumberFormat="1" applyFont="1" applyBorder="1"/>
    <xf numFmtId="168" fontId="11" fillId="0" borderId="18" xfId="2" applyNumberFormat="1" applyFont="1" applyFill="1" applyBorder="1"/>
    <xf numFmtId="0" fontId="11" fillId="0" borderId="2" xfId="0" applyFont="1" applyBorder="1" applyAlignment="1">
      <alignment horizontal="left" vertical="top"/>
    </xf>
    <xf numFmtId="165" fontId="11" fillId="0" borderId="7" xfId="1" applyNumberFormat="1" applyFont="1" applyFill="1" applyBorder="1"/>
    <xf numFmtId="165" fontId="11" fillId="0" borderId="92" xfId="1" applyNumberFormat="1" applyFont="1" applyFill="1" applyBorder="1"/>
    <xf numFmtId="165" fontId="11" fillId="0" borderId="91" xfId="1" applyNumberFormat="1" applyFont="1" applyFill="1" applyBorder="1"/>
    <xf numFmtId="165" fontId="11" fillId="0" borderId="15" xfId="1" applyNumberFormat="1" applyFont="1" applyFill="1" applyBorder="1"/>
    <xf numFmtId="166" fontId="10" fillId="0" borderId="17" xfId="2" applyNumberFormat="1" applyFont="1" applyFill="1" applyBorder="1"/>
    <xf numFmtId="165" fontId="11" fillId="0" borderId="31" xfId="1" applyNumberFormat="1" applyFont="1" applyFill="1" applyBorder="1"/>
    <xf numFmtId="166" fontId="10" fillId="0" borderId="30" xfId="2" applyNumberFormat="1" applyFont="1" applyFill="1" applyBorder="1"/>
    <xf numFmtId="166" fontId="10" fillId="0" borderId="56" xfId="2" applyNumberFormat="1" applyFont="1" applyFill="1" applyBorder="1"/>
    <xf numFmtId="166" fontId="10" fillId="0" borderId="57" xfId="2" applyNumberFormat="1" applyFont="1" applyFill="1" applyBorder="1"/>
    <xf numFmtId="0" fontId="22" fillId="0" borderId="39" xfId="0" applyFont="1" applyBorder="1"/>
    <xf numFmtId="37" fontId="11" fillId="0" borderId="2" xfId="0" applyNumberFormat="1" applyFont="1" applyBorder="1" applyAlignment="1">
      <alignment horizontal="right"/>
    </xf>
    <xf numFmtId="17" fontId="11" fillId="0" borderId="1" xfId="0" applyNumberFormat="1" applyFont="1" applyBorder="1" applyAlignment="1">
      <alignment horizontal="right"/>
    </xf>
    <xf numFmtId="37" fontId="11" fillId="0" borderId="3" xfId="0" applyNumberFormat="1" applyFont="1" applyBorder="1" applyAlignment="1">
      <alignment horizontal="right"/>
    </xf>
    <xf numFmtId="37" fontId="11" fillId="0" borderId="0" xfId="0" applyNumberFormat="1" applyFont="1" applyAlignment="1">
      <alignment horizontal="right"/>
    </xf>
    <xf numFmtId="0" fontId="11" fillId="0" borderId="5" xfId="0" applyFont="1" applyBorder="1" applyAlignment="1">
      <alignment horizontal="center"/>
    </xf>
    <xf numFmtId="37" fontId="11" fillId="0" borderId="7" xfId="0" applyNumberFormat="1" applyFont="1" applyBorder="1" applyAlignment="1">
      <alignment horizontal="right"/>
    </xf>
    <xf numFmtId="41" fontId="11" fillId="0" borderId="3" xfId="0" applyNumberFormat="1" applyFont="1" applyBorder="1" applyAlignment="1">
      <alignment horizontal="center"/>
    </xf>
    <xf numFmtId="37" fontId="11" fillId="0" borderId="4" xfId="0" applyNumberFormat="1" applyFont="1" applyBorder="1" applyAlignment="1">
      <alignment horizontal="right"/>
    </xf>
    <xf numFmtId="0" fontId="11" fillId="0" borderId="5" xfId="0" applyFont="1" applyBorder="1" applyAlignment="1">
      <alignment horizontal="left"/>
    </xf>
    <xf numFmtId="37" fontId="11" fillId="0" borderId="1" xfId="0" applyNumberFormat="1" applyFont="1" applyBorder="1" applyAlignment="1">
      <alignment horizontal="right"/>
    </xf>
    <xf numFmtId="41" fontId="11" fillId="0" borderId="8" xfId="0" applyNumberFormat="1" applyFont="1" applyBorder="1"/>
    <xf numFmtId="41" fontId="11" fillId="0" borderId="6" xfId="0" applyNumberFormat="1" applyFont="1" applyBorder="1"/>
    <xf numFmtId="41" fontId="11" fillId="0" borderId="11" xfId="0" applyNumberFormat="1" applyFont="1" applyBorder="1"/>
    <xf numFmtId="41" fontId="11" fillId="0" borderId="16" xfId="0" applyNumberFormat="1" applyFont="1" applyBorder="1"/>
    <xf numFmtId="41" fontId="11" fillId="0" borderId="8" xfId="0" applyNumberFormat="1" applyFont="1" applyBorder="1" applyAlignment="1">
      <alignment horizontal="center"/>
    </xf>
    <xf numFmtId="180" fontId="11" fillId="0" borderId="11" xfId="0" applyNumberFormat="1" applyFont="1" applyBorder="1"/>
    <xf numFmtId="166" fontId="11" fillId="0" borderId="18" xfId="2" applyNumberFormat="1" applyFont="1" applyFill="1" applyBorder="1"/>
    <xf numFmtId="0" fontId="35" fillId="0" borderId="0" xfId="0" applyFont="1" applyAlignment="1">
      <alignment horizontal="left"/>
    </xf>
    <xf numFmtId="0" fontId="11" fillId="0" borderId="8" xfId="0" applyFont="1" applyBorder="1" applyAlignment="1">
      <alignment horizontal="center" wrapText="1"/>
    </xf>
    <xf numFmtId="0" fontId="13" fillId="0" borderId="0" xfId="0" applyFont="1" applyAlignment="1">
      <alignment horizontal="right"/>
    </xf>
    <xf numFmtId="166" fontId="11" fillId="0" borderId="54" xfId="2" applyNumberFormat="1" applyFont="1" applyFill="1" applyBorder="1"/>
    <xf numFmtId="166" fontId="11" fillId="0" borderId="4" xfId="2" applyNumberFormat="1" applyFont="1" applyFill="1" applyBorder="1" applyAlignment="1">
      <alignment horizontal="center"/>
    </xf>
    <xf numFmtId="166" fontId="11" fillId="0" borderId="3" xfId="2" applyNumberFormat="1" applyFont="1" applyFill="1" applyBorder="1" applyAlignment="1">
      <alignment horizontal="center"/>
    </xf>
    <xf numFmtId="166" fontId="10" fillId="0" borderId="74" xfId="2" applyNumberFormat="1" applyFont="1" applyBorder="1"/>
    <xf numFmtId="0" fontId="11" fillId="0" borderId="0" xfId="0" applyFont="1" applyAlignment="1">
      <alignment vertical="justify"/>
    </xf>
    <xf numFmtId="0" fontId="11" fillId="0" borderId="0" xfId="0" applyFont="1" applyAlignment="1">
      <alignment horizontal="center" vertical="justify"/>
    </xf>
    <xf numFmtId="3" fontId="11" fillId="0" borderId="0" xfId="0" applyNumberFormat="1" applyFont="1" applyAlignment="1">
      <alignment horizontal="center" vertical="justify"/>
    </xf>
    <xf numFmtId="166" fontId="11" fillId="0" borderId="3" xfId="2" applyNumberFormat="1" applyFont="1" applyFill="1" applyBorder="1" applyAlignment="1">
      <alignment horizontal="left"/>
    </xf>
    <xf numFmtId="0" fontId="14" fillId="0" borderId="0" xfId="0" quotePrefix="1" applyFont="1" applyAlignment="1">
      <alignment horizontal="right"/>
    </xf>
    <xf numFmtId="166" fontId="11" fillId="0" borderId="17" xfId="2" applyNumberFormat="1" applyFont="1" applyFill="1" applyBorder="1"/>
    <xf numFmtId="10" fontId="11" fillId="0" borderId="8" xfId="5" applyNumberFormat="1" applyFont="1" applyBorder="1"/>
    <xf numFmtId="166" fontId="11" fillId="0" borderId="63" xfId="2" applyNumberFormat="1" applyFont="1" applyFill="1" applyBorder="1"/>
    <xf numFmtId="166" fontId="11" fillId="0" borderId="73" xfId="2" applyNumberFormat="1" applyFont="1" applyFill="1" applyBorder="1"/>
    <xf numFmtId="40" fontId="11" fillId="0" borderId="22" xfId="0" applyNumberFormat="1" applyFont="1" applyBorder="1"/>
    <xf numFmtId="40" fontId="11" fillId="0" borderId="19" xfId="0" applyNumberFormat="1" applyFont="1" applyBorder="1"/>
    <xf numFmtId="0" fontId="11" fillId="0" borderId="28" xfId="0" quotePrefix="1" applyFont="1" applyBorder="1" applyAlignment="1">
      <alignment horizontal="center"/>
    </xf>
    <xf numFmtId="0" fontId="11" fillId="0" borderId="29" xfId="0" quotePrefix="1" applyFont="1" applyBorder="1" applyAlignment="1">
      <alignment horizontal="center"/>
    </xf>
    <xf numFmtId="166" fontId="10" fillId="0" borderId="18" xfId="2" applyNumberFormat="1" applyFont="1" applyBorder="1"/>
    <xf numFmtId="165" fontId="11" fillId="0" borderId="8" xfId="1" applyNumberFormat="1" applyFont="1" applyFill="1" applyBorder="1"/>
    <xf numFmtId="0" fontId="11" fillId="0" borderId="28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66" fontId="10" fillId="0" borderId="75" xfId="2" applyNumberFormat="1" applyFont="1" applyBorder="1"/>
    <xf numFmtId="10" fontId="11" fillId="0" borderId="34" xfId="5" applyNumberFormat="1" applyFont="1" applyBorder="1"/>
    <xf numFmtId="10" fontId="11" fillId="0" borderId="51" xfId="0" applyNumberFormat="1" applyFont="1" applyBorder="1"/>
    <xf numFmtId="10" fontId="11" fillId="0" borderId="44" xfId="0" applyNumberFormat="1" applyFont="1" applyBorder="1"/>
    <xf numFmtId="10" fontId="11" fillId="0" borderId="84" xfId="0" applyNumberFormat="1" applyFont="1" applyBorder="1"/>
    <xf numFmtId="10" fontId="11" fillId="0" borderId="82" xfId="0" applyNumberFormat="1" applyFont="1" applyBorder="1"/>
    <xf numFmtId="10" fontId="11" fillId="0" borderId="85" xfId="0" applyNumberFormat="1" applyFont="1" applyBorder="1"/>
    <xf numFmtId="166" fontId="10" fillId="0" borderId="75" xfId="2" applyNumberFormat="1" applyFont="1" applyFill="1" applyBorder="1"/>
    <xf numFmtId="174" fontId="10" fillId="0" borderId="0" xfId="0" applyNumberFormat="1" applyFont="1" applyAlignment="1">
      <alignment horizontal="center"/>
    </xf>
    <xf numFmtId="174" fontId="10" fillId="0" borderId="79" xfId="0" applyNumberFormat="1" applyFont="1" applyBorder="1" applyAlignment="1">
      <alignment horizontal="center"/>
    </xf>
    <xf numFmtId="182" fontId="11" fillId="0" borderId="4" xfId="0" applyNumberFormat="1" applyFont="1" applyBorder="1"/>
    <xf numFmtId="17" fontId="11" fillId="0" borderId="9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2" xfId="0" applyFont="1" applyBorder="1"/>
    <xf numFmtId="0" fontId="10" fillId="0" borderId="42" xfId="0" quotePrefix="1" applyFont="1" applyBorder="1" applyAlignment="1">
      <alignment horizontal="center"/>
    </xf>
    <xf numFmtId="0" fontId="10" fillId="0" borderId="65" xfId="0" applyFont="1" applyBorder="1"/>
    <xf numFmtId="0" fontId="10" fillId="0" borderId="66" xfId="0" applyFont="1" applyBorder="1"/>
    <xf numFmtId="0" fontId="10" fillId="0" borderId="67" xfId="0" applyFont="1" applyBorder="1"/>
    <xf numFmtId="0" fontId="10" fillId="0" borderId="66" xfId="0" applyFont="1" applyBorder="1" applyAlignment="1">
      <alignment horizontal="center"/>
    </xf>
    <xf numFmtId="0" fontId="10" fillId="0" borderId="67" xfId="0" applyFont="1" applyBorder="1" applyAlignment="1">
      <alignment horizontal="center"/>
    </xf>
    <xf numFmtId="0" fontId="11" fillId="0" borderId="32" xfId="0" applyFont="1" applyBorder="1"/>
    <xf numFmtId="0" fontId="11" fillId="0" borderId="86" xfId="0" applyFont="1" applyBorder="1"/>
    <xf numFmtId="0" fontId="10" fillId="0" borderId="61" xfId="0" quotePrefix="1" applyFont="1" applyBorder="1" applyAlignment="1">
      <alignment horizontal="center"/>
    </xf>
    <xf numFmtId="0" fontId="11" fillId="0" borderId="52" xfId="0" applyFont="1" applyBorder="1"/>
    <xf numFmtId="0" fontId="10" fillId="0" borderId="64" xfId="0" applyFont="1" applyBorder="1" applyAlignment="1">
      <alignment horizontal="center"/>
    </xf>
    <xf numFmtId="0" fontId="10" fillId="0" borderId="48" xfId="0" applyFont="1" applyBorder="1" applyAlignment="1">
      <alignment horizontal="center"/>
    </xf>
    <xf numFmtId="0" fontId="10" fillId="0" borderId="65" xfId="0" applyFont="1" applyBorder="1" applyAlignment="1">
      <alignment horizontal="center"/>
    </xf>
    <xf numFmtId="0" fontId="10" fillId="0" borderId="48" xfId="0" applyFont="1" applyBorder="1" applyAlignment="1">
      <alignment horizontal="center" vertical="justify"/>
    </xf>
    <xf numFmtId="0" fontId="11" fillId="0" borderId="45" xfId="0" applyFont="1" applyBorder="1"/>
    <xf numFmtId="166" fontId="11" fillId="0" borderId="94" xfId="2" applyNumberFormat="1" applyFont="1" applyBorder="1"/>
    <xf numFmtId="166" fontId="11" fillId="0" borderId="83" xfId="2" applyNumberFormat="1" applyFont="1" applyBorder="1"/>
    <xf numFmtId="0" fontId="11" fillId="0" borderId="82" xfId="0" applyFont="1" applyBorder="1"/>
    <xf numFmtId="0" fontId="10" fillId="0" borderId="87" xfId="0" quotePrefix="1" applyFont="1" applyBorder="1" applyAlignment="1">
      <alignment horizontal="centerContinuous" vertical="justify"/>
    </xf>
    <xf numFmtId="0" fontId="10" fillId="0" borderId="48" xfId="0" quotePrefix="1" applyFont="1" applyBorder="1" applyAlignment="1">
      <alignment horizontal="centerContinuous" vertical="justify"/>
    </xf>
    <xf numFmtId="17" fontId="10" fillId="0" borderId="9" xfId="0" applyNumberFormat="1" applyFont="1" applyBorder="1" applyAlignment="1">
      <alignment horizontal="centerContinuous" vertical="justify"/>
    </xf>
    <xf numFmtId="17" fontId="10" fillId="0" borderId="2" xfId="0" applyNumberFormat="1" applyFont="1" applyBorder="1" applyAlignment="1">
      <alignment horizontal="center" vertical="justify"/>
    </xf>
    <xf numFmtId="0" fontId="10" fillId="0" borderId="77" xfId="0" applyFont="1" applyBorder="1" applyAlignment="1">
      <alignment horizontal="center"/>
    </xf>
    <xf numFmtId="0" fontId="10" fillId="0" borderId="78" xfId="0" applyFont="1" applyBorder="1" applyAlignment="1">
      <alignment horizontal="center"/>
    </xf>
    <xf numFmtId="0" fontId="10" fillId="0" borderId="13" xfId="0" quotePrefix="1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3" xfId="0" quotePrefix="1" applyFont="1" applyBorder="1" applyAlignment="1">
      <alignment horizontal="centerContinuous" vertical="justify"/>
    </xf>
    <xf numFmtId="17" fontId="10" fillId="0" borderId="2" xfId="0" applyNumberFormat="1" applyFont="1" applyBorder="1" applyAlignment="1">
      <alignment horizontal="centerContinuous" vertical="justify"/>
    </xf>
    <xf numFmtId="0" fontId="10" fillId="0" borderId="5" xfId="0" quotePrefix="1" applyFont="1" applyBorder="1" applyAlignment="1">
      <alignment horizontal="centerContinuous" vertical="justify"/>
    </xf>
    <xf numFmtId="0" fontId="11" fillId="0" borderId="77" xfId="0" applyFont="1" applyBorder="1"/>
    <xf numFmtId="0" fontId="11" fillId="0" borderId="52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0" borderId="12" xfId="0" applyFont="1" applyBorder="1" applyAlignment="1">
      <alignment horizontal="centerContinuous" vertical="justify"/>
    </xf>
    <xf numFmtId="0" fontId="8" fillId="0" borderId="12" xfId="0" applyFont="1" applyBorder="1" applyAlignment="1">
      <alignment horizontal="centerContinuous" vertical="justify"/>
    </xf>
    <xf numFmtId="0" fontId="10" fillId="0" borderId="52" xfId="0" applyFont="1" applyBorder="1" applyAlignment="1">
      <alignment horizontal="center"/>
    </xf>
    <xf numFmtId="0" fontId="10" fillId="2" borderId="52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Continuous" vertical="justify"/>
    </xf>
    <xf numFmtId="0" fontId="10" fillId="2" borderId="2" xfId="0" applyFont="1" applyFill="1" applyBorder="1" applyAlignment="1">
      <alignment horizontal="centerContinuous" vertical="justify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0" borderId="42" xfId="0" applyFont="1" applyBorder="1" applyAlignment="1">
      <alignment horizontal="left"/>
    </xf>
    <xf numFmtId="0" fontId="19" fillId="0" borderId="88" xfId="0" quotePrefix="1" applyFont="1" applyBorder="1" applyAlignment="1">
      <alignment horizontal="center"/>
    </xf>
    <xf numFmtId="0" fontId="19" fillId="0" borderId="48" xfId="0" quotePrefix="1" applyFont="1" applyBorder="1" applyAlignment="1">
      <alignment horizontal="center"/>
    </xf>
    <xf numFmtId="0" fontId="10" fillId="0" borderId="61" xfId="0" applyFont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0" fillId="2" borderId="61" xfId="0" applyFont="1" applyFill="1" applyBorder="1" applyAlignment="1">
      <alignment horizontal="center"/>
    </xf>
    <xf numFmtId="0" fontId="10" fillId="0" borderId="68" xfId="0" applyFont="1" applyBorder="1"/>
    <xf numFmtId="0" fontId="10" fillId="0" borderId="69" xfId="0" applyFont="1" applyBorder="1"/>
    <xf numFmtId="0" fontId="10" fillId="0" borderId="39" xfId="0" applyFont="1" applyBorder="1" applyAlignment="1">
      <alignment horizontal="center"/>
    </xf>
    <xf numFmtId="0" fontId="10" fillId="2" borderId="48" xfId="0" quotePrefix="1" applyFont="1" applyFill="1" applyBorder="1" applyAlignment="1">
      <alignment horizontal="center"/>
    </xf>
    <xf numFmtId="0" fontId="10" fillId="2" borderId="88" xfId="0" quotePrefix="1" applyFont="1" applyFill="1" applyBorder="1" applyAlignment="1">
      <alignment horizontal="center"/>
    </xf>
    <xf numFmtId="0" fontId="10" fillId="2" borderId="42" xfId="0" applyFont="1" applyFill="1" applyBorder="1" applyAlignment="1">
      <alignment horizontal="center"/>
    </xf>
    <xf numFmtId="0" fontId="10" fillId="0" borderId="39" xfId="0" applyFont="1" applyBorder="1"/>
    <xf numFmtId="0" fontId="10" fillId="0" borderId="43" xfId="0" applyFont="1" applyBorder="1"/>
    <xf numFmtId="0" fontId="10" fillId="0" borderId="61" xfId="0" applyFont="1" applyBorder="1"/>
    <xf numFmtId="0" fontId="10" fillId="0" borderId="12" xfId="0" applyFont="1" applyBorder="1" applyAlignment="1">
      <alignment horizontal="center"/>
    </xf>
    <xf numFmtId="165" fontId="11" fillId="0" borderId="3" xfId="19" applyNumberFormat="1" applyFont="1" applyFill="1" applyBorder="1" applyAlignment="1">
      <alignment horizontal="left"/>
    </xf>
    <xf numFmtId="165" fontId="11" fillId="0" borderId="58" xfId="19" applyNumberFormat="1" applyFont="1" applyFill="1" applyBorder="1" applyAlignment="1">
      <alignment horizontal="left"/>
    </xf>
    <xf numFmtId="165" fontId="11" fillId="0" borderId="76" xfId="19" applyNumberFormat="1" applyFont="1" applyFill="1" applyBorder="1" applyAlignment="1">
      <alignment horizontal="left"/>
    </xf>
    <xf numFmtId="166" fontId="11" fillId="0" borderId="34" xfId="2" applyNumberFormat="1" applyFont="1" applyBorder="1"/>
    <xf numFmtId="170" fontId="11" fillId="0" borderId="95" xfId="5" applyNumberFormat="1" applyFont="1" applyFill="1" applyBorder="1"/>
    <xf numFmtId="170" fontId="11" fillId="0" borderId="44" xfId="5" applyNumberFormat="1" applyFont="1" applyFill="1" applyBorder="1"/>
    <xf numFmtId="170" fontId="11" fillId="0" borderId="82" xfId="5" applyNumberFormat="1" applyFont="1" applyFill="1" applyBorder="1"/>
    <xf numFmtId="170" fontId="11" fillId="0" borderId="83" xfId="5" applyNumberFormat="1" applyFont="1" applyFill="1" applyBorder="1"/>
    <xf numFmtId="170" fontId="11" fillId="0" borderId="84" xfId="5" applyNumberFormat="1" applyFont="1" applyFill="1" applyBorder="1"/>
    <xf numFmtId="170" fontId="11" fillId="0" borderId="85" xfId="5" applyNumberFormat="1" applyFont="1" applyFill="1" applyBorder="1"/>
    <xf numFmtId="0" fontId="10" fillId="0" borderId="43" xfId="0" applyFont="1" applyBorder="1" applyAlignment="1">
      <alignment horizontal="left"/>
    </xf>
    <xf numFmtId="0" fontId="11" fillId="0" borderId="70" xfId="0" applyFont="1" applyBorder="1" applyAlignment="1">
      <alignment horizontal="center" vertical="top"/>
    </xf>
    <xf numFmtId="0" fontId="11" fillId="0" borderId="71" xfId="0" applyFont="1" applyBorder="1" applyAlignment="1">
      <alignment horizontal="center" vertical="top"/>
    </xf>
    <xf numFmtId="0" fontId="11" fillId="0" borderId="77" xfId="0" applyFont="1" applyBorder="1" applyAlignment="1">
      <alignment horizontal="center" vertical="top"/>
    </xf>
    <xf numFmtId="0" fontId="11" fillId="0" borderId="78" xfId="0" applyFont="1" applyBorder="1" applyAlignment="1">
      <alignment horizontal="center" vertical="top"/>
    </xf>
    <xf numFmtId="0" fontId="10" fillId="0" borderId="64" xfId="0" applyFont="1" applyBorder="1" applyAlignment="1">
      <alignment horizontal="centerContinuous" vertical="top"/>
    </xf>
    <xf numFmtId="0" fontId="10" fillId="0" borderId="65" xfId="0" applyFont="1" applyBorder="1" applyAlignment="1">
      <alignment horizontal="center" vertical="top"/>
    </xf>
    <xf numFmtId="166" fontId="10" fillId="0" borderId="68" xfId="2" applyNumberFormat="1" applyFont="1" applyBorder="1" applyAlignment="1">
      <alignment horizontal="center" vertical="top"/>
    </xf>
    <xf numFmtId="166" fontId="10" fillId="0" borderId="69" xfId="2" applyNumberFormat="1" applyFont="1" applyBorder="1" applyAlignment="1">
      <alignment horizontal="center" vertical="top"/>
    </xf>
    <xf numFmtId="0" fontId="37" fillId="0" borderId="5" xfId="0" applyFont="1" applyBorder="1"/>
    <xf numFmtId="0" fontId="11" fillId="4" borderId="66" xfId="0" applyFont="1" applyFill="1" applyBorder="1" applyAlignment="1">
      <alignment horizontal="center"/>
    </xf>
    <xf numFmtId="0" fontId="9" fillId="0" borderId="0" xfId="0" applyFont="1" applyAlignment="1">
      <alignment horizontal="centerContinuous" vertical="justify"/>
    </xf>
    <xf numFmtId="0" fontId="8" fillId="0" borderId="43" xfId="0" applyFont="1" applyBorder="1"/>
    <xf numFmtId="0" fontId="8" fillId="0" borderId="61" xfId="0" applyFont="1" applyBorder="1"/>
    <xf numFmtId="0" fontId="8" fillId="0" borderId="12" xfId="0" applyFont="1" applyBorder="1"/>
    <xf numFmtId="0" fontId="8" fillId="0" borderId="52" xfId="0" applyFont="1" applyBorder="1"/>
    <xf numFmtId="0" fontId="10" fillId="0" borderId="3" xfId="0" quotePrefix="1" applyFont="1" applyBorder="1" applyAlignment="1">
      <alignment horizontal="center"/>
    </xf>
    <xf numFmtId="0" fontId="21" fillId="0" borderId="42" xfId="0" applyFont="1" applyBorder="1" applyAlignment="1">
      <alignment horizontal="left"/>
    </xf>
    <xf numFmtId="0" fontId="9" fillId="0" borderId="42" xfId="0" applyFont="1" applyBorder="1"/>
    <xf numFmtId="0" fontId="9" fillId="0" borderId="43" xfId="0" applyFont="1" applyBorder="1" applyAlignment="1">
      <alignment horizontal="center"/>
    </xf>
    <xf numFmtId="0" fontId="9" fillId="0" borderId="8" xfId="0" applyFont="1" applyBorder="1"/>
    <xf numFmtId="166" fontId="9" fillId="0" borderId="2" xfId="0" applyNumberFormat="1" applyFont="1" applyBorder="1"/>
    <xf numFmtId="0" fontId="9" fillId="0" borderId="13" xfId="0" applyFont="1" applyBorder="1" applyAlignment="1">
      <alignment horizontal="left"/>
    </xf>
    <xf numFmtId="0" fontId="24" fillId="0" borderId="52" xfId="0" applyFont="1" applyBorder="1"/>
    <xf numFmtId="0" fontId="9" fillId="0" borderId="52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66" fontId="10" fillId="0" borderId="8" xfId="2" applyNumberFormat="1" applyFont="1" applyBorder="1"/>
    <xf numFmtId="0" fontId="11" fillId="0" borderId="20" xfId="0" applyFont="1" applyBorder="1" applyAlignment="1">
      <alignment horizontal="center"/>
    </xf>
    <xf numFmtId="0" fontId="24" fillId="0" borderId="45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9" xfId="0" applyFont="1" applyBorder="1"/>
    <xf numFmtId="0" fontId="14" fillId="0" borderId="19" xfId="0" quotePrefix="1" applyFont="1" applyBorder="1" applyAlignment="1">
      <alignment horizontal="center"/>
    </xf>
    <xf numFmtId="0" fontId="13" fillId="0" borderId="19" xfId="0" quotePrefix="1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10" fillId="2" borderId="13" xfId="0" quotePrefix="1" applyFont="1" applyFill="1" applyBorder="1" applyAlignment="1">
      <alignment horizontal="center"/>
    </xf>
    <xf numFmtId="17" fontId="11" fillId="0" borderId="13" xfId="0" applyNumberFormat="1" applyFont="1" applyBorder="1" applyAlignment="1">
      <alignment horizontal="center"/>
    </xf>
    <xf numFmtId="44" fontId="11" fillId="0" borderId="13" xfId="2" applyFont="1" applyBorder="1" applyAlignment="1">
      <alignment horizontal="center"/>
    </xf>
    <xf numFmtId="169" fontId="11" fillId="0" borderId="46" xfId="5" applyNumberFormat="1" applyFont="1" applyBorder="1"/>
    <xf numFmtId="169" fontId="11" fillId="0" borderId="13" xfId="5" applyNumberFormat="1" applyFont="1" applyBorder="1"/>
    <xf numFmtId="0" fontId="10" fillId="0" borderId="0" xfId="0" quotePrefix="1" applyFont="1" applyAlignment="1">
      <alignment horizontal="center"/>
    </xf>
    <xf numFmtId="166" fontId="11" fillId="0" borderId="0" xfId="2" applyNumberFormat="1" applyFont="1" applyBorder="1" applyAlignment="1">
      <alignment horizontal="center"/>
    </xf>
    <xf numFmtId="10" fontId="10" fillId="0" borderId="0" xfId="5" applyNumberFormat="1" applyFont="1" applyBorder="1"/>
    <xf numFmtId="166" fontId="11" fillId="0" borderId="0" xfId="0" applyNumberFormat="1" applyFont="1" applyAlignment="1">
      <alignment horizontal="center"/>
    </xf>
    <xf numFmtId="166" fontId="10" fillId="0" borderId="0" xfId="5" applyNumberFormat="1" applyFont="1" applyBorder="1"/>
    <xf numFmtId="166" fontId="10" fillId="0" borderId="0" xfId="0" applyNumberFormat="1" applyFont="1"/>
    <xf numFmtId="165" fontId="10" fillId="0" borderId="18" xfId="1" applyNumberFormat="1" applyFont="1" applyBorder="1"/>
    <xf numFmtId="166" fontId="10" fillId="0" borderId="80" xfId="2" applyNumberFormat="1" applyFont="1" applyBorder="1"/>
    <xf numFmtId="169" fontId="11" fillId="0" borderId="86" xfId="5" applyNumberFormat="1" applyFont="1" applyBorder="1"/>
    <xf numFmtId="0" fontId="9" fillId="0" borderId="0" xfId="0" applyFont="1" applyAlignment="1">
      <alignment horizontal="center" vertical="justify"/>
    </xf>
    <xf numFmtId="0" fontId="8" fillId="0" borderId="0" xfId="0" applyFont="1" applyAlignment="1">
      <alignment vertical="justify"/>
    </xf>
    <xf numFmtId="0" fontId="11" fillId="0" borderId="12" xfId="3" applyFont="1" applyBorder="1" applyAlignment="1">
      <alignment horizontal="left"/>
    </xf>
    <xf numFmtId="0" fontId="11" fillId="0" borderId="12" xfId="3" applyFont="1" applyBorder="1" applyAlignment="1">
      <alignment horizontal="center"/>
    </xf>
    <xf numFmtId="0" fontId="10" fillId="2" borderId="77" xfId="3" applyFont="1" applyFill="1" applyBorder="1" applyAlignment="1">
      <alignment horizontal="center" wrapText="1"/>
    </xf>
    <xf numFmtId="0" fontId="10" fillId="0" borderId="13" xfId="3" applyFont="1" applyBorder="1" applyAlignment="1">
      <alignment horizontal="center" vertical="top" wrapText="1"/>
    </xf>
    <xf numFmtId="0" fontId="10" fillId="2" borderId="78" xfId="3" applyFont="1" applyFill="1" applyBorder="1" applyAlignment="1">
      <alignment horizontal="center" wrapText="1"/>
    </xf>
    <xf numFmtId="0" fontId="11" fillId="0" borderId="66" xfId="3" applyFont="1" applyBorder="1" applyAlignment="1">
      <alignment horizontal="center" vertical="top" wrapText="1"/>
    </xf>
    <xf numFmtId="0" fontId="11" fillId="0" borderId="2" xfId="3" applyFont="1" applyBorder="1" applyAlignment="1">
      <alignment horizontal="center" vertical="top" wrapText="1"/>
    </xf>
    <xf numFmtId="0" fontId="11" fillId="0" borderId="67" xfId="3" applyFont="1" applyBorder="1" applyAlignment="1">
      <alignment horizontal="center" vertical="top" wrapText="1"/>
    </xf>
    <xf numFmtId="0" fontId="11" fillId="0" borderId="66" xfId="3" applyFont="1" applyBorder="1" applyAlignment="1">
      <alignment horizontal="center" vertical="center"/>
    </xf>
    <xf numFmtId="0" fontId="19" fillId="0" borderId="2" xfId="0" applyFont="1" applyBorder="1" applyAlignment="1">
      <alignment horizontal="left" wrapText="1"/>
    </xf>
    <xf numFmtId="0" fontId="11" fillId="0" borderId="67" xfId="3" applyFont="1" applyBorder="1" applyAlignment="1">
      <alignment horizontal="center" vertical="center"/>
    </xf>
    <xf numFmtId="166" fontId="19" fillId="0" borderId="4" xfId="2" applyNumberFormat="1" applyFont="1" applyFill="1" applyBorder="1"/>
    <xf numFmtId="0" fontId="10" fillId="0" borderId="13" xfId="4" applyFont="1" applyBorder="1" applyAlignment="1">
      <alignment horizontal="center" wrapText="1"/>
    </xf>
    <xf numFmtId="0" fontId="11" fillId="0" borderId="19" xfId="4" applyFont="1" applyBorder="1" applyAlignment="1">
      <alignment horizontal="center" wrapText="1"/>
    </xf>
    <xf numFmtId="0" fontId="11" fillId="0" borderId="67" xfId="4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0" fontId="14" fillId="0" borderId="0" xfId="3" quotePrefix="1" applyFont="1" applyAlignment="1">
      <alignment horizontal="center"/>
    </xf>
    <xf numFmtId="0" fontId="10" fillId="0" borderId="13" xfId="3" applyFont="1" applyBorder="1" applyAlignment="1">
      <alignment horizontal="center" wrapText="1"/>
    </xf>
    <xf numFmtId="0" fontId="10" fillId="0" borderId="2" xfId="3" applyFont="1" applyBorder="1" applyAlignment="1">
      <alignment horizontal="center"/>
    </xf>
    <xf numFmtId="44" fontId="11" fillId="0" borderId="0" xfId="2" applyFont="1" applyBorder="1" applyAlignment="1">
      <alignment horizontal="center"/>
    </xf>
    <xf numFmtId="0" fontId="11" fillId="0" borderId="86" xfId="3" applyFont="1" applyBorder="1"/>
    <xf numFmtId="166" fontId="10" fillId="0" borderId="8" xfId="2" applyNumberFormat="1" applyFont="1" applyFill="1" applyBorder="1"/>
    <xf numFmtId="165" fontId="10" fillId="0" borderId="9" xfId="1" applyNumberFormat="1" applyFont="1" applyFill="1" applyBorder="1"/>
    <xf numFmtId="0" fontId="10" fillId="0" borderId="42" xfId="0" applyFont="1" applyBorder="1" applyAlignment="1">
      <alignment horizontal="center" vertical="justify"/>
    </xf>
    <xf numFmtId="0" fontId="10" fillId="0" borderId="44" xfId="0" applyFont="1" applyBorder="1"/>
    <xf numFmtId="166" fontId="11" fillId="0" borderId="44" xfId="2" applyNumberFormat="1" applyFont="1" applyBorder="1"/>
    <xf numFmtId="17" fontId="10" fillId="0" borderId="13" xfId="0" applyNumberFormat="1" applyFont="1" applyBorder="1" applyAlignment="1">
      <alignment horizontal="centerContinuous" vertical="justify"/>
    </xf>
    <xf numFmtId="166" fontId="11" fillId="0" borderId="70" xfId="2" applyNumberFormat="1" applyFont="1" applyFill="1" applyBorder="1"/>
    <xf numFmtId="165" fontId="11" fillId="0" borderId="69" xfId="19" applyNumberFormat="1" applyFont="1" applyFill="1" applyBorder="1" applyAlignment="1">
      <alignment horizontal="left"/>
    </xf>
    <xf numFmtId="166" fontId="11" fillId="0" borderId="68" xfId="2" applyNumberFormat="1" applyFont="1" applyFill="1" applyBorder="1"/>
    <xf numFmtId="166" fontId="11" fillId="0" borderId="72" xfId="2" applyNumberFormat="1" applyFont="1" applyFill="1" applyBorder="1"/>
    <xf numFmtId="165" fontId="11" fillId="0" borderId="68" xfId="1" applyNumberFormat="1" applyFont="1" applyFill="1" applyBorder="1"/>
    <xf numFmtId="166" fontId="11" fillId="0" borderId="20" xfId="2" applyNumberFormat="1" applyFont="1" applyBorder="1"/>
    <xf numFmtId="166" fontId="11" fillId="0" borderId="21" xfId="2" applyNumberFormat="1" applyFont="1" applyFill="1" applyBorder="1"/>
    <xf numFmtId="166" fontId="11" fillId="0" borderId="24" xfId="2" applyNumberFormat="1" applyFont="1" applyFill="1" applyBorder="1"/>
    <xf numFmtId="170" fontId="11" fillId="0" borderId="19" xfId="5" applyNumberFormat="1" applyFont="1" applyBorder="1"/>
    <xf numFmtId="170" fontId="11" fillId="0" borderId="22" xfId="5" applyNumberFormat="1" applyFont="1" applyBorder="1"/>
    <xf numFmtId="170" fontId="11" fillId="0" borderId="58" xfId="5" applyNumberFormat="1" applyFont="1" applyBorder="1"/>
    <xf numFmtId="170" fontId="11" fillId="0" borderId="76" xfId="5" applyNumberFormat="1" applyFont="1" applyBorder="1"/>
    <xf numFmtId="0" fontId="10" fillId="0" borderId="24" xfId="0" applyFont="1" applyBorder="1"/>
    <xf numFmtId="0" fontId="10" fillId="0" borderId="22" xfId="0" applyFont="1" applyBorder="1" applyAlignment="1">
      <alignment horizontal="center"/>
    </xf>
    <xf numFmtId="166" fontId="11" fillId="0" borderId="22" xfId="2" applyNumberFormat="1" applyFont="1" applyBorder="1"/>
    <xf numFmtId="38" fontId="11" fillId="0" borderId="22" xfId="0" applyNumberFormat="1" applyFont="1" applyBorder="1"/>
    <xf numFmtId="166" fontId="11" fillId="0" borderId="91" xfId="2" applyNumberFormat="1" applyFont="1" applyBorder="1"/>
    <xf numFmtId="166" fontId="11" fillId="0" borderId="60" xfId="2" applyNumberFormat="1" applyFont="1" applyBorder="1"/>
    <xf numFmtId="166" fontId="11" fillId="0" borderId="76" xfId="2" applyNumberFormat="1" applyFont="1" applyBorder="1"/>
    <xf numFmtId="37" fontId="11" fillId="0" borderId="22" xfId="0" applyNumberFormat="1" applyFont="1" applyBorder="1"/>
    <xf numFmtId="37" fontId="11" fillId="0" borderId="76" xfId="0" applyNumberFormat="1" applyFont="1" applyBorder="1"/>
    <xf numFmtId="173" fontId="11" fillId="0" borderId="76" xfId="5" applyNumberFormat="1" applyFont="1" applyFill="1" applyBorder="1"/>
    <xf numFmtId="166" fontId="11" fillId="0" borderId="60" xfId="2" applyNumberFormat="1" applyFont="1" applyFill="1" applyBorder="1"/>
    <xf numFmtId="166" fontId="10" fillId="0" borderId="57" xfId="2" applyNumberFormat="1" applyFont="1" applyBorder="1"/>
    <xf numFmtId="166" fontId="11" fillId="0" borderId="23" xfId="2" applyNumberFormat="1" applyFont="1" applyBorder="1"/>
    <xf numFmtId="170" fontId="11" fillId="0" borderId="22" xfId="5" applyNumberFormat="1" applyFont="1" applyFill="1" applyBorder="1"/>
    <xf numFmtId="170" fontId="11" fillId="0" borderId="96" xfId="5" applyNumberFormat="1" applyFont="1" applyFill="1" applyBorder="1"/>
    <xf numFmtId="166" fontId="10" fillId="0" borderId="18" xfId="2" applyNumberFormat="1" applyFont="1" applyFill="1" applyBorder="1"/>
    <xf numFmtId="174" fontId="10" fillId="0" borderId="22" xfId="0" applyNumberFormat="1" applyFont="1" applyBorder="1" applyAlignment="1">
      <alignment horizontal="center"/>
    </xf>
    <xf numFmtId="165" fontId="11" fillId="0" borderId="29" xfId="1" applyNumberFormat="1" applyFont="1" applyFill="1" applyBorder="1"/>
    <xf numFmtId="165" fontId="11" fillId="0" borderId="28" xfId="1" applyNumberFormat="1" applyFont="1" applyFill="1" applyBorder="1" applyAlignment="1">
      <alignment vertical="center"/>
    </xf>
    <xf numFmtId="40" fontId="11" fillId="0" borderId="28" xfId="0" applyNumberFormat="1" applyFont="1" applyBorder="1"/>
    <xf numFmtId="166" fontId="10" fillId="0" borderId="28" xfId="2" applyNumberFormat="1" applyFont="1" applyFill="1" applyBorder="1"/>
    <xf numFmtId="166" fontId="10" fillId="0" borderId="62" xfId="2" applyNumberFormat="1" applyFont="1" applyBorder="1"/>
    <xf numFmtId="165" fontId="10" fillId="0" borderId="30" xfId="1" applyNumberFormat="1" applyFont="1" applyBorder="1"/>
    <xf numFmtId="165" fontId="10" fillId="0" borderId="29" xfId="1" applyNumberFormat="1" applyFont="1" applyBorder="1"/>
    <xf numFmtId="0" fontId="10" fillId="0" borderId="64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38" xfId="0" applyFont="1" applyBorder="1"/>
    <xf numFmtId="0" fontId="11" fillId="0" borderId="97" xfId="0" applyFont="1" applyBorder="1"/>
    <xf numFmtId="0" fontId="18" fillId="0" borderId="2" xfId="0" applyFont="1" applyBorder="1" applyAlignment="1">
      <alignment horizontal="left" wrapText="1"/>
    </xf>
    <xf numFmtId="0" fontId="11" fillId="0" borderId="28" xfId="0" applyFont="1" applyBorder="1" applyAlignment="1">
      <alignment horizontal="center" wrapText="1"/>
    </xf>
    <xf numFmtId="0" fontId="11" fillId="0" borderId="22" xfId="0" applyFont="1" applyBorder="1" applyAlignment="1">
      <alignment horizontal="center" wrapText="1"/>
    </xf>
    <xf numFmtId="166" fontId="11" fillId="0" borderId="19" xfId="2" applyNumberFormat="1" applyFont="1" applyFill="1" applyBorder="1" applyAlignment="1">
      <alignment horizontal="right"/>
    </xf>
    <xf numFmtId="166" fontId="11" fillId="0" borderId="2" xfId="2" applyNumberFormat="1" applyFont="1" applyFill="1" applyBorder="1" applyAlignment="1">
      <alignment horizontal="right"/>
    </xf>
    <xf numFmtId="166" fontId="11" fillId="0" borderId="22" xfId="2" applyNumberFormat="1" applyFont="1" applyFill="1" applyBorder="1" applyAlignment="1">
      <alignment horizontal="right"/>
    </xf>
    <xf numFmtId="166" fontId="11" fillId="0" borderId="0" xfId="2" applyNumberFormat="1" applyFont="1" applyFill="1" applyBorder="1" applyAlignment="1">
      <alignment horizontal="right"/>
    </xf>
    <xf numFmtId="166" fontId="11" fillId="0" borderId="28" xfId="2" applyNumberFormat="1" applyFont="1" applyFill="1" applyBorder="1" applyAlignment="1">
      <alignment horizontal="right"/>
    </xf>
    <xf numFmtId="10" fontId="11" fillId="0" borderId="3" xfId="5" applyNumberFormat="1" applyFont="1" applyBorder="1"/>
    <xf numFmtId="44" fontId="11" fillId="0" borderId="2" xfId="2" applyFont="1" applyFill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11" fillId="0" borderId="0" xfId="0" applyFont="1" applyAlignment="1">
      <alignment horizontal="left" wrapText="1"/>
    </xf>
    <xf numFmtId="166" fontId="10" fillId="0" borderId="2" xfId="2" applyNumberFormat="1" applyFont="1" applyFill="1" applyBorder="1" applyAlignment="1">
      <alignment horizontal="center"/>
    </xf>
    <xf numFmtId="166" fontId="10" fillId="0" borderId="2" xfId="0" applyNumberFormat="1" applyFont="1" applyBorder="1" applyAlignment="1">
      <alignment horizontal="center"/>
    </xf>
    <xf numFmtId="10" fontId="10" fillId="0" borderId="3" xfId="5" applyNumberFormat="1" applyFont="1" applyFill="1" applyBorder="1"/>
    <xf numFmtId="10" fontId="10" fillId="0" borderId="1" xfId="5" applyNumberFormat="1" applyFont="1" applyFill="1" applyBorder="1"/>
    <xf numFmtId="166" fontId="10" fillId="0" borderId="4" xfId="0" applyNumberFormat="1" applyFont="1" applyBorder="1" applyAlignment="1">
      <alignment horizontal="center"/>
    </xf>
    <xf numFmtId="166" fontId="10" fillId="0" borderId="4" xfId="5" applyNumberFormat="1" applyFont="1" applyFill="1" applyBorder="1"/>
    <xf numFmtId="0" fontId="9" fillId="0" borderId="12" xfId="0" applyFont="1" applyBorder="1" applyAlignment="1">
      <alignment horizontal="left"/>
    </xf>
    <xf numFmtId="0" fontId="9" fillId="0" borderId="13" xfId="0" applyFont="1" applyBorder="1"/>
    <xf numFmtId="0" fontId="9" fillId="0" borderId="12" xfId="0" applyFont="1" applyBorder="1" applyAlignment="1">
      <alignment horizontal="center"/>
    </xf>
    <xf numFmtId="0" fontId="10" fillId="0" borderId="0" xfId="20" applyFont="1" applyAlignment="1">
      <alignment horizontal="left" vertical="top" wrapText="1"/>
    </xf>
    <xf numFmtId="165" fontId="11" fillId="0" borderId="0" xfId="21" applyNumberFormat="1" applyFont="1" applyBorder="1" applyAlignment="1">
      <alignment vertical="top"/>
    </xf>
    <xf numFmtId="165" fontId="11" fillId="0" borderId="0" xfId="21" applyNumberFormat="1" applyFont="1" applyBorder="1" applyAlignment="1">
      <alignment horizontal="center" vertical="top"/>
    </xf>
    <xf numFmtId="165" fontId="11" fillId="0" borderId="7" xfId="21" applyNumberFormat="1" applyFont="1" applyBorder="1" applyAlignment="1">
      <alignment vertical="top"/>
    </xf>
    <xf numFmtId="0" fontId="12" fillId="0" borderId="19" xfId="0" applyFont="1" applyBorder="1" applyAlignment="1">
      <alignment horizontal="left"/>
    </xf>
    <xf numFmtId="165" fontId="11" fillId="0" borderId="8" xfId="1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38" fillId="0" borderId="0" xfId="0" applyFont="1" applyAlignment="1">
      <alignment wrapText="1"/>
    </xf>
    <xf numFmtId="0" fontId="39" fillId="0" borderId="0" xfId="0" applyFont="1"/>
    <xf numFmtId="0" fontId="38" fillId="0" borderId="0" xfId="0" applyFont="1"/>
    <xf numFmtId="0" fontId="10" fillId="0" borderId="2" xfId="0" applyFont="1" applyBorder="1" applyAlignment="1">
      <alignment horizontal="right"/>
    </xf>
    <xf numFmtId="41" fontId="10" fillId="0" borderId="8" xfId="0" applyNumberFormat="1" applyFont="1" applyBorder="1"/>
    <xf numFmtId="41" fontId="11" fillId="0" borderId="18" xfId="0" applyNumberFormat="1" applyFont="1" applyBorder="1"/>
    <xf numFmtId="0" fontId="18" fillId="0" borderId="0" xfId="14" applyFont="1"/>
    <xf numFmtId="0" fontId="10" fillId="0" borderId="12" xfId="14" applyFont="1" applyBorder="1" applyAlignment="1">
      <alignment horizontal="center"/>
    </xf>
    <xf numFmtId="0" fontId="19" fillId="0" borderId="89" xfId="14" applyFont="1" applyBorder="1" applyAlignment="1">
      <alignment horizontal="center"/>
    </xf>
    <xf numFmtId="0" fontId="19" fillId="0" borderId="47" xfId="14" applyFont="1" applyBorder="1" applyAlignment="1">
      <alignment horizontal="center"/>
    </xf>
    <xf numFmtId="0" fontId="19" fillId="0" borderId="90" xfId="14" applyFont="1" applyBorder="1" applyAlignment="1">
      <alignment horizontal="center"/>
    </xf>
    <xf numFmtId="0" fontId="19" fillId="0" borderId="79" xfId="14" applyFont="1" applyBorder="1" applyAlignment="1">
      <alignment horizontal="center"/>
    </xf>
    <xf numFmtId="0" fontId="19" fillId="0" borderId="0" xfId="14" applyFont="1"/>
    <xf numFmtId="0" fontId="19" fillId="0" borderId="0" xfId="14" applyFont="1" applyAlignment="1">
      <alignment horizontal="center" vertical="top" wrapText="1"/>
    </xf>
    <xf numFmtId="165" fontId="9" fillId="0" borderId="0" xfId="15" applyNumberFormat="1" applyFont="1" applyBorder="1" applyAlignment="1">
      <alignment vertical="top"/>
    </xf>
    <xf numFmtId="165" fontId="19" fillId="0" borderId="0" xfId="15" applyNumberFormat="1" applyFont="1" applyBorder="1" applyAlignment="1">
      <alignment vertical="top"/>
    </xf>
    <xf numFmtId="179" fontId="18" fillId="0" borderId="7" xfId="14" applyNumberFormat="1" applyFont="1" applyBorder="1"/>
    <xf numFmtId="179" fontId="18" fillId="0" borderId="0" xfId="14" applyNumberFormat="1" applyFont="1"/>
    <xf numFmtId="165" fontId="19" fillId="0" borderId="17" xfId="1" applyNumberFormat="1" applyFont="1" applyFill="1" applyBorder="1"/>
    <xf numFmtId="0" fontId="19" fillId="0" borderId="0" xfId="14" applyFont="1" applyAlignment="1">
      <alignment horizontal="center"/>
    </xf>
    <xf numFmtId="174" fontId="10" fillId="0" borderId="28" xfId="0" applyNumberFormat="1" applyFont="1" applyBorder="1" applyAlignment="1">
      <alignment horizontal="right"/>
    </xf>
    <xf numFmtId="0" fontId="7" fillId="0" borderId="0" xfId="0" applyFont="1" applyAlignment="1">
      <alignment vertical="top"/>
    </xf>
    <xf numFmtId="0" fontId="10" fillId="0" borderId="2" xfId="3" applyFont="1" applyBorder="1" applyAlignment="1">
      <alignment horizontal="right"/>
    </xf>
    <xf numFmtId="0" fontId="10" fillId="0" borderId="0" xfId="3" applyFont="1"/>
    <xf numFmtId="169" fontId="10" fillId="0" borderId="32" xfId="5" applyNumberFormat="1" applyFont="1" applyBorder="1" applyAlignment="1">
      <alignment horizontal="center"/>
    </xf>
    <xf numFmtId="0" fontId="10" fillId="0" borderId="12" xfId="0" applyFont="1" applyBorder="1" applyAlignment="1">
      <alignment horizontal="right"/>
    </xf>
    <xf numFmtId="0" fontId="10" fillId="0" borderId="42" xfId="3" applyFont="1" applyBorder="1" applyAlignment="1">
      <alignment horizontal="right"/>
    </xf>
    <xf numFmtId="0" fontId="10" fillId="0" borderId="8" xfId="3" applyFont="1" applyBorder="1" applyAlignment="1">
      <alignment horizontal="right"/>
    </xf>
    <xf numFmtId="166" fontId="10" fillId="0" borderId="2" xfId="2" applyNumberFormat="1" applyFont="1" applyBorder="1" applyAlignment="1">
      <alignment horizontal="center"/>
    </xf>
    <xf numFmtId="0" fontId="10" fillId="0" borderId="0" xfId="0" applyFont="1" applyAlignment="1">
      <alignment horizontal="right"/>
    </xf>
    <xf numFmtId="0" fontId="8" fillId="0" borderId="2" xfId="0" applyFont="1" applyBorder="1" applyAlignment="1">
      <alignment horizontal="left"/>
    </xf>
    <xf numFmtId="0" fontId="8" fillId="0" borderId="2" xfId="0" applyFont="1" applyBorder="1"/>
    <xf numFmtId="0" fontId="8" fillId="0" borderId="13" xfId="0" applyFont="1" applyBorder="1"/>
    <xf numFmtId="166" fontId="10" fillId="0" borderId="61" xfId="2" applyNumberFormat="1" applyFont="1" applyBorder="1" applyAlignment="1">
      <alignment horizontal="right"/>
    </xf>
    <xf numFmtId="166" fontId="10" fillId="0" borderId="0" xfId="2" applyNumberFormat="1" applyFont="1" applyBorder="1" applyAlignment="1">
      <alignment horizontal="right"/>
    </xf>
    <xf numFmtId="166" fontId="25" fillId="0" borderId="0" xfId="0" applyNumberFormat="1" applyFont="1" applyAlignment="1">
      <alignment horizontal="right"/>
    </xf>
    <xf numFmtId="0" fontId="8" fillId="0" borderId="0" xfId="0" applyFont="1"/>
    <xf numFmtId="0" fontId="10" fillId="0" borderId="28" xfId="0" applyFont="1" applyBorder="1" applyAlignment="1">
      <alignment horizontal="right"/>
    </xf>
    <xf numFmtId="177" fontId="11" fillId="0" borderId="76" xfId="2" applyNumberFormat="1" applyFont="1" applyFill="1" applyBorder="1"/>
    <xf numFmtId="170" fontId="11" fillId="0" borderId="19" xfId="5" applyNumberFormat="1" applyFont="1" applyFill="1" applyBorder="1"/>
    <xf numFmtId="170" fontId="11" fillId="0" borderId="58" xfId="5" applyNumberFormat="1" applyFont="1" applyFill="1" applyBorder="1"/>
    <xf numFmtId="175" fontId="11" fillId="0" borderId="35" xfId="1" applyNumberFormat="1" applyFont="1" applyBorder="1"/>
    <xf numFmtId="10" fontId="11" fillId="0" borderId="8" xfId="5" applyNumberFormat="1" applyFont="1" applyFill="1" applyBorder="1"/>
    <xf numFmtId="0" fontId="11" fillId="0" borderId="34" xfId="0" applyFont="1" applyBorder="1"/>
    <xf numFmtId="0" fontId="7" fillId="0" borderId="9" xfId="0" applyFont="1" applyBorder="1"/>
    <xf numFmtId="10" fontId="11" fillId="0" borderId="35" xfId="5" applyNumberFormat="1" applyFont="1" applyBorder="1"/>
    <xf numFmtId="10" fontId="11" fillId="0" borderId="68" xfId="5" applyNumberFormat="1" applyFont="1" applyFill="1" applyBorder="1"/>
    <xf numFmtId="10" fontId="11" fillId="0" borderId="6" xfId="5" applyNumberFormat="1" applyFont="1" applyBorder="1"/>
    <xf numFmtId="10" fontId="11" fillId="0" borderId="69" xfId="5" applyNumberFormat="1" applyFont="1" applyBorder="1"/>
    <xf numFmtId="10" fontId="11" fillId="0" borderId="68" xfId="5" applyNumberFormat="1" applyFont="1" applyBorder="1"/>
    <xf numFmtId="0" fontId="7" fillId="0" borderId="28" xfId="0" applyFont="1" applyBorder="1"/>
    <xf numFmtId="0" fontId="7" fillId="0" borderId="45" xfId="0" applyFont="1" applyBorder="1"/>
    <xf numFmtId="0" fontId="7" fillId="0" borderId="29" xfId="0" applyFont="1" applyBorder="1"/>
    <xf numFmtId="0" fontId="11" fillId="0" borderId="0" xfId="0" applyFont="1" applyAlignment="1">
      <alignment horizontal="right"/>
    </xf>
    <xf numFmtId="17" fontId="10" fillId="0" borderId="2" xfId="0" applyNumberFormat="1" applyFont="1" applyBorder="1" applyAlignment="1">
      <alignment horizontal="right"/>
    </xf>
    <xf numFmtId="17" fontId="10" fillId="0" borderId="9" xfId="0" applyNumberFormat="1" applyFont="1" applyBorder="1" applyAlignment="1">
      <alignment horizontal="right"/>
    </xf>
    <xf numFmtId="0" fontId="10" fillId="0" borderId="21" xfId="0" applyFont="1" applyBorder="1"/>
    <xf numFmtId="3" fontId="10" fillId="0" borderId="19" xfId="0" applyNumberFormat="1" applyFont="1" applyBorder="1" applyAlignment="1">
      <alignment horizontal="left"/>
    </xf>
    <xf numFmtId="3" fontId="10" fillId="0" borderId="93" xfId="0" applyNumberFormat="1" applyFont="1" applyBorder="1" applyAlignment="1">
      <alignment horizontal="left"/>
    </xf>
    <xf numFmtId="0" fontId="10" fillId="0" borderId="8" xfId="0" applyFont="1" applyBorder="1"/>
    <xf numFmtId="166" fontId="10" fillId="0" borderId="8" xfId="0" applyNumberFormat="1" applyFont="1" applyBorder="1"/>
    <xf numFmtId="0" fontId="10" fillId="0" borderId="52" xfId="0" applyFont="1" applyBorder="1"/>
    <xf numFmtId="0" fontId="10" fillId="0" borderId="8" xfId="0" applyFont="1" applyBorder="1" applyAlignment="1">
      <alignment horizontal="left"/>
    </xf>
    <xf numFmtId="165" fontId="10" fillId="0" borderId="13" xfId="1" applyNumberFormat="1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Continuous" vertical="justify"/>
    </xf>
    <xf numFmtId="17" fontId="10" fillId="0" borderId="44" xfId="0" applyNumberFormat="1" applyFont="1" applyBorder="1" applyAlignment="1">
      <alignment horizontal="centerContinuous" vertical="justify"/>
    </xf>
    <xf numFmtId="0" fontId="40" fillId="0" borderId="0" xfId="20" applyFont="1"/>
    <xf numFmtId="0" fontId="10" fillId="0" borderId="0" xfId="20" applyFont="1" applyAlignment="1">
      <alignment horizontal="center"/>
    </xf>
    <xf numFmtId="0" fontId="10" fillId="0" borderId="12" xfId="20" applyFont="1" applyBorder="1" applyAlignment="1">
      <alignment horizontal="center"/>
    </xf>
    <xf numFmtId="0" fontId="11" fillId="0" borderId="0" xfId="20" applyFont="1" applyAlignment="1">
      <alignment horizontal="center"/>
    </xf>
    <xf numFmtId="0" fontId="41" fillId="0" borderId="0" xfId="20" applyFont="1"/>
    <xf numFmtId="0" fontId="11" fillId="0" borderId="0" xfId="20" applyFont="1"/>
    <xf numFmtId="179" fontId="11" fillId="0" borderId="7" xfId="20" applyNumberFormat="1" applyFont="1" applyBorder="1"/>
    <xf numFmtId="179" fontId="11" fillId="0" borderId="0" xfId="20" applyNumberFormat="1" applyFont="1" applyAlignment="1">
      <alignment horizontal="center"/>
    </xf>
    <xf numFmtId="179" fontId="11" fillId="0" borderId="0" xfId="20" applyNumberFormat="1" applyFont="1"/>
    <xf numFmtId="0" fontId="40" fillId="0" borderId="0" xfId="20" applyFont="1" applyAlignment="1">
      <alignment horizontal="left"/>
    </xf>
    <xf numFmtId="0" fontId="11" fillId="0" borderId="7" xfId="20" applyFont="1" applyBorder="1" applyAlignment="1">
      <alignment horizontal="center"/>
    </xf>
    <xf numFmtId="165" fontId="10" fillId="0" borderId="7" xfId="1" applyNumberFormat="1" applyFont="1" applyBorder="1"/>
    <xf numFmtId="0" fontId="11" fillId="0" borderId="0" xfId="20" applyFont="1" applyAlignment="1">
      <alignment horizontal="left"/>
    </xf>
    <xf numFmtId="165" fontId="11" fillId="0" borderId="7" xfId="1" applyNumberFormat="1" applyFont="1" applyBorder="1" applyAlignment="1">
      <alignment horizontal="center"/>
    </xf>
    <xf numFmtId="0" fontId="11" fillId="0" borderId="7" xfId="20" applyFont="1" applyBorder="1"/>
    <xf numFmtId="0" fontId="11" fillId="0" borderId="22" xfId="0" applyFont="1" applyBorder="1" applyAlignment="1">
      <alignment horizontal="center" vertical="top"/>
    </xf>
    <xf numFmtId="166" fontId="10" fillId="0" borderId="28" xfId="2" applyNumberFormat="1" applyFont="1" applyFill="1" applyBorder="1" applyAlignment="1">
      <alignment vertical="top"/>
    </xf>
    <xf numFmtId="0" fontId="19" fillId="0" borderId="79" xfId="14" applyFont="1" applyBorder="1" applyAlignment="1">
      <alignment horizontal="center" vertical="center" wrapText="1"/>
    </xf>
    <xf numFmtId="165" fontId="9" fillId="0" borderId="77" xfId="15" applyNumberFormat="1" applyFont="1" applyBorder="1" applyAlignment="1">
      <alignment vertical="center"/>
    </xf>
    <xf numFmtId="165" fontId="19" fillId="0" borderId="29" xfId="15" applyNumberFormat="1" applyFont="1" applyBorder="1" applyAlignment="1">
      <alignment vertical="center"/>
    </xf>
    <xf numFmtId="166" fontId="11" fillId="0" borderId="80" xfId="0" applyNumberFormat="1" applyFont="1" applyBorder="1"/>
    <xf numFmtId="166" fontId="11" fillId="0" borderId="3" xfId="0" applyNumberFormat="1" applyFont="1" applyBorder="1"/>
    <xf numFmtId="166" fontId="11" fillId="0" borderId="0" xfId="0" applyNumberFormat="1" applyFont="1" applyAlignment="1">
      <alignment horizontal="right"/>
    </xf>
    <xf numFmtId="165" fontId="11" fillId="0" borderId="22" xfId="1" applyNumberFormat="1" applyFont="1" applyFill="1" applyBorder="1" applyAlignment="1">
      <alignment horizontal="right"/>
    </xf>
    <xf numFmtId="173" fontId="11" fillId="0" borderId="0" xfId="5" applyNumberFormat="1" applyFont="1"/>
    <xf numFmtId="173" fontId="11" fillId="0" borderId="0" xfId="0" applyNumberFormat="1" applyFont="1"/>
    <xf numFmtId="0" fontId="10" fillId="0" borderId="25" xfId="0" applyFont="1" applyBorder="1" applyAlignment="1">
      <alignment horizontal="center" wrapText="1"/>
    </xf>
    <xf numFmtId="0" fontId="17" fillId="0" borderId="12" xfId="0" applyFont="1" applyBorder="1"/>
    <xf numFmtId="0" fontId="11" fillId="0" borderId="76" xfId="0" applyFont="1" applyBorder="1" applyAlignment="1">
      <alignment horizontal="center"/>
    </xf>
    <xf numFmtId="166" fontId="11" fillId="0" borderId="19" xfId="2" applyNumberFormat="1" applyFont="1" applyBorder="1"/>
    <xf numFmtId="170" fontId="10" fillId="0" borderId="55" xfId="0" applyNumberFormat="1" applyFont="1" applyBorder="1"/>
    <xf numFmtId="0" fontId="11" fillId="0" borderId="91" xfId="0" applyFont="1" applyBorder="1"/>
    <xf numFmtId="10" fontId="11" fillId="0" borderId="22" xfId="5" applyNumberFormat="1" applyFont="1" applyBorder="1"/>
    <xf numFmtId="10" fontId="11" fillId="0" borderId="76" xfId="5" applyNumberFormat="1" applyFont="1" applyBorder="1"/>
    <xf numFmtId="10" fontId="11" fillId="0" borderId="96" xfId="0" applyNumberFormat="1" applyFont="1" applyBorder="1"/>
    <xf numFmtId="166" fontId="11" fillId="0" borderId="12" xfId="2" applyNumberFormat="1" applyFont="1" applyBorder="1"/>
    <xf numFmtId="38" fontId="11" fillId="0" borderId="0" xfId="0" applyNumberFormat="1" applyFont="1"/>
    <xf numFmtId="168" fontId="11" fillId="0" borderId="7" xfId="2" applyNumberFormat="1" applyFont="1" applyFill="1" applyBorder="1"/>
    <xf numFmtId="166" fontId="11" fillId="0" borderId="15" xfId="2" applyNumberFormat="1" applyFont="1" applyBorder="1"/>
    <xf numFmtId="166" fontId="11" fillId="0" borderId="98" xfId="2" applyNumberFormat="1" applyFont="1" applyBorder="1"/>
    <xf numFmtId="166" fontId="11" fillId="0" borderId="7" xfId="2" applyNumberFormat="1" applyFont="1" applyBorder="1"/>
    <xf numFmtId="37" fontId="11" fillId="0" borderId="0" xfId="0" applyNumberFormat="1" applyFont="1"/>
    <xf numFmtId="37" fontId="11" fillId="0" borderId="7" xfId="0" applyNumberFormat="1" applyFont="1" applyBorder="1"/>
    <xf numFmtId="166" fontId="11" fillId="0" borderId="43" xfId="2" applyNumberFormat="1" applyFont="1" applyBorder="1"/>
    <xf numFmtId="181" fontId="11" fillId="0" borderId="0" xfId="0" applyNumberFormat="1" applyFont="1"/>
    <xf numFmtId="181" fontId="11" fillId="0" borderId="7" xfId="5" applyNumberFormat="1" applyFont="1" applyBorder="1"/>
    <xf numFmtId="181" fontId="11" fillId="0" borderId="83" xfId="0" applyNumberFormat="1" applyFont="1" applyBorder="1"/>
    <xf numFmtId="0" fontId="7" fillId="0" borderId="22" xfId="0" applyFont="1" applyBorder="1"/>
    <xf numFmtId="0" fontId="7" fillId="0" borderId="23" xfId="0" applyFont="1" applyBorder="1"/>
    <xf numFmtId="166" fontId="18" fillId="0" borderId="28" xfId="2" applyNumberFormat="1" applyFont="1" applyBorder="1" applyAlignment="1">
      <alignment horizontal="center"/>
    </xf>
    <xf numFmtId="38" fontId="18" fillId="0" borderId="28" xfId="0" applyNumberFormat="1" applyFont="1" applyBorder="1" applyAlignment="1">
      <alignment horizontal="center"/>
    </xf>
    <xf numFmtId="168" fontId="18" fillId="0" borderId="28" xfId="2" applyNumberFormat="1" applyFont="1" applyBorder="1" applyAlignment="1">
      <alignment horizontal="center" wrapText="1"/>
    </xf>
    <xf numFmtId="37" fontId="18" fillId="0" borderId="28" xfId="0" applyNumberFormat="1" applyFont="1" applyBorder="1" applyAlignment="1">
      <alignment horizontal="center"/>
    </xf>
    <xf numFmtId="165" fontId="11" fillId="0" borderId="6" xfId="19" applyNumberFormat="1" applyFont="1" applyFill="1" applyBorder="1" applyAlignment="1">
      <alignment horizontal="left"/>
    </xf>
    <xf numFmtId="164" fontId="11" fillId="0" borderId="13" xfId="0" applyNumberFormat="1" applyFont="1" applyBorder="1"/>
    <xf numFmtId="0" fontId="8" fillId="0" borderId="0" xfId="1" applyNumberFormat="1" applyFont="1" applyFill="1" applyBorder="1" applyAlignment="1">
      <alignment horizontal="left"/>
    </xf>
    <xf numFmtId="43" fontId="11" fillId="0" borderId="0" xfId="1" applyFont="1" applyFill="1" applyBorder="1"/>
    <xf numFmtId="170" fontId="10" fillId="0" borderId="54" xfId="0" applyNumberFormat="1" applyFont="1" applyBorder="1"/>
    <xf numFmtId="166" fontId="11" fillId="0" borderId="8" xfId="1" applyNumberFormat="1" applyFont="1" applyBorder="1"/>
    <xf numFmtId="166" fontId="11" fillId="0" borderId="2" xfId="1" applyNumberFormat="1" applyFont="1" applyBorder="1"/>
    <xf numFmtId="166" fontId="11" fillId="0" borderId="6" xfId="1" applyNumberFormat="1" applyFont="1" applyFill="1" applyBorder="1"/>
    <xf numFmtId="166" fontId="11" fillId="0" borderId="3" xfId="1" applyNumberFormat="1" applyFont="1" applyFill="1" applyBorder="1"/>
    <xf numFmtId="166" fontId="11" fillId="0" borderId="6" xfId="1" applyNumberFormat="1" applyFont="1" applyBorder="1"/>
    <xf numFmtId="166" fontId="11" fillId="0" borderId="3" xfId="1" applyNumberFormat="1" applyFont="1" applyBorder="1"/>
    <xf numFmtId="0" fontId="13" fillId="0" borderId="0" xfId="0" applyFont="1" applyAlignment="1">
      <alignment wrapText="1"/>
    </xf>
    <xf numFmtId="0" fontId="11" fillId="0" borderId="0" xfId="0" applyFont="1" applyAlignment="1">
      <alignment vertical="top" wrapText="1"/>
    </xf>
    <xf numFmtId="174" fontId="11" fillId="0" borderId="0" xfId="0" applyNumberFormat="1" applyFont="1" applyAlignment="1">
      <alignment horizontal="left"/>
    </xf>
    <xf numFmtId="174" fontId="43" fillId="0" borderId="0" xfId="0" applyNumberFormat="1" applyFont="1" applyAlignment="1">
      <alignment horizontal="right"/>
    </xf>
    <xf numFmtId="0" fontId="17" fillId="0" borderId="19" xfId="0" applyFont="1" applyBorder="1"/>
    <xf numFmtId="0" fontId="11" fillId="0" borderId="28" xfId="0" applyFont="1" applyBorder="1" applyAlignment="1">
      <alignment horizontal="center" vertical="top"/>
    </xf>
    <xf numFmtId="0" fontId="11" fillId="0" borderId="19" xfId="0" applyFont="1" applyBorder="1" applyAlignment="1">
      <alignment vertical="top" wrapText="1"/>
    </xf>
    <xf numFmtId="0" fontId="14" fillId="0" borderId="0" xfId="0" applyFont="1" applyAlignment="1">
      <alignment horizontal="center" vertical="top"/>
    </xf>
    <xf numFmtId="0" fontId="42" fillId="0" borderId="0" xfId="0" quotePrefix="1" applyFont="1"/>
    <xf numFmtId="0" fontId="11" fillId="0" borderId="0" xfId="0" applyFont="1" applyAlignment="1">
      <alignment horizontal="left" vertical="top" wrapText="1"/>
    </xf>
    <xf numFmtId="0" fontId="8" fillId="0" borderId="0" xfId="1" applyNumberFormat="1" applyFont="1" applyFill="1" applyBorder="1" applyAlignment="1">
      <alignment horizontal="right"/>
    </xf>
    <xf numFmtId="44" fontId="11" fillId="0" borderId="0" xfId="2" applyFont="1" applyFill="1"/>
    <xf numFmtId="44" fontId="11" fillId="0" borderId="0" xfId="2" applyFont="1" applyBorder="1"/>
    <xf numFmtId="44" fontId="11" fillId="0" borderId="0" xfId="1" applyNumberFormat="1" applyFont="1" applyFill="1"/>
    <xf numFmtId="44" fontId="11" fillId="0" borderId="54" xfId="2" applyFont="1" applyFill="1" applyBorder="1"/>
    <xf numFmtId="0" fontId="18" fillId="0" borderId="8" xfId="0" applyFont="1" applyBorder="1" applyAlignment="1">
      <alignment horizontal="center" wrapText="1"/>
    </xf>
    <xf numFmtId="0" fontId="18" fillId="0" borderId="9" xfId="0" applyFont="1" applyBorder="1" applyAlignment="1">
      <alignment horizontal="left"/>
    </xf>
    <xf numFmtId="165" fontId="11" fillId="0" borderId="19" xfId="1" applyNumberFormat="1" applyFont="1" applyFill="1" applyBorder="1" applyAlignment="1">
      <alignment horizontal="right"/>
    </xf>
    <xf numFmtId="165" fontId="11" fillId="0" borderId="0" xfId="1" applyNumberFormat="1" applyFont="1" applyFill="1" applyBorder="1" applyAlignment="1">
      <alignment horizontal="right"/>
    </xf>
    <xf numFmtId="43" fontId="11" fillId="0" borderId="22" xfId="1" applyFont="1" applyFill="1" applyBorder="1" applyAlignment="1">
      <alignment horizontal="right"/>
    </xf>
    <xf numFmtId="168" fontId="10" fillId="0" borderId="50" xfId="2" applyNumberFormat="1" applyFont="1" applyBorder="1"/>
    <xf numFmtId="44" fontId="11" fillId="0" borderId="0" xfId="2" applyFont="1" applyFill="1" applyBorder="1"/>
    <xf numFmtId="166" fontId="11" fillId="0" borderId="39" xfId="2" applyNumberFormat="1" applyFont="1" applyFill="1" applyBorder="1"/>
    <xf numFmtId="40" fontId="11" fillId="0" borderId="79" xfId="0" applyNumberFormat="1" applyFont="1" applyBorder="1"/>
    <xf numFmtId="40" fontId="11" fillId="0" borderId="39" xfId="0" applyNumberFormat="1" applyFont="1" applyBorder="1"/>
    <xf numFmtId="165" fontId="10" fillId="0" borderId="29" xfId="1" applyNumberFormat="1" applyFont="1" applyFill="1" applyBorder="1"/>
    <xf numFmtId="165" fontId="11" fillId="0" borderId="28" xfId="1" applyNumberFormat="1" applyFont="1" applyFill="1" applyBorder="1" applyAlignment="1">
      <alignment horizontal="center" vertical="center"/>
    </xf>
    <xf numFmtId="166" fontId="10" fillId="0" borderId="62" xfId="2" applyNumberFormat="1" applyFont="1" applyFill="1" applyBorder="1"/>
    <xf numFmtId="165" fontId="11" fillId="0" borderId="29" xfId="1" applyNumberFormat="1" applyFont="1" applyBorder="1"/>
    <xf numFmtId="0" fontId="11" fillId="5" borderId="25" xfId="0" applyFont="1" applyFill="1" applyBorder="1" applyAlignment="1">
      <alignment horizontal="center" wrapText="1"/>
    </xf>
    <xf numFmtId="0" fontId="10" fillId="5" borderId="79" xfId="0" applyFont="1" applyFill="1" applyBorder="1" applyAlignment="1">
      <alignment horizontal="center" wrapText="1"/>
    </xf>
    <xf numFmtId="174" fontId="10" fillId="5" borderId="79" xfId="0" applyNumberFormat="1" applyFont="1" applyFill="1" applyBorder="1" applyAlignment="1">
      <alignment horizontal="center"/>
    </xf>
    <xf numFmtId="174" fontId="10" fillId="5" borderId="29" xfId="0" applyNumberFormat="1" applyFont="1" applyFill="1" applyBorder="1" applyAlignment="1">
      <alignment horizontal="center"/>
    </xf>
    <xf numFmtId="17" fontId="11" fillId="0" borderId="3" xfId="0" applyNumberFormat="1" applyFont="1" applyBorder="1" applyAlignment="1">
      <alignment horizontal="center"/>
    </xf>
    <xf numFmtId="43" fontId="11" fillId="0" borderId="22" xfId="1" applyFont="1" applyBorder="1" applyAlignment="1">
      <alignment horizontal="right"/>
    </xf>
    <xf numFmtId="165" fontId="11" fillId="0" borderId="12" xfId="1" applyNumberFormat="1" applyFont="1" applyFill="1" applyBorder="1"/>
    <xf numFmtId="0" fontId="10" fillId="0" borderId="0" xfId="0" quotePrefix="1" applyFont="1"/>
    <xf numFmtId="0" fontId="10" fillId="0" borderId="0" xfId="0" quotePrefix="1" applyFont="1" applyAlignment="1">
      <alignment horizontal="right"/>
    </xf>
    <xf numFmtId="43" fontId="11" fillId="0" borderId="0" xfId="1" applyFont="1" applyAlignment="1">
      <alignment horizontal="right"/>
    </xf>
    <xf numFmtId="165" fontId="11" fillId="0" borderId="54" xfId="1" applyNumberFormat="1" applyFont="1" applyBorder="1" applyAlignment="1">
      <alignment horizontal="right"/>
    </xf>
    <xf numFmtId="165" fontId="11" fillId="0" borderId="17" xfId="1" applyNumberFormat="1" applyFont="1" applyBorder="1" applyAlignment="1">
      <alignment horizontal="right"/>
    </xf>
    <xf numFmtId="165" fontId="11" fillId="0" borderId="54" xfId="1" applyNumberFormat="1" applyFont="1" applyBorder="1"/>
    <xf numFmtId="165" fontId="11" fillId="0" borderId="0" xfId="1" applyNumberFormat="1" applyFont="1" applyAlignment="1">
      <alignment horizontal="right"/>
    </xf>
    <xf numFmtId="165" fontId="11" fillId="0" borderId="62" xfId="1" applyNumberFormat="1" applyFont="1" applyFill="1" applyBorder="1"/>
    <xf numFmtId="0" fontId="10" fillId="5" borderId="25" xfId="0" applyFont="1" applyFill="1" applyBorder="1" applyAlignment="1">
      <alignment horizontal="center" wrapText="1"/>
    </xf>
    <xf numFmtId="0" fontId="11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top"/>
    </xf>
    <xf numFmtId="174" fontId="10" fillId="5" borderId="12" xfId="0" applyNumberFormat="1" applyFont="1" applyFill="1" applyBorder="1" applyAlignment="1">
      <alignment horizontal="center"/>
    </xf>
    <xf numFmtId="165" fontId="11" fillId="0" borderId="0" xfId="1" applyNumberFormat="1" applyFont="1" applyFill="1" applyBorder="1" applyAlignment="1">
      <alignment vertical="center"/>
    </xf>
    <xf numFmtId="174" fontId="10" fillId="5" borderId="27" xfId="0" applyNumberFormat="1" applyFont="1" applyFill="1" applyBorder="1" applyAlignment="1">
      <alignment horizontal="center"/>
    </xf>
    <xf numFmtId="40" fontId="11" fillId="0" borderId="27" xfId="0" applyNumberFormat="1" applyFont="1" applyBorder="1"/>
    <xf numFmtId="166" fontId="10" fillId="0" borderId="0" xfId="2" applyNumberFormat="1" applyFont="1" applyFill="1" applyBorder="1"/>
    <xf numFmtId="166" fontId="10" fillId="0" borderId="7" xfId="2" applyNumberFormat="1" applyFont="1" applyBorder="1"/>
    <xf numFmtId="165" fontId="10" fillId="0" borderId="12" xfId="1" applyNumberFormat="1" applyFont="1" applyBorder="1"/>
    <xf numFmtId="40" fontId="11" fillId="0" borderId="43" xfId="0" applyNumberFormat="1" applyFont="1" applyBorder="1"/>
    <xf numFmtId="165" fontId="11" fillId="0" borderId="12" xfId="1" applyNumberFormat="1" applyFont="1" applyBorder="1"/>
    <xf numFmtId="43" fontId="11" fillId="0" borderId="0" xfId="1" applyFont="1" applyFill="1"/>
    <xf numFmtId="43" fontId="7" fillId="0" borderId="0" xfId="0" applyNumberFormat="1" applyFont="1"/>
    <xf numFmtId="43" fontId="11" fillId="0" borderId="28" xfId="1" applyFont="1" applyFill="1" applyBorder="1"/>
    <xf numFmtId="165" fontId="10" fillId="5" borderId="27" xfId="0" applyNumberFormat="1" applyFont="1" applyFill="1" applyBorder="1" applyAlignment="1">
      <alignment horizontal="center"/>
    </xf>
    <xf numFmtId="0" fontId="11" fillId="0" borderId="39" xfId="0" quotePrefix="1" applyFont="1" applyBorder="1" applyAlignment="1">
      <alignment horizontal="center"/>
    </xf>
    <xf numFmtId="0" fontId="21" fillId="5" borderId="79" xfId="0" applyFont="1" applyFill="1" applyBorder="1" applyAlignment="1">
      <alignment horizontal="left" vertical="top"/>
    </xf>
    <xf numFmtId="0" fontId="11" fillId="0" borderId="28" xfId="0" applyFont="1" applyBorder="1" applyAlignment="1">
      <alignment vertical="center" wrapText="1"/>
    </xf>
    <xf numFmtId="0" fontId="11" fillId="0" borderId="28" xfId="0" applyFont="1" applyBorder="1" applyAlignment="1">
      <alignment horizontal="left" wrapText="1"/>
    </xf>
    <xf numFmtId="0" fontId="11" fillId="0" borderId="29" xfId="0" applyFont="1" applyBorder="1" applyAlignment="1">
      <alignment horizontal="left"/>
    </xf>
    <xf numFmtId="0" fontId="17" fillId="0" borderId="29" xfId="0" applyFont="1" applyBorder="1"/>
    <xf numFmtId="0" fontId="17" fillId="0" borderId="28" xfId="0" applyFont="1" applyBorder="1"/>
    <xf numFmtId="171" fontId="10" fillId="5" borderId="27" xfId="0" applyNumberFormat="1" applyFont="1" applyFill="1" applyBorder="1" applyAlignment="1">
      <alignment horizontal="center"/>
    </xf>
    <xf numFmtId="0" fontId="11" fillId="5" borderId="79" xfId="0" applyFont="1" applyFill="1" applyBorder="1" applyAlignment="1">
      <alignment horizontal="center"/>
    </xf>
    <xf numFmtId="166" fontId="14" fillId="0" borderId="67" xfId="2" quotePrefix="1" applyNumberFormat="1" applyFont="1" applyBorder="1" applyAlignment="1">
      <alignment horizontal="right"/>
    </xf>
    <xf numFmtId="0" fontId="14" fillId="0" borderId="0" xfId="0" quotePrefix="1" applyFont="1"/>
    <xf numFmtId="183" fontId="11" fillId="0" borderId="19" xfId="1" applyNumberFormat="1" applyFont="1" applyFill="1" applyBorder="1" applyAlignment="1">
      <alignment horizontal="right"/>
    </xf>
    <xf numFmtId="183" fontId="11" fillId="0" borderId="7" xfId="1" applyNumberFormat="1" applyFont="1" applyFill="1" applyBorder="1" applyAlignment="1">
      <alignment horizontal="right"/>
    </xf>
    <xf numFmtId="183" fontId="11" fillId="0" borderId="0" xfId="1" applyNumberFormat="1" applyFont="1" applyFill="1" applyBorder="1" applyAlignment="1">
      <alignment horizontal="right"/>
    </xf>
    <xf numFmtId="1" fontId="11" fillId="0" borderId="22" xfId="1" applyNumberFormat="1" applyFont="1" applyBorder="1" applyAlignment="1">
      <alignment horizontal="right"/>
    </xf>
    <xf numFmtId="10" fontId="11" fillId="0" borderId="7" xfId="5" applyNumberFormat="1" applyFont="1" applyBorder="1"/>
    <xf numFmtId="165" fontId="9" fillId="0" borderId="0" xfId="1" applyNumberFormat="1" applyFont="1" applyAlignment="1">
      <alignment vertical="top"/>
    </xf>
    <xf numFmtId="184" fontId="11" fillId="0" borderId="22" xfId="0" applyNumberFormat="1" applyFont="1" applyBorder="1" applyAlignment="1">
      <alignment horizontal="right"/>
    </xf>
    <xf numFmtId="0" fontId="10" fillId="0" borderId="0" xfId="14" applyFont="1" applyAlignment="1">
      <alignment horizontal="center"/>
    </xf>
    <xf numFmtId="0" fontId="10" fillId="0" borderId="0" xfId="20" applyFont="1" applyAlignment="1">
      <alignment horizontal="center"/>
    </xf>
    <xf numFmtId="0" fontId="10" fillId="0" borderId="0" xfId="0" applyFont="1" applyAlignment="1">
      <alignment horizontal="center" vertical="justify"/>
    </xf>
    <xf numFmtId="3" fontId="10" fillId="0" borderId="0" xfId="0" applyNumberFormat="1" applyFont="1" applyAlignment="1">
      <alignment horizontal="center" vertical="justify"/>
    </xf>
    <xf numFmtId="0" fontId="10" fillId="0" borderId="0" xfId="0" applyFont="1" applyAlignment="1">
      <alignment horizontal="center" vertical="center"/>
    </xf>
    <xf numFmtId="0" fontId="36" fillId="3" borderId="21" xfId="0" applyFont="1" applyFill="1" applyBorder="1" applyAlignment="1">
      <alignment horizontal="center"/>
    </xf>
    <xf numFmtId="0" fontId="36" fillId="3" borderId="43" xfId="0" applyFont="1" applyFill="1" applyBorder="1" applyAlignment="1">
      <alignment horizontal="center"/>
    </xf>
    <xf numFmtId="0" fontId="36" fillId="3" borderId="24" xfId="0" applyFont="1" applyFill="1" applyBorder="1" applyAlignment="1">
      <alignment horizontal="center"/>
    </xf>
    <xf numFmtId="0" fontId="36" fillId="3" borderId="20" xfId="0" applyFont="1" applyFill="1" applyBorder="1" applyAlignment="1">
      <alignment horizontal="center"/>
    </xf>
    <xf numFmtId="0" fontId="36" fillId="3" borderId="0" xfId="0" applyFont="1" applyFill="1" applyAlignment="1">
      <alignment horizontal="center"/>
    </xf>
    <xf numFmtId="0" fontId="36" fillId="3" borderId="22" xfId="0" applyFont="1" applyFill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1" fillId="0" borderId="0" xfId="0" applyFont="1" applyAlignment="1">
      <alignment horizontal="left" vertical="top" wrapText="1"/>
    </xf>
  </cellXfs>
  <cellStyles count="22">
    <cellStyle name="Comma" xfId="1" builtinId="3"/>
    <cellStyle name="Comma 14" xfId="15" xr:uid="{00000000-0005-0000-0000-000001000000}"/>
    <cellStyle name="Comma 14 2" xfId="21" xr:uid="{00FB1CCE-D6C1-49F0-A30B-27ED7D229814}"/>
    <cellStyle name="Comma 2" xfId="12" xr:uid="{00000000-0005-0000-0000-000002000000}"/>
    <cellStyle name="Comma 3" xfId="19" xr:uid="{C47336E8-D94B-49C2-B7EE-22235241E155}"/>
    <cellStyle name="Currency" xfId="2" builtinId="4"/>
    <cellStyle name="Currency 2" xfId="11" xr:uid="{00000000-0005-0000-0000-000004000000}"/>
    <cellStyle name="Normal" xfId="0" builtinId="0"/>
    <cellStyle name="Normal 10" xfId="9" xr:uid="{00000000-0005-0000-0000-000006000000}"/>
    <cellStyle name="Normal 10 2 2 2" xfId="18" xr:uid="{00000000-0005-0000-0000-000007000000}"/>
    <cellStyle name="Normal 12" xfId="8" xr:uid="{00000000-0005-0000-0000-000008000000}"/>
    <cellStyle name="Normal 19" xfId="7" xr:uid="{00000000-0005-0000-0000-000009000000}"/>
    <cellStyle name="Normal 2" xfId="10" xr:uid="{00000000-0005-0000-0000-00000A000000}"/>
    <cellStyle name="Normal 2 3 3" xfId="6" xr:uid="{00000000-0005-0000-0000-00000B000000}"/>
    <cellStyle name="Normal 20" xfId="14" xr:uid="{00000000-0005-0000-0000-00000C000000}"/>
    <cellStyle name="Normal 20 2" xfId="20" xr:uid="{80C12A75-8FE9-45AF-9CAB-1288F15EF8E5}"/>
    <cellStyle name="Normal 21" xfId="16" xr:uid="{00000000-0005-0000-0000-00000D000000}"/>
    <cellStyle name="Normal 22" xfId="17" xr:uid="{00000000-0005-0000-0000-00000E000000}"/>
    <cellStyle name="Normal_Draft TRBAA 2009 Forecast" xfId="3" xr:uid="{00000000-0005-0000-0000-00000F000000}"/>
    <cellStyle name="Normal_R1, 2009 ETC Cost Differential Forecast" xfId="4" xr:uid="{00000000-0005-0000-0000-000010000000}"/>
    <cellStyle name="Percent" xfId="5" builtinId="5"/>
    <cellStyle name="Percent 2" xfId="13" xr:uid="{00000000-0005-0000-0000-000012000000}"/>
  </cellStyles>
  <dxfs count="0"/>
  <tableStyles count="1" defaultTableStyle="TableStyleMedium9" defaultPivotStyle="PivotStyleLight16">
    <tableStyle name="Invisible" pivot="0" table="0" count="0" xr9:uid="{388BAACD-86A7-4450-93BC-E0906B5B0CEE}"/>
  </tableStyles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mpra-my.sharepoint.com/LOTSHARE/Julia/excel/TRR/rate%20design/HVTRR&amp;LVTR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1"/>
      <sheetName val="Sheet 2"/>
      <sheetName val="Statement_BK"/>
      <sheetName val="Statement_BJ"/>
      <sheetName val="Ancillary"/>
      <sheetName val="P1P2_Comp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60"/>
  <sheetViews>
    <sheetView tabSelected="1" zoomScale="80" zoomScaleNormal="80" workbookViewId="0"/>
  </sheetViews>
  <sheetFormatPr defaultColWidth="8.54296875" defaultRowHeight="13" x14ac:dyDescent="0.3"/>
  <cols>
    <col min="1" max="1" width="5.54296875" style="1" customWidth="1"/>
    <col min="2" max="4" width="20.54296875" style="1" customWidth="1"/>
    <col min="5" max="5" width="22.1796875" style="1" bestFit="1" customWidth="1"/>
    <col min="6" max="6" width="40.54296875" style="1" customWidth="1"/>
    <col min="7" max="7" width="5.54296875" style="1" customWidth="1"/>
    <col min="8" max="8" width="8.54296875" style="1" customWidth="1"/>
    <col min="9" max="12" width="16.54296875" style="1" customWidth="1"/>
    <col min="13" max="16384" width="8.54296875" style="1"/>
  </cols>
  <sheetData>
    <row r="2" spans="1:12" s="3" customFormat="1" ht="18" customHeight="1" x14ac:dyDescent="0.3">
      <c r="A2" s="5" t="s">
        <v>0</v>
      </c>
      <c r="B2" s="5"/>
      <c r="C2" s="5"/>
      <c r="D2" s="5"/>
      <c r="E2" s="5"/>
      <c r="F2" s="5"/>
      <c r="G2" s="41"/>
      <c r="H2" s="1"/>
      <c r="I2" s="1"/>
      <c r="J2" s="1"/>
    </row>
    <row r="3" spans="1:12" s="3" customFormat="1" ht="18" customHeight="1" x14ac:dyDescent="0.3">
      <c r="A3" s="5" t="s">
        <v>1</v>
      </c>
      <c r="B3" s="5"/>
      <c r="C3" s="5"/>
      <c r="D3" s="5"/>
      <c r="E3" s="5"/>
      <c r="F3" s="5"/>
      <c r="G3" s="41"/>
      <c r="H3" s="1"/>
      <c r="I3" s="1"/>
      <c r="J3" s="1"/>
    </row>
    <row r="4" spans="1:12" s="3" customFormat="1" ht="18" customHeight="1" x14ac:dyDescent="0.3">
      <c r="A4" s="5" t="s">
        <v>489</v>
      </c>
      <c r="B4" s="5"/>
      <c r="C4" s="5"/>
      <c r="D4" s="5"/>
      <c r="E4" s="5"/>
      <c r="F4" s="5"/>
      <c r="G4" s="41"/>
      <c r="H4" s="1"/>
      <c r="I4" s="1"/>
      <c r="J4" s="1"/>
    </row>
    <row r="5" spans="1:12" ht="15.5" x14ac:dyDescent="0.3">
      <c r="A5" s="5" t="s">
        <v>2</v>
      </c>
      <c r="B5" s="5"/>
      <c r="C5" s="5"/>
      <c r="D5" s="41"/>
      <c r="E5" s="41"/>
      <c r="F5" s="41"/>
      <c r="G5" s="41"/>
    </row>
    <row r="6" spans="1:12" ht="16" thickBot="1" x14ac:dyDescent="0.35">
      <c r="A6" s="5"/>
      <c r="B6" s="5"/>
      <c r="C6" s="5"/>
      <c r="D6" s="41"/>
      <c r="E6" s="41"/>
      <c r="F6" s="41"/>
      <c r="G6" s="41"/>
    </row>
    <row r="7" spans="1:12" ht="15" x14ac:dyDescent="0.3">
      <c r="A7" s="287"/>
      <c r="B7" s="546"/>
      <c r="C7" s="165" t="s">
        <v>3</v>
      </c>
      <c r="D7" s="165" t="s">
        <v>4</v>
      </c>
      <c r="E7" s="165" t="s">
        <v>5</v>
      </c>
      <c r="F7" s="547"/>
      <c r="G7" s="548"/>
    </row>
    <row r="8" spans="1:12" ht="15" x14ac:dyDescent="0.3">
      <c r="A8" s="549"/>
      <c r="B8" s="94"/>
      <c r="C8" s="75" t="s">
        <v>6</v>
      </c>
      <c r="D8" s="75" t="s">
        <v>7</v>
      </c>
      <c r="E8" s="75" t="s">
        <v>6</v>
      </c>
      <c r="F8" s="94"/>
      <c r="G8" s="550"/>
    </row>
    <row r="9" spans="1:12" ht="15" x14ac:dyDescent="0.3">
      <c r="A9" s="551" t="s">
        <v>8</v>
      </c>
      <c r="B9" s="75"/>
      <c r="C9" s="158" t="s">
        <v>9</v>
      </c>
      <c r="D9" s="75" t="s">
        <v>10</v>
      </c>
      <c r="E9" s="158" t="s">
        <v>9</v>
      </c>
      <c r="F9" s="75"/>
      <c r="G9" s="552" t="s">
        <v>8</v>
      </c>
    </row>
    <row r="10" spans="1:12" ht="18.5" thickBot="1" x14ac:dyDescent="0.35">
      <c r="A10" s="569" t="s">
        <v>11</v>
      </c>
      <c r="B10" s="153" t="s">
        <v>12</v>
      </c>
      <c r="C10" s="571" t="s">
        <v>13</v>
      </c>
      <c r="D10" s="153" t="s">
        <v>14</v>
      </c>
      <c r="E10" s="571" t="s">
        <v>15</v>
      </c>
      <c r="F10" s="153" t="s">
        <v>16</v>
      </c>
      <c r="G10" s="570" t="s">
        <v>11</v>
      </c>
      <c r="I10" s="90"/>
      <c r="J10" s="90"/>
      <c r="K10" s="90"/>
    </row>
    <row r="11" spans="1:12" ht="15.5" x14ac:dyDescent="0.35">
      <c r="A11" s="263"/>
      <c r="B11" s="768"/>
      <c r="C11" s="188"/>
      <c r="D11" s="10"/>
      <c r="E11" s="188"/>
      <c r="F11" s="10"/>
      <c r="G11" s="264"/>
      <c r="I11" s="90"/>
      <c r="J11" s="90"/>
      <c r="K11" s="90"/>
    </row>
    <row r="12" spans="1:12" ht="15.5" x14ac:dyDescent="0.35">
      <c r="A12" s="263">
        <v>1</v>
      </c>
      <c r="B12" s="478">
        <v>44835</v>
      </c>
      <c r="C12" s="44">
        <f>'WP 1.1 Recorded Sales'!C$39</f>
        <v>1698798204</v>
      </c>
      <c r="D12" s="44">
        <f>'WP 1.1 Recorded Sales'!C$38</f>
        <v>8826</v>
      </c>
      <c r="E12" s="45">
        <f t="shared" ref="E12:E23" si="0">C12-D12</f>
        <v>1698789378</v>
      </c>
      <c r="F12" s="241" t="s">
        <v>17</v>
      </c>
      <c r="G12" s="264">
        <v>1</v>
      </c>
      <c r="I12" s="140"/>
      <c r="J12" s="140"/>
      <c r="K12" s="140"/>
      <c r="L12" s="179"/>
    </row>
    <row r="13" spans="1:12" ht="15.5" x14ac:dyDescent="0.35">
      <c r="A13" s="263">
        <f t="shared" ref="A13:A26" si="1">A12+1</f>
        <v>2</v>
      </c>
      <c r="B13" s="478">
        <v>44866</v>
      </c>
      <c r="C13" s="44">
        <f>'WP 1.1 Recorded Sales'!D$39</f>
        <v>1403367947</v>
      </c>
      <c r="D13" s="44">
        <f>'WP 1.1 Recorded Sales'!D$38</f>
        <v>8442</v>
      </c>
      <c r="E13" s="45">
        <f t="shared" si="0"/>
        <v>1403359505</v>
      </c>
      <c r="F13" s="241" t="str">
        <f>$F$12</f>
        <v>Workpaper No. 1; Page 1.1; Lines 30; 29</v>
      </c>
      <c r="G13" s="264">
        <f t="shared" ref="G13:G26" si="2">G12+1</f>
        <v>2</v>
      </c>
      <c r="I13" s="140"/>
      <c r="J13" s="140"/>
      <c r="K13" s="140"/>
      <c r="L13" s="179"/>
    </row>
    <row r="14" spans="1:12" ht="15.5" x14ac:dyDescent="0.35">
      <c r="A14" s="263">
        <f t="shared" si="1"/>
        <v>3</v>
      </c>
      <c r="B14" s="478">
        <v>44896</v>
      </c>
      <c r="C14" s="44">
        <f>'WP 1.1 Recorded Sales'!E$39</f>
        <v>1377452931</v>
      </c>
      <c r="D14" s="44">
        <f>'WP 1.1 Recorded Sales'!E$38</f>
        <v>5279</v>
      </c>
      <c r="E14" s="45">
        <f t="shared" si="0"/>
        <v>1377447652</v>
      </c>
      <c r="F14" s="241" t="str">
        <f t="shared" ref="F14:F23" si="3">$F$12</f>
        <v>Workpaper No. 1; Page 1.1; Lines 30; 29</v>
      </c>
      <c r="G14" s="264">
        <f t="shared" si="2"/>
        <v>3</v>
      </c>
      <c r="I14" s="140"/>
      <c r="J14" s="140"/>
      <c r="K14" s="140"/>
      <c r="L14" s="179"/>
    </row>
    <row r="15" spans="1:12" ht="15.5" x14ac:dyDescent="0.35">
      <c r="A15" s="263">
        <f t="shared" si="1"/>
        <v>4</v>
      </c>
      <c r="B15" s="478">
        <v>44927</v>
      </c>
      <c r="C15" s="44">
        <f>'WP 1.1 Recorded Sales'!F$39</f>
        <v>1605536619</v>
      </c>
      <c r="D15" s="44">
        <f>'WP 1.1 Recorded Sales'!F$38</f>
        <v>5321</v>
      </c>
      <c r="E15" s="45">
        <f t="shared" si="0"/>
        <v>1605531298</v>
      </c>
      <c r="F15" s="241" t="str">
        <f t="shared" si="3"/>
        <v>Workpaper No. 1; Page 1.1; Lines 30; 29</v>
      </c>
      <c r="G15" s="264">
        <f t="shared" si="2"/>
        <v>4</v>
      </c>
      <c r="I15" s="140"/>
      <c r="J15" s="140"/>
      <c r="K15" s="140"/>
      <c r="L15" s="179"/>
    </row>
    <row r="16" spans="1:12" ht="15.5" x14ac:dyDescent="0.35">
      <c r="A16" s="263">
        <f t="shared" si="1"/>
        <v>5</v>
      </c>
      <c r="B16" s="478">
        <v>44958</v>
      </c>
      <c r="C16" s="44">
        <f>'WP 1.1 Recorded Sales'!G$39</f>
        <v>1264920570</v>
      </c>
      <c r="D16" s="44">
        <f>'WP 1.1 Recorded Sales'!G$38</f>
        <v>-94253</v>
      </c>
      <c r="E16" s="45">
        <f t="shared" si="0"/>
        <v>1265014823</v>
      </c>
      <c r="F16" s="241" t="str">
        <f t="shared" si="3"/>
        <v>Workpaper No. 1; Page 1.1; Lines 30; 29</v>
      </c>
      <c r="G16" s="264">
        <f t="shared" si="2"/>
        <v>5</v>
      </c>
      <c r="I16" s="140"/>
      <c r="J16" s="140"/>
      <c r="K16" s="140"/>
      <c r="L16" s="179"/>
    </row>
    <row r="17" spans="1:12" ht="15.5" x14ac:dyDescent="0.35">
      <c r="A17" s="263">
        <f t="shared" si="1"/>
        <v>6</v>
      </c>
      <c r="B17" s="478">
        <v>44986</v>
      </c>
      <c r="C17" s="44">
        <f>'WP 1.1 Recorded Sales'!H$39</f>
        <v>1458613555</v>
      </c>
      <c r="D17" s="44">
        <f>'WP 1.1 Recorded Sales'!H$38</f>
        <v>105115</v>
      </c>
      <c r="E17" s="45">
        <f t="shared" si="0"/>
        <v>1458508440</v>
      </c>
      <c r="F17" s="241" t="str">
        <f t="shared" si="3"/>
        <v>Workpaper No. 1; Page 1.1; Lines 30; 29</v>
      </c>
      <c r="G17" s="264">
        <f t="shared" si="2"/>
        <v>6</v>
      </c>
      <c r="I17" s="140"/>
      <c r="J17" s="140"/>
      <c r="K17" s="140"/>
      <c r="L17" s="179"/>
    </row>
    <row r="18" spans="1:12" ht="15.5" x14ac:dyDescent="0.35">
      <c r="A18" s="263">
        <f t="shared" si="1"/>
        <v>7</v>
      </c>
      <c r="B18" s="478">
        <v>45017</v>
      </c>
      <c r="C18" s="44">
        <f>'WP 1.1 Recorded Sales'!I$39</f>
        <v>1158465079</v>
      </c>
      <c r="D18" s="44">
        <f>'WP 1.1 Recorded Sales'!I$38</f>
        <v>5013</v>
      </c>
      <c r="E18" s="45">
        <f t="shared" si="0"/>
        <v>1158460066</v>
      </c>
      <c r="F18" s="241" t="str">
        <f t="shared" si="3"/>
        <v>Workpaper No. 1; Page 1.1; Lines 30; 29</v>
      </c>
      <c r="G18" s="264">
        <f t="shared" si="2"/>
        <v>7</v>
      </c>
      <c r="I18" s="140"/>
      <c r="J18" s="140"/>
      <c r="K18" s="140"/>
      <c r="L18" s="179"/>
    </row>
    <row r="19" spans="1:12" ht="15.5" x14ac:dyDescent="0.35">
      <c r="A19" s="263">
        <f t="shared" si="1"/>
        <v>8</v>
      </c>
      <c r="B19" s="478">
        <v>45047</v>
      </c>
      <c r="C19" s="44">
        <f>'WP 1.1 Recorded Sales'!J$39</f>
        <v>1199047869</v>
      </c>
      <c r="D19" s="44">
        <f>'WP 1.1 Recorded Sales'!J$38</f>
        <v>0</v>
      </c>
      <c r="E19" s="45">
        <f t="shared" si="0"/>
        <v>1199047869</v>
      </c>
      <c r="F19" s="241" t="str">
        <f t="shared" si="3"/>
        <v>Workpaper No. 1; Page 1.1; Lines 30; 29</v>
      </c>
      <c r="G19" s="264">
        <f t="shared" si="2"/>
        <v>8</v>
      </c>
      <c r="I19" s="140"/>
      <c r="J19" s="140"/>
      <c r="K19" s="140"/>
      <c r="L19" s="179"/>
    </row>
    <row r="20" spans="1:12" ht="15.5" x14ac:dyDescent="0.35">
      <c r="A20" s="263">
        <f t="shared" si="1"/>
        <v>9</v>
      </c>
      <c r="B20" s="478">
        <v>45078</v>
      </c>
      <c r="C20" s="44">
        <f>'WP 1.1 Recorded Sales'!K$39</f>
        <v>1411963759</v>
      </c>
      <c r="D20" s="44">
        <f>'WP 1.1 Recorded Sales'!K$38</f>
        <v>13890</v>
      </c>
      <c r="E20" s="45">
        <f t="shared" si="0"/>
        <v>1411949869</v>
      </c>
      <c r="F20" s="241" t="str">
        <f t="shared" si="3"/>
        <v>Workpaper No. 1; Page 1.1; Lines 30; 29</v>
      </c>
      <c r="G20" s="264">
        <f t="shared" si="2"/>
        <v>9</v>
      </c>
      <c r="I20" s="140"/>
      <c r="J20" s="140"/>
      <c r="K20" s="140"/>
      <c r="L20" s="179"/>
    </row>
    <row r="21" spans="1:12" ht="15.5" x14ac:dyDescent="0.35">
      <c r="A21" s="263">
        <f t="shared" si="1"/>
        <v>10</v>
      </c>
      <c r="B21" s="478">
        <v>45108</v>
      </c>
      <c r="C21" s="44">
        <f>'WP 1.1 Recorded Sales'!L$39</f>
        <v>1242490673</v>
      </c>
      <c r="D21" s="44">
        <f>'WP 1.1 Recorded Sales'!L$38</f>
        <v>7744</v>
      </c>
      <c r="E21" s="45">
        <f t="shared" si="0"/>
        <v>1242482929</v>
      </c>
      <c r="F21" s="241" t="str">
        <f t="shared" si="3"/>
        <v>Workpaper No. 1; Page 1.1; Lines 30; 29</v>
      </c>
      <c r="G21" s="264">
        <f t="shared" si="2"/>
        <v>10</v>
      </c>
      <c r="I21" s="140"/>
      <c r="J21" s="140"/>
      <c r="K21" s="140"/>
      <c r="L21" s="179"/>
    </row>
    <row r="22" spans="1:12" ht="15.5" x14ac:dyDescent="0.35">
      <c r="A22" s="263">
        <f t="shared" si="1"/>
        <v>11</v>
      </c>
      <c r="B22" s="478">
        <v>45139</v>
      </c>
      <c r="C22" s="44">
        <f>'WP 1.1 Recorded Sales'!M$39</f>
        <v>1742235718</v>
      </c>
      <c r="D22" s="44">
        <f>'WP 1.1 Recorded Sales'!M$38</f>
        <v>9613</v>
      </c>
      <c r="E22" s="45">
        <f t="shared" si="0"/>
        <v>1742226105</v>
      </c>
      <c r="F22" s="241" t="str">
        <f t="shared" si="3"/>
        <v>Workpaper No. 1; Page 1.1; Lines 30; 29</v>
      </c>
      <c r="G22" s="264">
        <f t="shared" si="2"/>
        <v>11</v>
      </c>
      <c r="I22" s="140"/>
      <c r="J22" s="140"/>
      <c r="K22" s="140"/>
      <c r="L22" s="179"/>
    </row>
    <row r="23" spans="1:12" ht="15.5" x14ac:dyDescent="0.35">
      <c r="A23" s="263">
        <f t="shared" si="1"/>
        <v>12</v>
      </c>
      <c r="B23" s="478">
        <v>45170</v>
      </c>
      <c r="C23" s="44">
        <f>'WP 1.1 Recorded Sales'!N$39</f>
        <v>1563753003</v>
      </c>
      <c r="D23" s="44">
        <f>'WP 1.1 Recorded Sales'!N$38</f>
        <v>9635</v>
      </c>
      <c r="E23" s="45">
        <f t="shared" si="0"/>
        <v>1563743368</v>
      </c>
      <c r="F23" s="241" t="str">
        <f t="shared" si="3"/>
        <v>Workpaper No. 1; Page 1.1; Lines 30; 29</v>
      </c>
      <c r="G23" s="264">
        <f t="shared" si="2"/>
        <v>12</v>
      </c>
      <c r="I23" s="140"/>
      <c r="J23" s="140"/>
      <c r="K23" s="140"/>
      <c r="L23" s="179"/>
    </row>
    <row r="24" spans="1:12" ht="15.5" x14ac:dyDescent="0.35">
      <c r="A24" s="263">
        <f t="shared" si="1"/>
        <v>13</v>
      </c>
      <c r="B24" s="929"/>
      <c r="C24" s="38"/>
      <c r="D24" s="38"/>
      <c r="E24" s="46"/>
      <c r="F24" s="49"/>
      <c r="G24" s="264">
        <f t="shared" si="2"/>
        <v>13</v>
      </c>
      <c r="I24" s="140"/>
      <c r="J24" s="140"/>
      <c r="K24" s="140"/>
      <c r="L24" s="140"/>
    </row>
    <row r="25" spans="1:12" ht="15.5" x14ac:dyDescent="0.35">
      <c r="A25" s="263">
        <f t="shared" si="1"/>
        <v>14</v>
      </c>
      <c r="B25" s="22"/>
      <c r="C25" s="45"/>
      <c r="D25" s="45"/>
      <c r="E25" s="45"/>
      <c r="F25" s="49"/>
      <c r="G25" s="264">
        <f t="shared" si="2"/>
        <v>14</v>
      </c>
      <c r="I25" s="140"/>
      <c r="J25" s="140"/>
      <c r="K25" s="140"/>
      <c r="L25" s="140"/>
    </row>
    <row r="26" spans="1:12" ht="16" thickBot="1" x14ac:dyDescent="0.4">
      <c r="A26" s="263">
        <f t="shared" si="1"/>
        <v>15</v>
      </c>
      <c r="B26" s="43" t="s">
        <v>18</v>
      </c>
      <c r="C26" s="47">
        <f>SUM(C12:C23)</f>
        <v>17126645927</v>
      </c>
      <c r="D26" s="47">
        <f>SUM(D12:D23)</f>
        <v>84625</v>
      </c>
      <c r="E26" s="47">
        <f>SUM(E12:E23)</f>
        <v>17126561302</v>
      </c>
      <c r="F26" s="49" t="s">
        <v>19</v>
      </c>
      <c r="G26" s="264">
        <f t="shared" si="2"/>
        <v>15</v>
      </c>
      <c r="I26" s="140"/>
      <c r="J26" s="140"/>
      <c r="K26" s="140"/>
      <c r="L26" s="140"/>
    </row>
    <row r="27" spans="1:12" ht="16.5" thickTop="1" thickBot="1" x14ac:dyDescent="0.4">
      <c r="A27" s="301"/>
      <c r="B27" s="80"/>
      <c r="C27" s="553"/>
      <c r="D27" s="554"/>
      <c r="E27" s="153"/>
      <c r="F27" s="57"/>
      <c r="G27" s="302"/>
      <c r="I27" s="140"/>
      <c r="J27" s="140"/>
      <c r="K27" s="140"/>
      <c r="L27" s="140"/>
    </row>
    <row r="28" spans="1:12" ht="15.5" x14ac:dyDescent="0.35">
      <c r="A28" s="22"/>
      <c r="B28" s="22"/>
      <c r="C28" s="22"/>
      <c r="D28" s="22"/>
      <c r="E28" s="22"/>
      <c r="F28" s="22"/>
      <c r="G28" s="22"/>
    </row>
    <row r="29" spans="1:12" ht="18.5" x14ac:dyDescent="0.35">
      <c r="A29" s="414">
        <v>1</v>
      </c>
      <c r="B29" s="22" t="s">
        <v>20</v>
      </c>
      <c r="C29" s="22"/>
      <c r="D29" s="22"/>
      <c r="E29" s="48"/>
      <c r="F29" s="48"/>
      <c r="G29" s="22"/>
    </row>
    <row r="30" spans="1:12" ht="15.5" x14ac:dyDescent="0.35">
      <c r="A30" s="22"/>
      <c r="B30" s="22"/>
      <c r="C30" s="22"/>
      <c r="D30" s="22"/>
      <c r="E30" s="48"/>
      <c r="F30" s="48"/>
      <c r="G30" s="22"/>
    </row>
    <row r="31" spans="1:12" ht="15.5" x14ac:dyDescent="0.35">
      <c r="A31" s="22"/>
      <c r="B31" s="22"/>
      <c r="C31" s="22"/>
      <c r="D31" s="22"/>
      <c r="E31" s="48"/>
      <c r="F31" s="48"/>
      <c r="G31" s="22"/>
    </row>
    <row r="32" spans="1:12" ht="15.5" x14ac:dyDescent="0.35">
      <c r="A32" s="22"/>
      <c r="B32" s="22"/>
      <c r="C32" s="22"/>
      <c r="D32" s="22"/>
      <c r="E32" s="48"/>
      <c r="F32" s="48"/>
      <c r="G32" s="22"/>
    </row>
    <row r="33" spans="1:7" ht="15.5" x14ac:dyDescent="0.35">
      <c r="A33" s="22"/>
      <c r="B33" s="22"/>
      <c r="C33" s="22"/>
      <c r="D33" s="22"/>
      <c r="E33" s="22"/>
      <c r="F33" s="22"/>
      <c r="G33" s="22"/>
    </row>
    <row r="34" spans="1:7" ht="15.5" x14ac:dyDescent="0.35">
      <c r="A34" s="22"/>
      <c r="B34" s="22"/>
      <c r="C34" s="22"/>
      <c r="D34" s="22"/>
      <c r="E34" s="22"/>
      <c r="F34" s="22"/>
      <c r="G34" s="22"/>
    </row>
    <row r="35" spans="1:7" ht="15.5" x14ac:dyDescent="0.35">
      <c r="A35" s="22"/>
      <c r="B35" s="22"/>
      <c r="C35" s="22"/>
      <c r="D35" s="22"/>
      <c r="E35" s="22"/>
      <c r="F35" s="22"/>
      <c r="G35" s="22"/>
    </row>
    <row r="36" spans="1:7" ht="15.5" x14ac:dyDescent="0.35">
      <c r="A36" s="22"/>
      <c r="B36" s="22"/>
      <c r="C36" s="22"/>
      <c r="D36" s="22"/>
      <c r="E36" s="22"/>
      <c r="F36" s="22"/>
      <c r="G36" s="22"/>
    </row>
    <row r="37" spans="1:7" ht="15.5" x14ac:dyDescent="0.35">
      <c r="A37" s="22"/>
      <c r="B37" s="22"/>
      <c r="C37" s="22"/>
      <c r="D37" s="22"/>
      <c r="E37" s="22"/>
      <c r="F37" s="22"/>
      <c r="G37" s="22"/>
    </row>
    <row r="38" spans="1:7" ht="15.5" x14ac:dyDescent="0.35">
      <c r="A38" s="22"/>
      <c r="B38" s="22"/>
      <c r="C38" s="22"/>
      <c r="D38" s="22"/>
      <c r="E38" s="22"/>
      <c r="F38" s="22"/>
      <c r="G38" s="22"/>
    </row>
    <row r="39" spans="1:7" ht="15.5" x14ac:dyDescent="0.35">
      <c r="A39" s="22"/>
      <c r="B39" s="22"/>
      <c r="C39" s="22"/>
      <c r="D39" s="22"/>
      <c r="E39" s="22"/>
      <c r="F39" s="22"/>
      <c r="G39" s="22"/>
    </row>
    <row r="40" spans="1:7" ht="15.5" x14ac:dyDescent="0.35">
      <c r="A40" s="22"/>
      <c r="B40" s="22"/>
      <c r="C40" s="22"/>
      <c r="D40" s="22"/>
      <c r="E40" s="22"/>
      <c r="F40" s="22"/>
      <c r="G40" s="22"/>
    </row>
    <row r="41" spans="1:7" ht="15.5" x14ac:dyDescent="0.35">
      <c r="A41" s="22"/>
      <c r="B41" s="22"/>
      <c r="C41" s="22"/>
      <c r="D41" s="22"/>
      <c r="E41" s="22"/>
      <c r="F41" s="22"/>
      <c r="G41" s="22"/>
    </row>
    <row r="42" spans="1:7" ht="15.5" x14ac:dyDescent="0.35">
      <c r="A42" s="22"/>
      <c r="B42" s="22"/>
      <c r="C42" s="22"/>
      <c r="D42" s="22"/>
      <c r="E42" s="22"/>
      <c r="F42" s="22"/>
      <c r="G42" s="22"/>
    </row>
    <row r="43" spans="1:7" ht="15.5" x14ac:dyDescent="0.35">
      <c r="A43" s="22"/>
      <c r="B43" s="22"/>
      <c r="C43" s="22"/>
      <c r="D43" s="22"/>
      <c r="E43" s="22"/>
      <c r="F43" s="22"/>
      <c r="G43" s="22"/>
    </row>
    <row r="44" spans="1:7" ht="15.5" x14ac:dyDescent="0.35">
      <c r="A44" s="22"/>
      <c r="B44" s="22"/>
      <c r="C44" s="22"/>
      <c r="D44" s="22"/>
      <c r="E44" s="22"/>
      <c r="F44" s="22"/>
      <c r="G44" s="22"/>
    </row>
    <row r="45" spans="1:7" ht="15.5" x14ac:dyDescent="0.35">
      <c r="A45" s="22"/>
      <c r="B45" s="22"/>
      <c r="C45" s="22"/>
      <c r="D45" s="22"/>
      <c r="E45" s="22"/>
      <c r="F45" s="22"/>
      <c r="G45" s="22"/>
    </row>
    <row r="46" spans="1:7" ht="15.5" x14ac:dyDescent="0.35">
      <c r="A46" s="22"/>
      <c r="B46" s="22"/>
      <c r="C46" s="22"/>
      <c r="D46" s="22"/>
      <c r="E46" s="22"/>
      <c r="F46" s="22"/>
      <c r="G46" s="22"/>
    </row>
    <row r="47" spans="1:7" ht="15.5" x14ac:dyDescent="0.35">
      <c r="A47" s="22"/>
      <c r="B47" s="22"/>
      <c r="C47" s="22"/>
      <c r="D47" s="22"/>
      <c r="E47" s="22"/>
      <c r="F47" s="22"/>
      <c r="G47" s="22"/>
    </row>
    <row r="48" spans="1:7" ht="15.5" x14ac:dyDescent="0.35">
      <c r="A48" s="22"/>
      <c r="B48" s="22"/>
      <c r="C48" s="22"/>
      <c r="D48" s="22"/>
      <c r="E48" s="22"/>
      <c r="F48" s="22"/>
      <c r="G48" s="22"/>
    </row>
    <row r="49" spans="1:7" ht="15.5" x14ac:dyDescent="0.35">
      <c r="A49" s="22"/>
      <c r="B49" s="22"/>
      <c r="C49" s="22"/>
      <c r="D49" s="22"/>
      <c r="E49" s="22"/>
      <c r="F49" s="22"/>
      <c r="G49" s="22"/>
    </row>
    <row r="50" spans="1:7" ht="15.5" x14ac:dyDescent="0.35">
      <c r="A50" s="22"/>
      <c r="B50" s="22"/>
      <c r="C50" s="22"/>
      <c r="D50" s="22"/>
      <c r="E50" s="22"/>
      <c r="F50" s="22"/>
      <c r="G50" s="22"/>
    </row>
    <row r="51" spans="1:7" ht="15.5" x14ac:dyDescent="0.35">
      <c r="A51" s="22"/>
      <c r="B51" s="22"/>
      <c r="C51" s="22"/>
      <c r="D51" s="22"/>
      <c r="E51" s="22"/>
      <c r="F51" s="22"/>
      <c r="G51" s="22"/>
    </row>
    <row r="52" spans="1:7" ht="15.5" x14ac:dyDescent="0.35">
      <c r="A52" s="22"/>
      <c r="B52" s="22"/>
      <c r="C52" s="22"/>
      <c r="D52" s="22"/>
      <c r="E52" s="22"/>
      <c r="F52" s="22"/>
      <c r="G52" s="22"/>
    </row>
    <row r="53" spans="1:7" ht="15.5" x14ac:dyDescent="0.35">
      <c r="A53" s="22"/>
      <c r="B53" s="22"/>
      <c r="C53" s="22"/>
      <c r="D53" s="22"/>
      <c r="E53" s="22"/>
      <c r="F53" s="22"/>
      <c r="G53" s="22"/>
    </row>
    <row r="54" spans="1:7" ht="15.5" x14ac:dyDescent="0.35">
      <c r="A54" s="22"/>
      <c r="B54" s="22"/>
      <c r="C54" s="22"/>
      <c r="D54" s="22"/>
      <c r="E54" s="22"/>
      <c r="F54" s="22"/>
      <c r="G54" s="22"/>
    </row>
    <row r="55" spans="1:7" ht="15.5" x14ac:dyDescent="0.35">
      <c r="A55" s="22"/>
      <c r="B55" s="22"/>
      <c r="C55" s="22"/>
      <c r="D55" s="22"/>
      <c r="E55" s="22"/>
      <c r="F55" s="22"/>
      <c r="G55" s="22"/>
    </row>
    <row r="56" spans="1:7" ht="15.5" x14ac:dyDescent="0.35">
      <c r="A56" s="22"/>
      <c r="B56" s="22"/>
      <c r="C56" s="22"/>
      <c r="D56" s="22"/>
      <c r="E56" s="22"/>
      <c r="F56" s="22"/>
      <c r="G56" s="22"/>
    </row>
    <row r="57" spans="1:7" ht="15.5" x14ac:dyDescent="0.35">
      <c r="A57" s="22"/>
      <c r="B57" s="22"/>
      <c r="C57" s="22"/>
      <c r="D57" s="22"/>
      <c r="E57" s="22"/>
      <c r="F57" s="22"/>
      <c r="G57" s="22"/>
    </row>
    <row r="58" spans="1:7" ht="15.5" x14ac:dyDescent="0.35">
      <c r="A58" s="22"/>
      <c r="B58" s="22"/>
      <c r="C58" s="22"/>
      <c r="D58" s="22"/>
      <c r="E58" s="22"/>
      <c r="F58" s="22"/>
      <c r="G58" s="22"/>
    </row>
    <row r="59" spans="1:7" ht="15.5" x14ac:dyDescent="0.35">
      <c r="A59" s="22"/>
      <c r="B59" s="22"/>
      <c r="C59" s="22"/>
      <c r="D59" s="22"/>
      <c r="E59" s="22"/>
      <c r="F59" s="22"/>
      <c r="G59" s="22"/>
    </row>
    <row r="60" spans="1:7" ht="15.5" x14ac:dyDescent="0.35">
      <c r="A60" s="22"/>
      <c r="B60" s="22"/>
      <c r="C60" s="22"/>
      <c r="D60" s="22"/>
      <c r="E60" s="22"/>
      <c r="F60" s="22"/>
      <c r="G60" s="22"/>
    </row>
  </sheetData>
  <phoneticPr fontId="0" type="noConversion"/>
  <printOptions horizontalCentered="1"/>
  <pageMargins left="0.25" right="0.25" top="0.5" bottom="0.5" header="0.25" footer="0.25"/>
  <pageSetup orientation="landscape" r:id="rId1"/>
  <headerFooter alignWithMargins="0">
    <oddFooter>&amp;L&amp;"Times New Roman,Regular"&amp;12&amp;F&amp;C&amp;"Times New Roman,Regular"&amp;12Page 1 of 5&amp;R&amp;"Times New Roman,Regular"&amp;12&amp;A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R143"/>
  <sheetViews>
    <sheetView zoomScale="80" zoomScaleNormal="80" workbookViewId="0"/>
  </sheetViews>
  <sheetFormatPr defaultColWidth="9.1796875" defaultRowHeight="15.5" x14ac:dyDescent="0.35"/>
  <cols>
    <col min="1" max="1" width="6" style="22" bestFit="1" customWidth="1"/>
    <col min="2" max="2" width="42" style="22" bestFit="1" customWidth="1"/>
    <col min="3" max="8" width="18" style="22" bestFit="1" customWidth="1"/>
    <col min="9" max="9" width="19.453125" style="22" bestFit="1" customWidth="1"/>
    <col min="10" max="10" width="6" style="22" bestFit="1" customWidth="1"/>
    <col min="11" max="14" width="17.1796875" style="22" bestFit="1" customWidth="1"/>
    <col min="15" max="15" width="18.453125" style="22" bestFit="1" customWidth="1"/>
    <col min="16" max="16" width="8.54296875" style="22" bestFit="1" customWidth="1"/>
    <col min="17" max="16384" width="9.1796875" style="22"/>
  </cols>
  <sheetData>
    <row r="2" spans="1:16" ht="18" customHeight="1" x14ac:dyDescent="0.35">
      <c r="A2" s="976" t="s">
        <v>162</v>
      </c>
      <c r="B2" s="976"/>
      <c r="C2" s="976"/>
      <c r="D2" s="976"/>
      <c r="E2" s="976"/>
      <c r="F2" s="976"/>
      <c r="G2" s="976"/>
      <c r="H2" s="976"/>
      <c r="I2" s="976"/>
      <c r="J2" s="976"/>
      <c r="K2" s="516"/>
      <c r="L2" s="516"/>
      <c r="M2" s="516"/>
      <c r="N2" s="516"/>
      <c r="O2" s="516"/>
      <c r="P2" s="516"/>
    </row>
    <row r="3" spans="1:16" ht="18" customHeight="1" x14ac:dyDescent="0.35">
      <c r="A3" s="976" t="s">
        <v>25</v>
      </c>
      <c r="B3" s="976"/>
      <c r="C3" s="976"/>
      <c r="D3" s="976"/>
      <c r="E3" s="976"/>
      <c r="F3" s="976"/>
      <c r="G3" s="976"/>
      <c r="H3" s="976"/>
      <c r="I3" s="976"/>
      <c r="J3" s="976"/>
      <c r="K3" s="517"/>
      <c r="L3" s="517"/>
      <c r="M3" s="517"/>
      <c r="N3" s="517"/>
      <c r="O3" s="517"/>
      <c r="P3" s="517"/>
    </row>
    <row r="4" spans="1:16" ht="18" customHeight="1" x14ac:dyDescent="0.35">
      <c r="A4" s="976" t="s">
        <v>525</v>
      </c>
      <c r="B4" s="976"/>
      <c r="C4" s="976"/>
      <c r="D4" s="976"/>
      <c r="E4" s="976"/>
      <c r="F4" s="976"/>
      <c r="G4" s="976"/>
      <c r="H4" s="976"/>
      <c r="I4" s="976"/>
      <c r="J4" s="976"/>
      <c r="K4" s="517"/>
      <c r="L4" s="517"/>
      <c r="M4" s="517"/>
      <c r="N4" s="517"/>
      <c r="O4" s="517"/>
      <c r="P4" s="517"/>
    </row>
    <row r="5" spans="1:16" ht="18" customHeight="1" x14ac:dyDescent="0.35">
      <c r="A5" s="977" t="str">
        <f>'Stmt BG - Page 1'!A6</f>
        <v>Rate Effective Period - Twelve Months Ending December 31, 2024</v>
      </c>
      <c r="B5" s="977"/>
      <c r="C5" s="977"/>
      <c r="D5" s="977"/>
      <c r="E5" s="977"/>
      <c r="F5" s="977"/>
      <c r="G5" s="977"/>
      <c r="H5" s="977"/>
      <c r="I5" s="977"/>
      <c r="J5" s="977"/>
      <c r="K5" s="517"/>
      <c r="L5" s="517"/>
      <c r="M5" s="517"/>
      <c r="N5" s="517"/>
      <c r="O5" s="517"/>
      <c r="P5" s="517"/>
    </row>
    <row r="6" spans="1:16" ht="16" thickBot="1" x14ac:dyDescent="0.4">
      <c r="A6" s="518"/>
      <c r="B6" s="518"/>
      <c r="C6" s="518"/>
      <c r="D6" s="518"/>
      <c r="E6" s="518"/>
      <c r="F6" s="518"/>
      <c r="G6" s="518"/>
      <c r="H6" s="518"/>
      <c r="I6" s="518"/>
      <c r="J6" s="518"/>
      <c r="K6" s="41"/>
      <c r="L6" s="41"/>
      <c r="M6" s="41"/>
      <c r="N6" s="41"/>
      <c r="O6" s="41"/>
      <c r="P6" s="41"/>
    </row>
    <row r="7" spans="1:16" x14ac:dyDescent="0.35">
      <c r="A7" s="557" t="s">
        <v>8</v>
      </c>
      <c r="B7" s="546"/>
      <c r="C7" s="558" t="s">
        <v>3</v>
      </c>
      <c r="D7" s="558" t="s">
        <v>4</v>
      </c>
      <c r="E7" s="560" t="s">
        <v>113</v>
      </c>
      <c r="F7" s="558" t="s">
        <v>114</v>
      </c>
      <c r="G7" s="558" t="s">
        <v>115</v>
      </c>
      <c r="H7" s="560" t="s">
        <v>116</v>
      </c>
      <c r="I7" s="558" t="s">
        <v>117</v>
      </c>
      <c r="J7" s="559" t="s">
        <v>8</v>
      </c>
    </row>
    <row r="8" spans="1:16" ht="16" thickBot="1" x14ac:dyDescent="0.4">
      <c r="A8" s="569" t="s">
        <v>11</v>
      </c>
      <c r="B8" s="153" t="s">
        <v>88</v>
      </c>
      <c r="C8" s="691">
        <f>'Stmt BG - Page 2'!C8</f>
        <v>44927</v>
      </c>
      <c r="D8" s="691">
        <f>'Stmt BG - Page 2'!D8</f>
        <v>44958</v>
      </c>
      <c r="E8" s="691">
        <f>'Stmt BG - Page 2'!E8</f>
        <v>44986</v>
      </c>
      <c r="F8" s="691">
        <f>'Stmt BG - Page 2'!F8</f>
        <v>45017</v>
      </c>
      <c r="G8" s="691">
        <f>'Stmt BG - Page 2'!G8</f>
        <v>45047</v>
      </c>
      <c r="H8" s="691">
        <f>'Stmt BG - Page 2'!H8</f>
        <v>45078</v>
      </c>
      <c r="I8" s="472"/>
      <c r="J8" s="570" t="s">
        <v>11</v>
      </c>
    </row>
    <row r="9" spans="1:16" x14ac:dyDescent="0.35">
      <c r="A9" s="263"/>
      <c r="B9" s="10"/>
      <c r="C9" s="10"/>
      <c r="D9" s="10"/>
      <c r="E9" s="10"/>
      <c r="F9" s="10"/>
      <c r="G9" s="10"/>
      <c r="H9" s="10"/>
      <c r="I9" s="17"/>
      <c r="J9" s="264"/>
    </row>
    <row r="10" spans="1:16" ht="18.5" x14ac:dyDescent="0.35">
      <c r="A10" s="263">
        <v>1</v>
      </c>
      <c r="B10" s="17" t="s">
        <v>118</v>
      </c>
      <c r="C10" s="19">
        <f>'Stmt BH - Page 2'!C33</f>
        <v>-1454313.9613394353</v>
      </c>
      <c r="D10" s="19">
        <f>'Stmt BH - Page 2'!D33</f>
        <v>-1212956.9700483026</v>
      </c>
      <c r="E10" s="19">
        <f>'Stmt BH - Page 2'!E33</f>
        <v>-1080003.3384894577</v>
      </c>
      <c r="F10" s="19">
        <f>'Stmt BH - Page 2'!F33</f>
        <v>-949753.95929889265</v>
      </c>
      <c r="G10" s="19">
        <f>'Stmt BH - Page 2'!G33</f>
        <v>-912582.49296073976</v>
      </c>
      <c r="H10" s="19">
        <f>'Stmt BH - Page 2'!H33</f>
        <v>-1008565.9605183299</v>
      </c>
      <c r="I10" s="17"/>
      <c r="J10" s="264">
        <v>1</v>
      </c>
    </row>
    <row r="11" spans="1:16" x14ac:dyDescent="0.35">
      <c r="A11" s="263">
        <f>A10+1</f>
        <v>2</v>
      </c>
      <c r="B11" s="11"/>
      <c r="C11" s="393"/>
      <c r="D11" s="393"/>
      <c r="E11" s="393"/>
      <c r="F11" s="393"/>
      <c r="G11" s="393"/>
      <c r="H11" s="393"/>
      <c r="I11" s="17"/>
      <c r="J11" s="264">
        <f>J10+1</f>
        <v>2</v>
      </c>
    </row>
    <row r="12" spans="1:16" ht="18.5" x14ac:dyDescent="0.35">
      <c r="A12" s="263">
        <f t="shared" ref="A12:A22" si="0">A11+1</f>
        <v>3</v>
      </c>
      <c r="B12" s="17" t="s">
        <v>119</v>
      </c>
      <c r="C12" s="31">
        <f>'Stmt BH - Page 2'!C35</f>
        <v>-439302.91665409016</v>
      </c>
      <c r="D12" s="31">
        <f>'Stmt BH - Page 2'!D35</f>
        <v>-425174.18269184453</v>
      </c>
      <c r="E12" s="31">
        <f>'Stmt BH - Page 2'!E35</f>
        <v>-414154.98387676448</v>
      </c>
      <c r="F12" s="31">
        <f>'Stmt BH - Page 2'!F35</f>
        <v>-418359.31451255165</v>
      </c>
      <c r="G12" s="31">
        <f>'Stmt BH - Page 2'!G35</f>
        <v>-414688.22260690125</v>
      </c>
      <c r="H12" s="31">
        <f>'Stmt BH - Page 2'!H35</f>
        <v>-443892.8243029468</v>
      </c>
      <c r="I12" s="17"/>
      <c r="J12" s="264">
        <f t="shared" ref="J12:J22" si="1">J11+1</f>
        <v>3</v>
      </c>
    </row>
    <row r="13" spans="1:16" x14ac:dyDescent="0.35">
      <c r="A13" s="263">
        <f t="shared" si="0"/>
        <v>4</v>
      </c>
      <c r="B13" s="386"/>
      <c r="C13" s="394"/>
      <c r="D13" s="394"/>
      <c r="E13" s="394"/>
      <c r="F13" s="394"/>
      <c r="G13" s="394"/>
      <c r="H13" s="394"/>
      <c r="I13" s="17"/>
      <c r="J13" s="264">
        <f t="shared" si="1"/>
        <v>4</v>
      </c>
    </row>
    <row r="14" spans="1:16" ht="18.5" x14ac:dyDescent="0.35">
      <c r="A14" s="263">
        <f t="shared" si="0"/>
        <v>5</v>
      </c>
      <c r="B14" s="17" t="s">
        <v>120</v>
      </c>
      <c r="C14" s="31">
        <f>'Stmt BH - Page 2'!C37</f>
        <v>-1818851.5103764278</v>
      </c>
      <c r="D14" s="31">
        <f>'Stmt BH - Page 2'!D37</f>
        <v>-1749110.6784629226</v>
      </c>
      <c r="E14" s="31">
        <f>'Stmt BH - Page 2'!E37</f>
        <v>-1710408.168161995</v>
      </c>
      <c r="F14" s="31">
        <f>'Stmt BH - Page 2'!F37</f>
        <v>-1812719.1033135774</v>
      </c>
      <c r="G14" s="31">
        <f>'Stmt BH - Page 2'!G37</f>
        <v>-1805084.1350530346</v>
      </c>
      <c r="H14" s="31">
        <f>'Stmt BH - Page 2'!H37</f>
        <v>-1934768.1331363926</v>
      </c>
      <c r="I14" s="17"/>
      <c r="J14" s="264">
        <f t="shared" si="1"/>
        <v>5</v>
      </c>
    </row>
    <row r="15" spans="1:16" x14ac:dyDescent="0.35">
      <c r="A15" s="263">
        <f t="shared" si="0"/>
        <v>6</v>
      </c>
      <c r="B15" s="17"/>
      <c r="C15" s="31"/>
      <c r="D15" s="31"/>
      <c r="E15" s="31"/>
      <c r="F15" s="31"/>
      <c r="G15" s="31"/>
      <c r="H15" s="31"/>
      <c r="I15" s="17"/>
      <c r="J15" s="264">
        <f t="shared" si="1"/>
        <v>6</v>
      </c>
    </row>
    <row r="16" spans="1:16" ht="18.5" x14ac:dyDescent="0.35">
      <c r="A16" s="263">
        <f t="shared" si="0"/>
        <v>7</v>
      </c>
      <c r="B16" s="56" t="s">
        <v>121</v>
      </c>
      <c r="C16" s="31">
        <f>'Stmt BH - Page 2'!C39</f>
        <v>-14378.764311140443</v>
      </c>
      <c r="D16" s="31">
        <f>'Stmt BH - Page 2'!D39</f>
        <v>-19963.4287526888</v>
      </c>
      <c r="E16" s="31">
        <f>'Stmt BH - Page 2'!E39</f>
        <v>-17643.58915261085</v>
      </c>
      <c r="F16" s="31">
        <f>'Stmt BH - Page 2'!F39</f>
        <v>-20330.672814644615</v>
      </c>
      <c r="G16" s="31">
        <f>'Stmt BH - Page 2'!G39</f>
        <v>-25815.558252957304</v>
      </c>
      <c r="H16" s="31">
        <f>'Stmt BH - Page 2'!H39</f>
        <v>-28330.053316396079</v>
      </c>
      <c r="I16" s="17"/>
      <c r="J16" s="264">
        <f t="shared" si="1"/>
        <v>7</v>
      </c>
    </row>
    <row r="17" spans="1:18" x14ac:dyDescent="0.35">
      <c r="A17" s="263">
        <f t="shared" si="0"/>
        <v>8</v>
      </c>
      <c r="B17" s="17"/>
      <c r="C17" s="31"/>
      <c r="D17" s="31"/>
      <c r="E17" s="31"/>
      <c r="F17" s="31"/>
      <c r="G17" s="31"/>
      <c r="H17" s="31"/>
      <c r="I17" s="17"/>
      <c r="J17" s="264">
        <f t="shared" si="1"/>
        <v>8</v>
      </c>
    </row>
    <row r="18" spans="1:18" ht="18.5" x14ac:dyDescent="0.35">
      <c r="A18" s="263">
        <f t="shared" si="0"/>
        <v>9</v>
      </c>
      <c r="B18" s="56" t="s">
        <v>122</v>
      </c>
      <c r="C18" s="31">
        <f>'Stmt BH - Page 2'!C41</f>
        <v>-35249.915941951498</v>
      </c>
      <c r="D18" s="31">
        <f>'Stmt BH - Page 2'!D41</f>
        <v>-37231.124464985674</v>
      </c>
      <c r="E18" s="31">
        <f>'Stmt BH - Page 2'!E41</f>
        <v>-35397.113660482828</v>
      </c>
      <c r="F18" s="31">
        <f>'Stmt BH - Page 2'!F41</f>
        <v>-40756.801027499539</v>
      </c>
      <c r="G18" s="31">
        <f>'Stmt BH - Page 2'!G41</f>
        <v>-44168.496173078587</v>
      </c>
      <c r="H18" s="31">
        <f>'Stmt BH - Page 2'!H41</f>
        <v>-47921.682393208146</v>
      </c>
      <c r="I18" s="17"/>
      <c r="J18" s="264">
        <f t="shared" si="1"/>
        <v>9</v>
      </c>
    </row>
    <row r="19" spans="1:18" x14ac:dyDescent="0.35">
      <c r="A19" s="263">
        <f t="shared" si="0"/>
        <v>10</v>
      </c>
      <c r="B19" s="17"/>
      <c r="C19" s="31"/>
      <c r="D19" s="31"/>
      <c r="E19" s="31"/>
      <c r="F19" s="31"/>
      <c r="G19" s="31"/>
      <c r="H19" s="31"/>
      <c r="I19" s="17"/>
      <c r="J19" s="264">
        <f t="shared" si="1"/>
        <v>10</v>
      </c>
    </row>
    <row r="20" spans="1:18" ht="18.5" x14ac:dyDescent="0.35">
      <c r="A20" s="263">
        <f t="shared" si="0"/>
        <v>11</v>
      </c>
      <c r="B20" s="17" t="s">
        <v>123</v>
      </c>
      <c r="C20" s="38">
        <f>'Stmt BH - Page 2'!C43</f>
        <v>-15625.226989685747</v>
      </c>
      <c r="D20" s="38">
        <f>'Stmt BH - Page 2'!D43</f>
        <v>-15594.512155201523</v>
      </c>
      <c r="E20" s="38">
        <f>'Stmt BH - Page 2'!E43</f>
        <v>-15726.312187818181</v>
      </c>
      <c r="F20" s="38">
        <f>'Stmt BH - Page 2'!F43</f>
        <v>-16770.788805876764</v>
      </c>
      <c r="G20" s="38">
        <f>'Stmt BH - Page 2'!G43</f>
        <v>-15346.248837738922</v>
      </c>
      <c r="H20" s="38">
        <f>'Stmt BH - Page 2'!H43</f>
        <v>-15400.269649518341</v>
      </c>
      <c r="I20" s="17"/>
      <c r="J20" s="264">
        <f t="shared" si="1"/>
        <v>11</v>
      </c>
    </row>
    <row r="21" spans="1:18" x14ac:dyDescent="0.35">
      <c r="A21" s="263">
        <f t="shared" si="0"/>
        <v>12</v>
      </c>
      <c r="B21" s="17"/>
      <c r="C21" s="31"/>
      <c r="D21" s="31"/>
      <c r="E21" s="31"/>
      <c r="F21" s="31"/>
      <c r="G21" s="31"/>
      <c r="H21" s="31"/>
      <c r="I21" s="7"/>
      <c r="J21" s="264">
        <f t="shared" si="1"/>
        <v>12</v>
      </c>
    </row>
    <row r="22" spans="1:18" x14ac:dyDescent="0.35">
      <c r="A22" s="263">
        <f t="shared" si="0"/>
        <v>13</v>
      </c>
      <c r="B22" s="11" t="s">
        <v>124</v>
      </c>
      <c r="C22" s="519">
        <f t="shared" ref="C22:H22" si="2">SUM(C10:C20)</f>
        <v>-3777722.2956127306</v>
      </c>
      <c r="D22" s="519">
        <f t="shared" si="2"/>
        <v>-3460030.8965759454</v>
      </c>
      <c r="E22" s="519">
        <f t="shared" si="2"/>
        <v>-3273333.5055291294</v>
      </c>
      <c r="F22" s="519">
        <f t="shared" si="2"/>
        <v>-3258690.6397730424</v>
      </c>
      <c r="G22" s="519">
        <f t="shared" si="2"/>
        <v>-3217685.1538844504</v>
      </c>
      <c r="H22" s="519">
        <f t="shared" si="2"/>
        <v>-3478878.9233167917</v>
      </c>
      <c r="I22" s="12"/>
      <c r="J22" s="264">
        <f t="shared" si="1"/>
        <v>13</v>
      </c>
    </row>
    <row r="23" spans="1:18" ht="16" thickBot="1" x14ac:dyDescent="0.4">
      <c r="A23" s="301"/>
      <c r="B23" s="561"/>
      <c r="C23" s="562"/>
      <c r="D23" s="690"/>
      <c r="E23" s="563"/>
      <c r="F23" s="690"/>
      <c r="G23" s="563"/>
      <c r="H23" s="690"/>
      <c r="I23" s="564"/>
      <c r="J23" s="407"/>
      <c r="R23" s="143"/>
    </row>
    <row r="24" spans="1:18" ht="16" thickBot="1" x14ac:dyDescent="0.4">
      <c r="A24" s="37"/>
      <c r="B24" s="396"/>
      <c r="C24" s="396"/>
      <c r="D24" s="396"/>
      <c r="E24" s="396"/>
      <c r="F24" s="396"/>
      <c r="G24" s="396"/>
      <c r="H24" s="396"/>
      <c r="I24" s="396"/>
      <c r="J24" s="396"/>
      <c r="K24" s="396"/>
      <c r="L24" s="396"/>
      <c r="M24" s="396"/>
      <c r="N24" s="396"/>
      <c r="O24" s="396"/>
    </row>
    <row r="25" spans="1:18" x14ac:dyDescent="0.35">
      <c r="A25" s="761" t="s">
        <v>8</v>
      </c>
      <c r="B25" s="456"/>
      <c r="C25" s="558" t="str">
        <f t="shared" ref="C25:I25" si="3">C7</f>
        <v>(A)</v>
      </c>
      <c r="D25" s="558" t="str">
        <f t="shared" si="3"/>
        <v>(B)</v>
      </c>
      <c r="E25" s="558" t="str">
        <f t="shared" si="3"/>
        <v>(C)</v>
      </c>
      <c r="F25" s="558" t="str">
        <f t="shared" si="3"/>
        <v>(D)</v>
      </c>
      <c r="G25" s="558" t="str">
        <f t="shared" si="3"/>
        <v>(E)</v>
      </c>
      <c r="H25" s="558" t="str">
        <f t="shared" si="3"/>
        <v>(F)</v>
      </c>
      <c r="I25" s="558" t="str">
        <f t="shared" si="3"/>
        <v>(G)</v>
      </c>
      <c r="J25" s="762" t="s">
        <v>8</v>
      </c>
      <c r="K25" s="396"/>
      <c r="L25" s="396"/>
      <c r="M25" s="396"/>
      <c r="N25" s="396"/>
      <c r="O25" s="396"/>
    </row>
    <row r="26" spans="1:18" ht="16" thickBot="1" x14ac:dyDescent="0.4">
      <c r="A26" s="763" t="s">
        <v>11</v>
      </c>
      <c r="B26" s="153" t="s">
        <v>88</v>
      </c>
      <c r="C26" s="691">
        <f>'Stmt BG - Page 2'!C26</f>
        <v>45108</v>
      </c>
      <c r="D26" s="691">
        <f>'Stmt BG - Page 2'!D26</f>
        <v>45139</v>
      </c>
      <c r="E26" s="691">
        <f>'Stmt BG - Page 2'!E26</f>
        <v>45170</v>
      </c>
      <c r="F26" s="691">
        <f>'Stmt BG - Page 2'!F26</f>
        <v>45200</v>
      </c>
      <c r="G26" s="691">
        <f>'Stmt BG - Page 2'!G26</f>
        <v>45231</v>
      </c>
      <c r="H26" s="691">
        <f>'Stmt BG - Page 2'!H26</f>
        <v>45261</v>
      </c>
      <c r="I26" s="583"/>
      <c r="J26" s="572" t="s">
        <v>11</v>
      </c>
      <c r="K26" s="396"/>
      <c r="L26" s="396"/>
      <c r="M26" s="396"/>
      <c r="N26" s="396"/>
      <c r="O26" s="396"/>
    </row>
    <row r="27" spans="1:18" x14ac:dyDescent="0.35">
      <c r="A27" s="263"/>
      <c r="B27" s="10"/>
      <c r="C27" s="10"/>
      <c r="D27" s="10"/>
      <c r="E27" s="10"/>
      <c r="F27" s="10"/>
      <c r="G27" s="10"/>
      <c r="H27" s="10"/>
      <c r="I27" s="10"/>
      <c r="J27" s="264"/>
      <c r="K27" s="396"/>
      <c r="L27" s="396"/>
      <c r="M27" s="396"/>
      <c r="N27" s="396"/>
      <c r="O27" s="396"/>
    </row>
    <row r="28" spans="1:18" ht="18.5" x14ac:dyDescent="0.35">
      <c r="A28" s="263">
        <f>A22+1</f>
        <v>14</v>
      </c>
      <c r="B28" s="17" t="s">
        <v>118</v>
      </c>
      <c r="C28" s="19">
        <f>'Stmt BH - Page 3'!C33</f>
        <v>-1272088.3491148499</v>
      </c>
      <c r="D28" s="19">
        <f>'Stmt BH - Page 3'!D33</f>
        <v>-1501921.1019418577</v>
      </c>
      <c r="E28" s="19">
        <f>'Stmt BH - Page 3'!E33</f>
        <v>-1588261.9833015411</v>
      </c>
      <c r="F28" s="19">
        <f>'Stmt BH - Page 3'!F33</f>
        <v>-1271394.8162759705</v>
      </c>
      <c r="G28" s="19">
        <f>'Stmt BH - Page 3'!G33</f>
        <v>-1124763.6872235867</v>
      </c>
      <c r="H28" s="19">
        <f>'Stmt BH - Page 3'!H33</f>
        <v>-1286561.2484661194</v>
      </c>
      <c r="I28" s="19">
        <f>SUM(C10:H10,C28:H28)</f>
        <v>-14663167.868979083</v>
      </c>
      <c r="J28" s="264">
        <f>J22+1</f>
        <v>14</v>
      </c>
      <c r="K28" s="396"/>
      <c r="L28" s="396"/>
      <c r="M28" s="396"/>
      <c r="N28" s="396"/>
      <c r="O28" s="396"/>
    </row>
    <row r="29" spans="1:18" x14ac:dyDescent="0.35">
      <c r="A29" s="263">
        <f>A28+1</f>
        <v>15</v>
      </c>
      <c r="B29" s="11"/>
      <c r="C29" s="393"/>
      <c r="D29" s="393"/>
      <c r="E29" s="393"/>
      <c r="F29" s="393"/>
      <c r="G29" s="393"/>
      <c r="H29" s="393"/>
      <c r="I29" s="393"/>
      <c r="J29" s="264">
        <f>J28+1</f>
        <v>15</v>
      </c>
      <c r="K29" s="396"/>
      <c r="L29" s="396"/>
      <c r="M29" s="396"/>
      <c r="N29" s="396"/>
      <c r="O29" s="396"/>
    </row>
    <row r="30" spans="1:18" ht="18.5" x14ac:dyDescent="0.35">
      <c r="A30" s="263">
        <f t="shared" ref="A30:A40" si="4">A29+1</f>
        <v>16</v>
      </c>
      <c r="B30" s="17" t="s">
        <v>119</v>
      </c>
      <c r="C30" s="31">
        <f>'Stmt BH - Page 3'!C35</f>
        <v>-491739.89652246964</v>
      </c>
      <c r="D30" s="31">
        <f>'Stmt BH - Page 3'!D35</f>
        <v>-517603.28381772799</v>
      </c>
      <c r="E30" s="31">
        <f>'Stmt BH - Page 3'!E35</f>
        <v>-537155.58607170766</v>
      </c>
      <c r="F30" s="31">
        <f>'Stmt BH - Page 3'!F35</f>
        <v>-485144.6923649591</v>
      </c>
      <c r="G30" s="31">
        <f>'Stmt BH - Page 3'!G35</f>
        <v>-449085.86689468636</v>
      </c>
      <c r="H30" s="31">
        <f>'Stmt BH - Page 3'!H35</f>
        <v>-441283.0382824972</v>
      </c>
      <c r="I30" s="19">
        <f>SUM(C12:H12,C30:H30)</f>
        <v>-5477584.808599147</v>
      </c>
      <c r="J30" s="264">
        <f t="shared" ref="J30:J40" si="5">J29+1</f>
        <v>16</v>
      </c>
      <c r="K30" s="396"/>
      <c r="L30" s="396"/>
      <c r="M30" s="396"/>
      <c r="N30" s="396"/>
      <c r="O30" s="396"/>
    </row>
    <row r="31" spans="1:18" x14ac:dyDescent="0.35">
      <c r="A31" s="263">
        <f t="shared" si="4"/>
        <v>17</v>
      </c>
      <c r="B31" s="386"/>
      <c r="C31" s="394"/>
      <c r="D31" s="394"/>
      <c r="E31" s="394"/>
      <c r="F31" s="394"/>
      <c r="G31" s="394"/>
      <c r="H31" s="394"/>
      <c r="I31" s="31"/>
      <c r="J31" s="264">
        <f t="shared" si="5"/>
        <v>17</v>
      </c>
      <c r="K31" s="396"/>
      <c r="L31" s="396"/>
      <c r="M31" s="396"/>
      <c r="N31" s="396"/>
      <c r="O31" s="396"/>
    </row>
    <row r="32" spans="1:18" ht="18.5" x14ac:dyDescent="0.35">
      <c r="A32" s="263">
        <f t="shared" si="4"/>
        <v>18</v>
      </c>
      <c r="B32" s="17" t="s">
        <v>120</v>
      </c>
      <c r="C32" s="31">
        <f>'Stmt BH - Page 3'!C37</f>
        <v>-2102065.6885520639</v>
      </c>
      <c r="D32" s="31">
        <f>'Stmt BH - Page 3'!D37</f>
        <v>-2175978.098472828</v>
      </c>
      <c r="E32" s="31">
        <f>'Stmt BH - Page 3'!E37</f>
        <v>-2203083.1409318424</v>
      </c>
      <c r="F32" s="31">
        <f>'Stmt BH - Page 3'!F37</f>
        <v>-2035625.7169035436</v>
      </c>
      <c r="G32" s="31">
        <f>'Stmt BH - Page 3'!G37</f>
        <v>-1919901.5665325294</v>
      </c>
      <c r="H32" s="31">
        <f>'Stmt BH - Page 3'!H37</f>
        <v>-1828792.7436424333</v>
      </c>
      <c r="I32" s="19">
        <f>SUM(C14:H14,C32:H32)</f>
        <v>-23096388.683539592</v>
      </c>
      <c r="J32" s="264">
        <f t="shared" si="5"/>
        <v>18</v>
      </c>
      <c r="K32" s="396"/>
      <c r="L32" s="396"/>
      <c r="M32" s="396"/>
      <c r="N32" s="396"/>
      <c r="O32" s="396"/>
    </row>
    <row r="33" spans="1:15" x14ac:dyDescent="0.35">
      <c r="A33" s="263">
        <f t="shared" si="4"/>
        <v>19</v>
      </c>
      <c r="B33" s="17"/>
      <c r="C33" s="31"/>
      <c r="D33" s="31"/>
      <c r="E33" s="31"/>
      <c r="F33" s="31"/>
      <c r="G33" s="31"/>
      <c r="H33" s="31"/>
      <c r="I33" s="31"/>
      <c r="J33" s="264">
        <f t="shared" si="5"/>
        <v>19</v>
      </c>
      <c r="K33" s="396"/>
      <c r="L33" s="396"/>
      <c r="M33" s="396"/>
      <c r="N33" s="396"/>
      <c r="O33" s="396"/>
    </row>
    <row r="34" spans="1:15" ht="18.5" x14ac:dyDescent="0.35">
      <c r="A34" s="263">
        <f t="shared" si="4"/>
        <v>20</v>
      </c>
      <c r="B34" s="56" t="s">
        <v>121</v>
      </c>
      <c r="C34" s="31">
        <f>'Stmt BH - Page 3'!C39</f>
        <v>-30502.038200789895</v>
      </c>
      <c r="D34" s="31">
        <f>'Stmt BH - Page 3'!D39</f>
        <v>-31446.548582854095</v>
      </c>
      <c r="E34" s="31">
        <f>'Stmt BH - Page 3'!E39</f>
        <v>-32038.789234108473</v>
      </c>
      <c r="F34" s="31">
        <f>'Stmt BH - Page 3'!F39</f>
        <v>-27745.122029505033</v>
      </c>
      <c r="G34" s="31">
        <f>'Stmt BH - Page 3'!G39</f>
        <v>-21218.284641307393</v>
      </c>
      <c r="H34" s="31">
        <f>'Stmt BH - Page 3'!H39</f>
        <v>-20412.151303129012</v>
      </c>
      <c r="I34" s="19">
        <f>SUM(C16:H16,C34:H34)</f>
        <v>-289825.00059213198</v>
      </c>
      <c r="J34" s="264">
        <f t="shared" si="5"/>
        <v>20</v>
      </c>
      <c r="K34" s="396"/>
      <c r="L34" s="396"/>
      <c r="M34" s="396"/>
      <c r="N34" s="396"/>
      <c r="O34" s="396"/>
    </row>
    <row r="35" spans="1:15" x14ac:dyDescent="0.35">
      <c r="A35" s="263">
        <f t="shared" si="4"/>
        <v>21</v>
      </c>
      <c r="B35" s="17"/>
      <c r="C35" s="31"/>
      <c r="D35" s="31"/>
      <c r="E35" s="31"/>
      <c r="F35" s="31"/>
      <c r="G35" s="31"/>
      <c r="H35" s="31"/>
      <c r="I35" s="31"/>
      <c r="J35" s="264">
        <f t="shared" si="5"/>
        <v>21</v>
      </c>
      <c r="K35" s="396"/>
      <c r="L35" s="396"/>
      <c r="M35" s="396"/>
      <c r="N35" s="396"/>
      <c r="O35" s="396"/>
    </row>
    <row r="36" spans="1:15" ht="18.5" x14ac:dyDescent="0.35">
      <c r="A36" s="263">
        <f t="shared" si="4"/>
        <v>22</v>
      </c>
      <c r="B36" s="56" t="s">
        <v>122</v>
      </c>
      <c r="C36" s="31">
        <f>'Stmt BH - Page 3'!C41</f>
        <v>-54232.745003628217</v>
      </c>
      <c r="D36" s="31">
        <f>'Stmt BH - Page 3'!D41</f>
        <v>-52892.897968480553</v>
      </c>
      <c r="E36" s="31">
        <f>'Stmt BH - Page 3'!E41</f>
        <v>-53944.895686711781</v>
      </c>
      <c r="F36" s="31">
        <f>'Stmt BH - Page 3'!F41</f>
        <v>-48606.626860537843</v>
      </c>
      <c r="G36" s="31">
        <f>'Stmt BH - Page 3'!G41</f>
        <v>-45632.463630727048</v>
      </c>
      <c r="H36" s="31">
        <f>'Stmt BH - Page 3'!H41</f>
        <v>-41061.337638435616</v>
      </c>
      <c r="I36" s="19">
        <f>SUM(C18:H18,C36:H36)</f>
        <v>-537096.10044972727</v>
      </c>
      <c r="J36" s="264">
        <f t="shared" si="5"/>
        <v>22</v>
      </c>
      <c r="K36" s="396"/>
      <c r="L36" s="396"/>
      <c r="M36" s="396"/>
      <c r="N36" s="396"/>
      <c r="O36" s="396"/>
    </row>
    <row r="37" spans="1:15" x14ac:dyDescent="0.35">
      <c r="A37" s="263">
        <f t="shared" si="4"/>
        <v>23</v>
      </c>
      <c r="B37" s="17"/>
      <c r="C37" s="31"/>
      <c r="D37" s="31"/>
      <c r="E37" s="31"/>
      <c r="F37" s="31"/>
      <c r="G37" s="31"/>
      <c r="H37" s="31"/>
      <c r="I37" s="31"/>
      <c r="J37" s="264">
        <f t="shared" si="5"/>
        <v>23</v>
      </c>
      <c r="K37" s="396"/>
      <c r="L37" s="396"/>
      <c r="M37" s="396"/>
      <c r="N37" s="396"/>
      <c r="O37" s="396"/>
    </row>
    <row r="38" spans="1:15" ht="18.5" x14ac:dyDescent="0.35">
      <c r="A38" s="263">
        <f t="shared" si="4"/>
        <v>24</v>
      </c>
      <c r="B38" s="17" t="s">
        <v>123</v>
      </c>
      <c r="C38" s="38">
        <f>'Stmt BH - Page 3'!C43</f>
        <v>-15585.500265675866</v>
      </c>
      <c r="D38" s="38">
        <f>'Stmt BH - Page 3'!D43</f>
        <v>-15155.191727257599</v>
      </c>
      <c r="E38" s="38">
        <f>'Stmt BH - Page 3'!E43</f>
        <v>-15773.642980691326</v>
      </c>
      <c r="F38" s="38">
        <f>'Stmt BH - Page 3'!F43</f>
        <v>-15443.801852871751</v>
      </c>
      <c r="G38" s="38">
        <f>'Stmt BH - Page 3'!G43</f>
        <v>-15549.427444885996</v>
      </c>
      <c r="H38" s="38">
        <f>'Stmt BH - Page 3'!H43</f>
        <v>-15713.561420579032</v>
      </c>
      <c r="I38" s="14">
        <f>SUM(C20:H20,C38:H38)</f>
        <v>-187684.48431780105</v>
      </c>
      <c r="J38" s="264">
        <f t="shared" si="5"/>
        <v>24</v>
      </c>
      <c r="K38" s="396"/>
      <c r="L38" s="396"/>
      <c r="M38" s="396"/>
      <c r="N38" s="396"/>
      <c r="O38" s="396"/>
    </row>
    <row r="39" spans="1:15" x14ac:dyDescent="0.35">
      <c r="A39" s="263">
        <f t="shared" si="4"/>
        <v>25</v>
      </c>
      <c r="B39" s="17"/>
      <c r="C39" s="31"/>
      <c r="D39" s="31"/>
      <c r="E39" s="31"/>
      <c r="F39" s="31"/>
      <c r="G39" s="31"/>
      <c r="H39" s="31"/>
      <c r="I39" s="31"/>
      <c r="J39" s="264">
        <f t="shared" si="5"/>
        <v>25</v>
      </c>
      <c r="K39" s="396"/>
      <c r="L39" s="396"/>
      <c r="M39" s="396"/>
      <c r="N39" s="396"/>
      <c r="O39" s="396"/>
    </row>
    <row r="40" spans="1:15" x14ac:dyDescent="0.35">
      <c r="A40" s="263">
        <f t="shared" si="4"/>
        <v>26</v>
      </c>
      <c r="B40" s="11" t="s">
        <v>124</v>
      </c>
      <c r="C40" s="519">
        <f t="shared" ref="C40:I40" si="6">SUM(C28:C38)</f>
        <v>-3966214.2176594776</v>
      </c>
      <c r="D40" s="519">
        <f t="shared" si="6"/>
        <v>-4294997.122511005</v>
      </c>
      <c r="E40" s="519">
        <f t="shared" si="6"/>
        <v>-4430258.0382066024</v>
      </c>
      <c r="F40" s="519">
        <f t="shared" si="6"/>
        <v>-3883960.7762873881</v>
      </c>
      <c r="G40" s="519">
        <f t="shared" si="6"/>
        <v>-3576151.296367723</v>
      </c>
      <c r="H40" s="519">
        <f t="shared" si="6"/>
        <v>-3633824.0807531928</v>
      </c>
      <c r="I40" s="519">
        <f t="shared" si="6"/>
        <v>-44251746.946477488</v>
      </c>
      <c r="J40" s="264">
        <f t="shared" si="5"/>
        <v>26</v>
      </c>
      <c r="K40" s="396"/>
      <c r="L40" s="396"/>
      <c r="M40" s="396"/>
      <c r="N40" s="396"/>
      <c r="O40" s="396"/>
    </row>
    <row r="41" spans="1:15" ht="16" thickBot="1" x14ac:dyDescent="0.4">
      <c r="A41" s="301"/>
      <c r="B41" s="561"/>
      <c r="C41" s="563"/>
      <c r="D41" s="563"/>
      <c r="E41" s="563"/>
      <c r="F41" s="563"/>
      <c r="G41" s="563"/>
      <c r="H41" s="563"/>
      <c r="I41" s="261"/>
      <c r="J41" s="407"/>
      <c r="K41" s="396"/>
      <c r="L41" s="396"/>
      <c r="M41" s="396"/>
      <c r="N41" s="396"/>
      <c r="O41" s="396"/>
    </row>
    <row r="42" spans="1:15" x14ac:dyDescent="0.35">
      <c r="A42" s="50"/>
      <c r="B42" s="396"/>
      <c r="C42" s="396"/>
      <c r="D42" s="396"/>
      <c r="E42" s="396"/>
      <c r="F42" s="396"/>
      <c r="G42" s="396"/>
      <c r="H42" s="396"/>
      <c r="I42" s="396"/>
      <c r="J42" s="396"/>
      <c r="K42" s="396"/>
      <c r="L42" s="396"/>
      <c r="M42" s="396"/>
      <c r="N42" s="396"/>
      <c r="O42" s="397"/>
    </row>
    <row r="43" spans="1:15" ht="18.5" x14ac:dyDescent="0.35">
      <c r="A43" s="83" t="s">
        <v>125</v>
      </c>
      <c r="B43" s="22" t="s">
        <v>163</v>
      </c>
      <c r="C43" s="243"/>
      <c r="D43" s="243"/>
      <c r="F43" s="520">
        <v>4</v>
      </c>
      <c r="G43" s="22" t="s">
        <v>164</v>
      </c>
    </row>
    <row r="44" spans="1:15" ht="18.5" x14ac:dyDescent="0.35">
      <c r="A44" s="83">
        <v>2</v>
      </c>
      <c r="B44" s="22" t="s">
        <v>165</v>
      </c>
      <c r="C44" s="830"/>
      <c r="D44" s="830"/>
      <c r="F44" s="520">
        <v>5</v>
      </c>
      <c r="G44" s="22" t="s">
        <v>166</v>
      </c>
    </row>
    <row r="45" spans="1:15" ht="18.5" x14ac:dyDescent="0.35">
      <c r="A45" s="83">
        <v>3</v>
      </c>
      <c r="B45" s="22" t="s">
        <v>167</v>
      </c>
      <c r="C45" s="243"/>
      <c r="D45" s="243"/>
      <c r="F45" s="520">
        <v>6</v>
      </c>
      <c r="G45" s="22" t="s">
        <v>168</v>
      </c>
    </row>
    <row r="46" spans="1:15" x14ac:dyDescent="0.35">
      <c r="C46" s="243"/>
      <c r="D46" s="243"/>
    </row>
    <row r="47" spans="1:15" x14ac:dyDescent="0.35">
      <c r="C47" s="243"/>
      <c r="D47" s="243"/>
    </row>
    <row r="48" spans="1:15" x14ac:dyDescent="0.35">
      <c r="C48" s="243"/>
      <c r="D48" s="243"/>
    </row>
    <row r="49" spans="1:1" x14ac:dyDescent="0.35">
      <c r="A49" s="37"/>
    </row>
    <row r="50" spans="1:1" x14ac:dyDescent="0.35">
      <c r="A50" s="37"/>
    </row>
    <row r="51" spans="1:1" x14ac:dyDescent="0.35">
      <c r="A51" s="37"/>
    </row>
    <row r="52" spans="1:1" x14ac:dyDescent="0.35">
      <c r="A52" s="37"/>
    </row>
    <row r="53" spans="1:1" x14ac:dyDescent="0.35">
      <c r="A53" s="37"/>
    </row>
    <row r="54" spans="1:1" x14ac:dyDescent="0.35">
      <c r="A54" s="37"/>
    </row>
    <row r="55" spans="1:1" x14ac:dyDescent="0.35">
      <c r="A55" s="37"/>
    </row>
    <row r="56" spans="1:1" x14ac:dyDescent="0.35">
      <c r="A56" s="37"/>
    </row>
    <row r="57" spans="1:1" x14ac:dyDescent="0.35">
      <c r="A57" s="37"/>
    </row>
    <row r="58" spans="1:1" x14ac:dyDescent="0.35">
      <c r="A58" s="37"/>
    </row>
    <row r="59" spans="1:1" x14ac:dyDescent="0.35">
      <c r="A59" s="37"/>
    </row>
    <row r="60" spans="1:1" x14ac:dyDescent="0.35">
      <c r="A60" s="37"/>
    </row>
    <row r="61" spans="1:1" x14ac:dyDescent="0.35">
      <c r="A61" s="37"/>
    </row>
    <row r="62" spans="1:1" x14ac:dyDescent="0.35">
      <c r="A62" s="37"/>
    </row>
    <row r="63" spans="1:1" x14ac:dyDescent="0.35">
      <c r="A63" s="37"/>
    </row>
    <row r="64" spans="1:1" x14ac:dyDescent="0.35">
      <c r="A64" s="37"/>
    </row>
    <row r="65" spans="1:1" x14ac:dyDescent="0.35">
      <c r="A65" s="37"/>
    </row>
    <row r="66" spans="1:1" x14ac:dyDescent="0.35">
      <c r="A66" s="37"/>
    </row>
    <row r="67" spans="1:1" x14ac:dyDescent="0.35">
      <c r="A67" s="37"/>
    </row>
    <row r="68" spans="1:1" x14ac:dyDescent="0.35">
      <c r="A68" s="37"/>
    </row>
    <row r="69" spans="1:1" x14ac:dyDescent="0.35">
      <c r="A69" s="37"/>
    </row>
    <row r="70" spans="1:1" x14ac:dyDescent="0.35">
      <c r="A70" s="37"/>
    </row>
    <row r="71" spans="1:1" x14ac:dyDescent="0.35">
      <c r="A71" s="37"/>
    </row>
    <row r="72" spans="1:1" x14ac:dyDescent="0.35">
      <c r="A72" s="37"/>
    </row>
    <row r="73" spans="1:1" x14ac:dyDescent="0.35">
      <c r="A73" s="37"/>
    </row>
    <row r="74" spans="1:1" x14ac:dyDescent="0.35">
      <c r="A74" s="37"/>
    </row>
    <row r="75" spans="1:1" x14ac:dyDescent="0.35">
      <c r="A75" s="37"/>
    </row>
    <row r="76" spans="1:1" x14ac:dyDescent="0.35">
      <c r="A76" s="37"/>
    </row>
    <row r="77" spans="1:1" x14ac:dyDescent="0.35">
      <c r="A77" s="37"/>
    </row>
    <row r="78" spans="1:1" x14ac:dyDescent="0.35">
      <c r="A78" s="37"/>
    </row>
    <row r="79" spans="1:1" x14ac:dyDescent="0.35">
      <c r="A79" s="37"/>
    </row>
    <row r="80" spans="1:1" x14ac:dyDescent="0.35">
      <c r="A80" s="37"/>
    </row>
    <row r="81" spans="1:1" x14ac:dyDescent="0.35">
      <c r="A81" s="37"/>
    </row>
    <row r="82" spans="1:1" x14ac:dyDescent="0.35">
      <c r="A82" s="37"/>
    </row>
    <row r="83" spans="1:1" x14ac:dyDescent="0.35">
      <c r="A83" s="37"/>
    </row>
    <row r="84" spans="1:1" x14ac:dyDescent="0.35">
      <c r="A84" s="37"/>
    </row>
    <row r="85" spans="1:1" x14ac:dyDescent="0.35">
      <c r="A85" s="37"/>
    </row>
    <row r="86" spans="1:1" x14ac:dyDescent="0.35">
      <c r="A86" s="37"/>
    </row>
    <row r="87" spans="1:1" x14ac:dyDescent="0.35">
      <c r="A87" s="37"/>
    </row>
    <row r="88" spans="1:1" x14ac:dyDescent="0.35">
      <c r="A88" s="37"/>
    </row>
    <row r="89" spans="1:1" x14ac:dyDescent="0.35">
      <c r="A89" s="37"/>
    </row>
    <row r="90" spans="1:1" x14ac:dyDescent="0.35">
      <c r="A90" s="37"/>
    </row>
    <row r="91" spans="1:1" x14ac:dyDescent="0.35">
      <c r="A91" s="37"/>
    </row>
    <row r="92" spans="1:1" x14ac:dyDescent="0.35">
      <c r="A92" s="37"/>
    </row>
    <row r="93" spans="1:1" x14ac:dyDescent="0.35">
      <c r="A93" s="37"/>
    </row>
    <row r="94" spans="1:1" x14ac:dyDescent="0.35">
      <c r="A94" s="37"/>
    </row>
    <row r="95" spans="1:1" x14ac:dyDescent="0.35">
      <c r="A95" s="37"/>
    </row>
    <row r="96" spans="1:1" x14ac:dyDescent="0.35">
      <c r="A96" s="37"/>
    </row>
    <row r="97" spans="1:1" x14ac:dyDescent="0.35">
      <c r="A97" s="37"/>
    </row>
    <row r="98" spans="1:1" x14ac:dyDescent="0.35">
      <c r="A98" s="37"/>
    </row>
    <row r="99" spans="1:1" x14ac:dyDescent="0.35">
      <c r="A99" s="37"/>
    </row>
    <row r="100" spans="1:1" x14ac:dyDescent="0.35">
      <c r="A100" s="37"/>
    </row>
    <row r="101" spans="1:1" x14ac:dyDescent="0.35">
      <c r="A101" s="37"/>
    </row>
    <row r="102" spans="1:1" x14ac:dyDescent="0.35">
      <c r="A102" s="37"/>
    </row>
    <row r="103" spans="1:1" x14ac:dyDescent="0.35">
      <c r="A103" s="37"/>
    </row>
    <row r="104" spans="1:1" x14ac:dyDescent="0.35">
      <c r="A104" s="37"/>
    </row>
    <row r="105" spans="1:1" x14ac:dyDescent="0.35">
      <c r="A105" s="37"/>
    </row>
    <row r="106" spans="1:1" x14ac:dyDescent="0.35">
      <c r="A106" s="37"/>
    </row>
    <row r="107" spans="1:1" x14ac:dyDescent="0.35">
      <c r="A107" s="37"/>
    </row>
    <row r="108" spans="1:1" x14ac:dyDescent="0.35">
      <c r="A108" s="37"/>
    </row>
    <row r="109" spans="1:1" x14ac:dyDescent="0.35">
      <c r="A109" s="37"/>
    </row>
    <row r="110" spans="1:1" x14ac:dyDescent="0.35">
      <c r="A110" s="37"/>
    </row>
    <row r="111" spans="1:1" x14ac:dyDescent="0.35">
      <c r="A111" s="37"/>
    </row>
    <row r="112" spans="1:1" x14ac:dyDescent="0.35">
      <c r="A112" s="37"/>
    </row>
    <row r="113" spans="1:1" x14ac:dyDescent="0.35">
      <c r="A113" s="37"/>
    </row>
    <row r="114" spans="1:1" x14ac:dyDescent="0.35">
      <c r="A114" s="37"/>
    </row>
    <row r="115" spans="1:1" x14ac:dyDescent="0.35">
      <c r="A115" s="37"/>
    </row>
    <row r="116" spans="1:1" x14ac:dyDescent="0.35">
      <c r="A116" s="37"/>
    </row>
    <row r="117" spans="1:1" x14ac:dyDescent="0.35">
      <c r="A117" s="37"/>
    </row>
    <row r="118" spans="1:1" x14ac:dyDescent="0.35">
      <c r="A118" s="37"/>
    </row>
    <row r="119" spans="1:1" x14ac:dyDescent="0.35">
      <c r="A119" s="37"/>
    </row>
    <row r="120" spans="1:1" x14ac:dyDescent="0.35">
      <c r="A120" s="37"/>
    </row>
    <row r="121" spans="1:1" x14ac:dyDescent="0.35">
      <c r="A121" s="37"/>
    </row>
    <row r="122" spans="1:1" x14ac:dyDescent="0.35">
      <c r="A122" s="37"/>
    </row>
    <row r="123" spans="1:1" x14ac:dyDescent="0.35">
      <c r="A123" s="37"/>
    </row>
    <row r="124" spans="1:1" x14ac:dyDescent="0.35">
      <c r="A124" s="37"/>
    </row>
    <row r="125" spans="1:1" x14ac:dyDescent="0.35">
      <c r="A125" s="37"/>
    </row>
    <row r="126" spans="1:1" x14ac:dyDescent="0.35">
      <c r="A126" s="37"/>
    </row>
    <row r="127" spans="1:1" x14ac:dyDescent="0.35">
      <c r="A127" s="37"/>
    </row>
    <row r="128" spans="1:1" x14ac:dyDescent="0.35">
      <c r="A128" s="37"/>
    </row>
    <row r="129" spans="1:1" x14ac:dyDescent="0.35">
      <c r="A129" s="37"/>
    </row>
    <row r="130" spans="1:1" x14ac:dyDescent="0.35">
      <c r="A130" s="37"/>
    </row>
    <row r="131" spans="1:1" x14ac:dyDescent="0.35">
      <c r="A131" s="37"/>
    </row>
    <row r="132" spans="1:1" x14ac:dyDescent="0.35">
      <c r="A132" s="37"/>
    </row>
    <row r="133" spans="1:1" x14ac:dyDescent="0.35">
      <c r="A133" s="37"/>
    </row>
    <row r="134" spans="1:1" x14ac:dyDescent="0.35">
      <c r="A134" s="37"/>
    </row>
    <row r="135" spans="1:1" x14ac:dyDescent="0.35">
      <c r="A135" s="37"/>
    </row>
    <row r="136" spans="1:1" x14ac:dyDescent="0.35">
      <c r="A136" s="37"/>
    </row>
    <row r="137" spans="1:1" x14ac:dyDescent="0.35">
      <c r="A137" s="37"/>
    </row>
    <row r="138" spans="1:1" x14ac:dyDescent="0.35">
      <c r="A138" s="37"/>
    </row>
    <row r="139" spans="1:1" x14ac:dyDescent="0.35">
      <c r="A139" s="37"/>
    </row>
    <row r="140" spans="1:1" x14ac:dyDescent="0.35">
      <c r="A140" s="37"/>
    </row>
    <row r="141" spans="1:1" x14ac:dyDescent="0.35">
      <c r="A141" s="37"/>
    </row>
    <row r="142" spans="1:1" x14ac:dyDescent="0.35">
      <c r="A142" s="37"/>
    </row>
    <row r="143" spans="1:1" x14ac:dyDescent="0.35">
      <c r="A143" s="37"/>
    </row>
  </sheetData>
  <mergeCells count="4">
    <mergeCell ref="A2:J2"/>
    <mergeCell ref="A3:J3"/>
    <mergeCell ref="A4:J4"/>
    <mergeCell ref="A5:J5"/>
  </mergeCells>
  <printOptions horizontalCentered="1"/>
  <pageMargins left="0.25" right="0.25" top="0.5" bottom="0.5" header="0.25" footer="0.25"/>
  <pageSetup scale="72" orientation="landscape" r:id="rId1"/>
  <headerFooter alignWithMargins="0">
    <oddFooter>&amp;L&amp;"Times New Roman,Regular"&amp;12&amp;F&amp;C&amp;"Times New Roman,Regular"&amp;12Page 1 of 3&amp;R&amp;"Times New Roman,Regular"&amp;12Stmt BH - Page 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J122"/>
  <sheetViews>
    <sheetView zoomScale="80" zoomScaleNormal="80" workbookViewId="0"/>
  </sheetViews>
  <sheetFormatPr defaultColWidth="9.1796875" defaultRowHeight="12.5" x14ac:dyDescent="0.25"/>
  <cols>
    <col min="1" max="1" width="5.54296875" style="243" customWidth="1"/>
    <col min="2" max="2" width="45.54296875" style="243" customWidth="1"/>
    <col min="3" max="8" width="15.54296875" style="243" customWidth="1"/>
    <col min="9" max="9" width="40.54296875" style="243" customWidth="1"/>
    <col min="10" max="10" width="5.54296875" style="243" customWidth="1"/>
    <col min="11" max="16384" width="9.1796875" style="243"/>
  </cols>
  <sheetData>
    <row r="2" spans="1:10" ht="15.5" x14ac:dyDescent="0.25">
      <c r="A2" s="5" t="s">
        <v>162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ht="15.5" x14ac:dyDescent="0.25">
      <c r="A3" s="419" t="s">
        <v>52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ht="15" x14ac:dyDescent="0.25">
      <c r="A4" s="976" t="str">
        <f>'Stmt BH - Page 1'!A4:J4</f>
        <v>Transmission Revenue Balancing Account Adjustment (TRBAA) Revenue Data To Reflect Present Rates per ER23-257</v>
      </c>
      <c r="B4" s="976"/>
      <c r="C4" s="976"/>
      <c r="D4" s="976"/>
      <c r="E4" s="976"/>
      <c r="F4" s="976"/>
      <c r="G4" s="976"/>
      <c r="H4" s="976"/>
      <c r="I4" s="976"/>
      <c r="J4" s="976"/>
    </row>
    <row r="5" spans="1:10" ht="15.5" x14ac:dyDescent="0.25">
      <c r="A5" s="419" t="str">
        <f>'Stmt BH - Page 1'!A5</f>
        <v>Rate Effective Period - Twelve Months Ending December 31, 2024</v>
      </c>
      <c r="B5" s="41"/>
      <c r="C5" s="41"/>
      <c r="D5" s="41"/>
      <c r="E5" s="41"/>
      <c r="F5" s="41"/>
      <c r="G5" s="41"/>
      <c r="H5" s="41"/>
      <c r="I5" s="41"/>
      <c r="J5" s="41"/>
    </row>
    <row r="6" spans="1:10" ht="16" thickBot="1" x14ac:dyDescent="0.4">
      <c r="A6" s="80"/>
      <c r="B6" s="80"/>
      <c r="C6" s="80"/>
      <c r="D6" s="80"/>
      <c r="E6" s="80"/>
      <c r="F6" s="80"/>
      <c r="G6" s="80"/>
      <c r="H6" s="80"/>
      <c r="I6" s="80"/>
      <c r="J6" s="80"/>
    </row>
    <row r="7" spans="1:10" ht="15" x14ac:dyDescent="0.3">
      <c r="A7" s="75"/>
      <c r="B7" s="75"/>
      <c r="C7" s="573" t="s">
        <v>3</v>
      </c>
      <c r="D7" s="573" t="s">
        <v>4</v>
      </c>
      <c r="E7" s="573" t="s">
        <v>113</v>
      </c>
      <c r="F7" s="573" t="s">
        <v>114</v>
      </c>
      <c r="G7" s="573" t="s">
        <v>115</v>
      </c>
      <c r="H7" s="573" t="s">
        <v>116</v>
      </c>
      <c r="I7" s="573" t="s">
        <v>116</v>
      </c>
      <c r="J7" s="75"/>
    </row>
    <row r="8" spans="1:10" ht="15" x14ac:dyDescent="0.3">
      <c r="A8" s="75" t="s">
        <v>8</v>
      </c>
      <c r="B8" s="75"/>
      <c r="C8" s="574">
        <f>'Stmt BH - Page 1'!C8</f>
        <v>44927</v>
      </c>
      <c r="D8" s="574">
        <f>'Stmt BH - Page 1'!D8</f>
        <v>44958</v>
      </c>
      <c r="E8" s="574">
        <f>'Stmt BH - Page 1'!E8</f>
        <v>44986</v>
      </c>
      <c r="F8" s="574">
        <f>'Stmt BH - Page 1'!F8</f>
        <v>45017</v>
      </c>
      <c r="G8" s="574">
        <f>'Stmt BH - Page 1'!G8</f>
        <v>45047</v>
      </c>
      <c r="H8" s="574">
        <f>'Stmt BH - Page 1'!H8</f>
        <v>45078</v>
      </c>
      <c r="I8" s="568"/>
      <c r="J8" s="75" t="s">
        <v>8</v>
      </c>
    </row>
    <row r="9" spans="1:10" ht="15.5" thickBot="1" x14ac:dyDescent="0.35">
      <c r="A9" s="153" t="s">
        <v>11</v>
      </c>
      <c r="B9" s="153" t="s">
        <v>88</v>
      </c>
      <c r="C9" s="153" t="s">
        <v>132</v>
      </c>
      <c r="D9" s="153" t="s">
        <v>132</v>
      </c>
      <c r="E9" s="153" t="s">
        <v>132</v>
      </c>
      <c r="F9" s="153" t="s">
        <v>132</v>
      </c>
      <c r="G9" s="153" t="s">
        <v>132</v>
      </c>
      <c r="H9" s="153" t="s">
        <v>132</v>
      </c>
      <c r="I9" s="153" t="s">
        <v>16</v>
      </c>
      <c r="J9" s="153" t="s">
        <v>11</v>
      </c>
    </row>
    <row r="10" spans="1:10" ht="15.5" x14ac:dyDescent="0.35">
      <c r="A10" s="10"/>
      <c r="B10" s="10"/>
      <c r="C10" s="74"/>
      <c r="D10" s="10"/>
      <c r="E10" s="10"/>
      <c r="F10" s="10"/>
      <c r="G10" s="10"/>
      <c r="H10" s="10"/>
      <c r="I10" s="10"/>
      <c r="J10" s="10"/>
    </row>
    <row r="11" spans="1:10" ht="15.5" x14ac:dyDescent="0.35">
      <c r="A11" s="10">
        <v>1</v>
      </c>
      <c r="B11" s="11" t="s">
        <v>93</v>
      </c>
      <c r="C11" s="31">
        <f>'WP 1.2 Forecast Sales'!C6*1000</f>
        <v>600956182.3716675</v>
      </c>
      <c r="D11" s="31">
        <f>'WP 1.2 Forecast Sales'!D6*1000</f>
        <v>501221888.44971186</v>
      </c>
      <c r="E11" s="31">
        <f>'WP 1.2 Forecast Sales'!E6*1000</f>
        <v>446282371.27663541</v>
      </c>
      <c r="F11" s="31">
        <f>'WP 1.2 Forecast Sales'!F6*1000</f>
        <v>392460313.75987303</v>
      </c>
      <c r="G11" s="31">
        <f>'WP 1.2 Forecast Sales'!G6*1000</f>
        <v>377100203.70278507</v>
      </c>
      <c r="H11" s="31">
        <f>'WP 1.2 Forecast Sales'!H6*1000</f>
        <v>416762793.60261565</v>
      </c>
      <c r="I11" s="241" t="s">
        <v>133</v>
      </c>
      <c r="J11" s="10">
        <v>1</v>
      </c>
    </row>
    <row r="12" spans="1:10" ht="15.5" x14ac:dyDescent="0.35">
      <c r="A12" s="10">
        <f>A11+1</f>
        <v>2</v>
      </c>
      <c r="B12" s="11"/>
      <c r="C12" s="399"/>
      <c r="D12" s="399"/>
      <c r="E12" s="399"/>
      <c r="F12" s="399"/>
      <c r="G12" s="399"/>
      <c r="H12" s="399"/>
      <c r="I12" s="400"/>
      <c r="J12" s="10">
        <f>J11+1</f>
        <v>2</v>
      </c>
    </row>
    <row r="13" spans="1:10" ht="15.5" x14ac:dyDescent="0.35">
      <c r="A13" s="10">
        <f t="shared" ref="A13:A45" si="0">A12+1</f>
        <v>3</v>
      </c>
      <c r="B13" s="11" t="s">
        <v>134</v>
      </c>
      <c r="C13" s="31">
        <f>'WP 1.2 Forecast Sales'!C7*1000</f>
        <v>181530130.84879759</v>
      </c>
      <c r="D13" s="31">
        <f>'WP 1.2 Forecast Sales'!D7*1000</f>
        <v>175691811.02968782</v>
      </c>
      <c r="E13" s="31">
        <f>'WP 1.2 Forecast Sales'!E7*1000</f>
        <v>171138423.0895721</v>
      </c>
      <c r="F13" s="31">
        <f>'WP 1.2 Forecast Sales'!F7*1000</f>
        <v>172875749.79857507</v>
      </c>
      <c r="G13" s="31">
        <f>'WP 1.2 Forecast Sales'!G7*1000</f>
        <v>171358769.67227325</v>
      </c>
      <c r="H13" s="31">
        <f>'WP 1.2 Forecast Sales'!H7*1000</f>
        <v>183426786.90204415</v>
      </c>
      <c r="I13" s="241" t="s">
        <v>135</v>
      </c>
      <c r="J13" s="10">
        <f t="shared" ref="J13:J45" si="1">J12+1</f>
        <v>3</v>
      </c>
    </row>
    <row r="14" spans="1:10" ht="15.5" x14ac:dyDescent="0.35">
      <c r="A14" s="10">
        <f t="shared" si="0"/>
        <v>4</v>
      </c>
      <c r="B14" s="386"/>
      <c r="C14" s="394"/>
      <c r="D14" s="394"/>
      <c r="E14" s="394"/>
      <c r="F14" s="394"/>
      <c r="G14" s="394"/>
      <c r="H14" s="394"/>
      <c r="I14" s="401"/>
      <c r="J14" s="10">
        <f t="shared" si="1"/>
        <v>4</v>
      </c>
    </row>
    <row r="15" spans="1:10" ht="15.5" x14ac:dyDescent="0.35">
      <c r="A15" s="10">
        <f t="shared" si="0"/>
        <v>5</v>
      </c>
      <c r="B15" s="17" t="s">
        <v>99</v>
      </c>
      <c r="C15" s="31">
        <f>'WP 1.2 Forecast Sales'!C8*1000</f>
        <v>751591533.21340001</v>
      </c>
      <c r="D15" s="31">
        <f>'WP 1.2 Forecast Sales'!D8*1000</f>
        <v>722773007.62930691</v>
      </c>
      <c r="E15" s="31">
        <f>'WP 1.2 Forecast Sales'!E8*1000</f>
        <v>706780234.77768397</v>
      </c>
      <c r="F15" s="31">
        <f>'WP 1.2 Forecast Sales'!F8*1000</f>
        <v>749057480.70808983</v>
      </c>
      <c r="G15" s="31">
        <f>'WP 1.2 Forecast Sales'!G8*1000</f>
        <v>745902535.14588213</v>
      </c>
      <c r="H15" s="31">
        <f>'WP 1.2 Forecast Sales'!H8*1000</f>
        <v>799490964.10594738</v>
      </c>
      <c r="I15" s="241" t="s">
        <v>136</v>
      </c>
      <c r="J15" s="10">
        <f t="shared" si="1"/>
        <v>5</v>
      </c>
    </row>
    <row r="16" spans="1:10" ht="15.5" x14ac:dyDescent="0.35">
      <c r="A16" s="10">
        <f t="shared" si="0"/>
        <v>6</v>
      </c>
      <c r="B16" s="11"/>
      <c r="C16" s="31"/>
      <c r="D16" s="31"/>
      <c r="E16" s="31"/>
      <c r="F16" s="31"/>
      <c r="G16" s="31"/>
      <c r="H16" s="31"/>
      <c r="I16" s="402"/>
      <c r="J16" s="10">
        <f t="shared" si="1"/>
        <v>6</v>
      </c>
    </row>
    <row r="17" spans="1:10" ht="15.5" x14ac:dyDescent="0.35">
      <c r="A17" s="10">
        <f t="shared" si="0"/>
        <v>7</v>
      </c>
      <c r="B17" s="11" t="s">
        <v>102</v>
      </c>
      <c r="C17" s="31">
        <f>'WP 1.2 Forecast Sales'!C10*1000</f>
        <v>5941638.1450993568</v>
      </c>
      <c r="D17" s="31">
        <f>'WP 1.2 Forecast Sales'!D10*1000</f>
        <v>8249350.7242515702</v>
      </c>
      <c r="E17" s="31">
        <f>'WP 1.2 Forecast Sales'!E10*1000</f>
        <v>7290739.319260682</v>
      </c>
      <c r="F17" s="31">
        <f>'WP 1.2 Forecast Sales'!F10*1000</f>
        <v>8401104.4688614123</v>
      </c>
      <c r="G17" s="31">
        <f>'WP 1.2 Forecast Sales'!G10*1000</f>
        <v>10667586.054941036</v>
      </c>
      <c r="H17" s="31">
        <f>'WP 1.2 Forecast Sales'!H10*1000</f>
        <v>11706633.601816563</v>
      </c>
      <c r="I17" s="241" t="s">
        <v>137</v>
      </c>
      <c r="J17" s="10">
        <f t="shared" si="1"/>
        <v>7</v>
      </c>
    </row>
    <row r="18" spans="1:10" ht="15.5" x14ac:dyDescent="0.35">
      <c r="A18" s="10">
        <f t="shared" si="0"/>
        <v>8</v>
      </c>
      <c r="B18" s="11"/>
      <c r="C18" s="31"/>
      <c r="D18" s="31"/>
      <c r="E18" s="31"/>
      <c r="F18" s="31"/>
      <c r="G18" s="31"/>
      <c r="H18" s="31"/>
      <c r="I18" s="402"/>
      <c r="J18" s="10">
        <f t="shared" si="1"/>
        <v>8</v>
      </c>
    </row>
    <row r="19" spans="1:10" ht="15.5" x14ac:dyDescent="0.35">
      <c r="A19" s="10">
        <f t="shared" si="0"/>
        <v>9</v>
      </c>
      <c r="B19" s="11" t="s">
        <v>105</v>
      </c>
      <c r="C19" s="31">
        <f>'WP 1.2 Forecast Sales'!C11*1000</f>
        <v>14566080.967748553</v>
      </c>
      <c r="D19" s="31">
        <f>'WP 1.2 Forecast Sales'!D11*1000</f>
        <v>15384762.175613916</v>
      </c>
      <c r="E19" s="31">
        <f>'WP 1.2 Forecast Sales'!E11*1000</f>
        <v>14626906.471273895</v>
      </c>
      <c r="F19" s="31">
        <f>'WP 1.2 Forecast Sales'!F11*1000</f>
        <v>16841653.31714857</v>
      </c>
      <c r="G19" s="31">
        <f>'WP 1.2 Forecast Sales'!G11*1000</f>
        <v>18251444.699619252</v>
      </c>
      <c r="H19" s="31">
        <f>'WP 1.2 Forecast Sales'!H11*1000</f>
        <v>19802348.096367005</v>
      </c>
      <c r="I19" s="241" t="s">
        <v>138</v>
      </c>
      <c r="J19" s="10">
        <f t="shared" si="1"/>
        <v>9</v>
      </c>
    </row>
    <row r="20" spans="1:10" ht="15.5" x14ac:dyDescent="0.35">
      <c r="A20" s="10">
        <f t="shared" si="0"/>
        <v>10</v>
      </c>
      <c r="B20" s="11"/>
      <c r="C20" s="31"/>
      <c r="D20" s="31"/>
      <c r="E20" s="31"/>
      <c r="F20" s="31"/>
      <c r="G20" s="31"/>
      <c r="H20" s="31"/>
      <c r="I20" s="402"/>
      <c r="J20" s="10">
        <f t="shared" si="1"/>
        <v>10</v>
      </c>
    </row>
    <row r="21" spans="1:10" ht="15.5" x14ac:dyDescent="0.35">
      <c r="A21" s="10">
        <f t="shared" si="0"/>
        <v>11</v>
      </c>
      <c r="B21" s="11" t="s">
        <v>139</v>
      </c>
      <c r="C21" s="38">
        <f>'WP 1.2 Forecast Sales'!C12*1000</f>
        <v>6456705.3676387388</v>
      </c>
      <c r="D21" s="38">
        <f>'WP 1.2 Forecast Sales'!D12*1000</f>
        <v>6444013.2872733567</v>
      </c>
      <c r="E21" s="38">
        <f>'WP 1.2 Forecast Sales'!E12*1000</f>
        <v>6498476.1106686704</v>
      </c>
      <c r="F21" s="38">
        <f>'WP 1.2 Forecast Sales'!F12*1000</f>
        <v>6930078.0189573411</v>
      </c>
      <c r="G21" s="38">
        <f>'WP 1.2 Forecast Sales'!G12*1000</f>
        <v>6341425.1395615386</v>
      </c>
      <c r="H21" s="38">
        <f>'WP 1.2 Forecast Sales'!H12*1000</f>
        <v>6363747.7890571663</v>
      </c>
      <c r="I21" s="241" t="s">
        <v>140</v>
      </c>
      <c r="J21" s="10">
        <f t="shared" si="1"/>
        <v>11</v>
      </c>
    </row>
    <row r="22" spans="1:10" ht="15.5" x14ac:dyDescent="0.35">
      <c r="A22" s="10">
        <f t="shared" si="0"/>
        <v>12</v>
      </c>
      <c r="B22" s="11"/>
      <c r="C22" s="31"/>
      <c r="D22" s="31"/>
      <c r="E22" s="31"/>
      <c r="F22" s="31"/>
      <c r="G22" s="31"/>
      <c r="H22" s="31"/>
      <c r="I22" s="162"/>
      <c r="J22" s="10">
        <f t="shared" si="1"/>
        <v>12</v>
      </c>
    </row>
    <row r="23" spans="1:10" ht="16" thickBot="1" x14ac:dyDescent="0.4">
      <c r="A23" s="10">
        <f t="shared" si="0"/>
        <v>13</v>
      </c>
      <c r="B23" s="11" t="s">
        <v>124</v>
      </c>
      <c r="C23" s="475">
        <f>SUM(C11:C21)</f>
        <v>1561042270.9143519</v>
      </c>
      <c r="D23" s="475">
        <f t="shared" ref="D23:H23" si="2">SUM(D11:D21)</f>
        <v>1429764833.2958453</v>
      </c>
      <c r="E23" s="475">
        <f t="shared" si="2"/>
        <v>1352617151.0450945</v>
      </c>
      <c r="F23" s="475">
        <f t="shared" si="2"/>
        <v>1346566380.0715053</v>
      </c>
      <c r="G23" s="475">
        <f t="shared" si="2"/>
        <v>1329621964.4150622</v>
      </c>
      <c r="H23" s="475">
        <f t="shared" si="2"/>
        <v>1437553274.0978482</v>
      </c>
      <c r="I23" s="400" t="s">
        <v>141</v>
      </c>
      <c r="J23" s="10">
        <f t="shared" si="1"/>
        <v>13</v>
      </c>
    </row>
    <row r="24" spans="1:10" ht="16.5" thickTop="1" thickBot="1" x14ac:dyDescent="0.4">
      <c r="A24" s="57">
        <f t="shared" si="0"/>
        <v>14</v>
      </c>
      <c r="B24" s="420"/>
      <c r="C24" s="828"/>
      <c r="D24" s="58"/>
      <c r="E24" s="58"/>
      <c r="F24" s="58"/>
      <c r="G24" s="58"/>
      <c r="H24" s="58"/>
      <c r="I24" s="58"/>
      <c r="J24" s="57">
        <f t="shared" si="1"/>
        <v>14</v>
      </c>
    </row>
    <row r="25" spans="1:10" ht="15.5" x14ac:dyDescent="0.35">
      <c r="A25" s="10">
        <f t="shared" si="0"/>
        <v>15</v>
      </c>
      <c r="B25" s="421"/>
      <c r="C25" s="409"/>
      <c r="D25" s="409"/>
      <c r="E25" s="409"/>
      <c r="F25" s="409"/>
      <c r="G25" s="409"/>
      <c r="H25" s="409"/>
      <c r="I25" s="17"/>
      <c r="J25" s="10">
        <f t="shared" si="1"/>
        <v>15</v>
      </c>
    </row>
    <row r="26" spans="1:10" ht="16" thickBot="1" x14ac:dyDescent="0.4">
      <c r="A26" s="57">
        <f>A25+1</f>
        <v>16</v>
      </c>
      <c r="B26" s="420"/>
      <c r="C26" s="57" t="s">
        <v>142</v>
      </c>
      <c r="D26" s="57" t="s">
        <v>142</v>
      </c>
      <c r="E26" s="57" t="s">
        <v>142</v>
      </c>
      <c r="F26" s="57" t="s">
        <v>142</v>
      </c>
      <c r="G26" s="57" t="s">
        <v>142</v>
      </c>
      <c r="H26" s="57" t="s">
        <v>142</v>
      </c>
      <c r="I26" s="57"/>
      <c r="J26" s="57">
        <f>J25+1</f>
        <v>16</v>
      </c>
    </row>
    <row r="27" spans="1:10" ht="15.5" x14ac:dyDescent="0.35">
      <c r="A27" s="10">
        <f t="shared" si="0"/>
        <v>17</v>
      </c>
      <c r="B27" s="449"/>
      <c r="C27" s="75"/>
      <c r="D27" s="10"/>
      <c r="E27" s="10"/>
      <c r="F27" s="10"/>
      <c r="G27" s="10"/>
      <c r="H27" s="10"/>
      <c r="I27" s="410" t="s">
        <v>144</v>
      </c>
      <c r="J27" s="10">
        <f t="shared" si="1"/>
        <v>17</v>
      </c>
    </row>
    <row r="28" spans="1:10" ht="15.5" x14ac:dyDescent="0.35">
      <c r="A28" s="10">
        <f t="shared" si="0"/>
        <v>18</v>
      </c>
      <c r="B28" s="11" t="s">
        <v>169</v>
      </c>
      <c r="C28" s="385">
        <v>-2.4199999999999998E-3</v>
      </c>
      <c r="D28" s="385">
        <f>$C28</f>
        <v>-2.4199999999999998E-3</v>
      </c>
      <c r="E28" s="385">
        <f>$C28</f>
        <v>-2.4199999999999998E-3</v>
      </c>
      <c r="F28" s="385">
        <f>$C28</f>
        <v>-2.4199999999999998E-3</v>
      </c>
      <c r="G28" s="385">
        <f>$C28</f>
        <v>-2.4199999999999998E-3</v>
      </c>
      <c r="H28" s="385">
        <f>$C28</f>
        <v>-2.4199999999999998E-3</v>
      </c>
      <c r="I28" s="400" t="s">
        <v>499</v>
      </c>
      <c r="J28" s="10">
        <f t="shared" si="1"/>
        <v>18</v>
      </c>
    </row>
    <row r="29" spans="1:10" ht="16" thickBot="1" x14ac:dyDescent="0.4">
      <c r="A29" s="57">
        <f>A28+1</f>
        <v>19</v>
      </c>
      <c r="B29" s="420"/>
      <c r="C29" s="58"/>
      <c r="D29" s="58"/>
      <c r="E29" s="58"/>
      <c r="F29" s="58"/>
      <c r="G29" s="58"/>
      <c r="H29" s="58"/>
      <c r="I29" s="411"/>
      <c r="J29" s="57">
        <f>J28+1</f>
        <v>19</v>
      </c>
    </row>
    <row r="30" spans="1:10" ht="15.5" x14ac:dyDescent="0.35">
      <c r="A30" s="10">
        <f t="shared" si="0"/>
        <v>20</v>
      </c>
      <c r="B30" s="11"/>
      <c r="C30" s="17"/>
      <c r="D30" s="17"/>
      <c r="E30" s="17"/>
      <c r="F30" s="17"/>
      <c r="G30" s="17"/>
      <c r="H30" s="17"/>
      <c r="I30" s="17"/>
      <c r="J30" s="10">
        <f t="shared" si="1"/>
        <v>20</v>
      </c>
    </row>
    <row r="31" spans="1:10" ht="34.5" customHeight="1" thickBot="1" x14ac:dyDescent="0.4">
      <c r="A31" s="57">
        <f t="shared" si="0"/>
        <v>21</v>
      </c>
      <c r="B31" s="420"/>
      <c r="C31" s="404" t="s">
        <v>170</v>
      </c>
      <c r="D31" s="404" t="s">
        <v>170</v>
      </c>
      <c r="E31" s="404" t="s">
        <v>170</v>
      </c>
      <c r="F31" s="404" t="s">
        <v>170</v>
      </c>
      <c r="G31" s="404" t="s">
        <v>170</v>
      </c>
      <c r="H31" s="404" t="s">
        <v>170</v>
      </c>
      <c r="I31" s="57"/>
      <c r="J31" s="57">
        <f t="shared" si="1"/>
        <v>21</v>
      </c>
    </row>
    <row r="32" spans="1:10" ht="15.5" x14ac:dyDescent="0.35">
      <c r="A32" s="10">
        <f t="shared" si="0"/>
        <v>22</v>
      </c>
      <c r="B32" s="11"/>
      <c r="C32" s="10"/>
      <c r="D32" s="10"/>
      <c r="E32" s="10"/>
      <c r="F32" s="10"/>
      <c r="G32" s="10"/>
      <c r="H32" s="10"/>
      <c r="I32" s="74"/>
      <c r="J32" s="10">
        <f t="shared" si="1"/>
        <v>22</v>
      </c>
    </row>
    <row r="33" spans="1:10" ht="15.5" x14ac:dyDescent="0.35">
      <c r="A33" s="10">
        <f t="shared" si="0"/>
        <v>23</v>
      </c>
      <c r="B33" s="11" t="s">
        <v>93</v>
      </c>
      <c r="C33" s="141">
        <f>C11*C$28</f>
        <v>-1454313.9613394353</v>
      </c>
      <c r="D33" s="141">
        <f t="shared" ref="D33:H33" si="3">D11*D$28</f>
        <v>-1212956.9700483026</v>
      </c>
      <c r="E33" s="141">
        <f t="shared" si="3"/>
        <v>-1080003.3384894577</v>
      </c>
      <c r="F33" s="141">
        <f t="shared" si="3"/>
        <v>-949753.95929889265</v>
      </c>
      <c r="G33" s="141">
        <f t="shared" si="3"/>
        <v>-912582.49296073976</v>
      </c>
      <c r="H33" s="141">
        <f t="shared" si="3"/>
        <v>-1008565.9605183299</v>
      </c>
      <c r="I33" s="26" t="s">
        <v>146</v>
      </c>
      <c r="J33" s="10">
        <f t="shared" si="1"/>
        <v>23</v>
      </c>
    </row>
    <row r="34" spans="1:10" ht="15.5" x14ac:dyDescent="0.35">
      <c r="A34" s="10">
        <f t="shared" si="0"/>
        <v>24</v>
      </c>
      <c r="B34" s="11"/>
      <c r="C34" s="399"/>
      <c r="D34" s="399"/>
      <c r="E34" s="399"/>
      <c r="F34" s="399"/>
      <c r="G34" s="399"/>
      <c r="H34" s="399"/>
      <c r="I34" s="405"/>
      <c r="J34" s="10">
        <f t="shared" si="1"/>
        <v>24</v>
      </c>
    </row>
    <row r="35" spans="1:10" ht="15.5" x14ac:dyDescent="0.35">
      <c r="A35" s="10">
        <f t="shared" si="0"/>
        <v>25</v>
      </c>
      <c r="B35" s="11" t="s">
        <v>134</v>
      </c>
      <c r="C35" s="44">
        <f>C13*C$28</f>
        <v>-439302.91665409016</v>
      </c>
      <c r="D35" s="44">
        <f t="shared" ref="D35:H35" si="4">D13*D$28</f>
        <v>-425174.18269184453</v>
      </c>
      <c r="E35" s="44">
        <f t="shared" si="4"/>
        <v>-414154.98387676448</v>
      </c>
      <c r="F35" s="44">
        <f t="shared" si="4"/>
        <v>-418359.31451255165</v>
      </c>
      <c r="G35" s="44">
        <f t="shared" si="4"/>
        <v>-414688.22260690125</v>
      </c>
      <c r="H35" s="44">
        <f t="shared" si="4"/>
        <v>-443892.8243029468</v>
      </c>
      <c r="I35" s="26" t="s">
        <v>147</v>
      </c>
      <c r="J35" s="10">
        <f t="shared" si="1"/>
        <v>25</v>
      </c>
    </row>
    <row r="36" spans="1:10" ht="15.5" x14ac:dyDescent="0.35">
      <c r="A36" s="10">
        <f t="shared" si="0"/>
        <v>26</v>
      </c>
      <c r="B36" s="386"/>
      <c r="C36" s="394"/>
      <c r="D36" s="394"/>
      <c r="E36" s="394"/>
      <c r="F36" s="394"/>
      <c r="G36" s="394"/>
      <c r="H36" s="394"/>
      <c r="I36" s="26"/>
      <c r="J36" s="10">
        <f t="shared" si="1"/>
        <v>26</v>
      </c>
    </row>
    <row r="37" spans="1:10" ht="15.5" x14ac:dyDescent="0.35">
      <c r="A37" s="10">
        <f t="shared" si="0"/>
        <v>27</v>
      </c>
      <c r="B37" s="17" t="s">
        <v>99</v>
      </c>
      <c r="C37" s="44">
        <f>C15*C$28</f>
        <v>-1818851.5103764278</v>
      </c>
      <c r="D37" s="44">
        <f t="shared" ref="D37:H37" si="5">D15*D$28</f>
        <v>-1749110.6784629226</v>
      </c>
      <c r="E37" s="44">
        <f t="shared" si="5"/>
        <v>-1710408.168161995</v>
      </c>
      <c r="F37" s="44">
        <f t="shared" si="5"/>
        <v>-1812719.1033135774</v>
      </c>
      <c r="G37" s="44">
        <f t="shared" si="5"/>
        <v>-1805084.1350530346</v>
      </c>
      <c r="H37" s="44">
        <f t="shared" si="5"/>
        <v>-1934768.1331363926</v>
      </c>
      <c r="I37" s="26" t="s">
        <v>148</v>
      </c>
      <c r="J37" s="10">
        <f t="shared" si="1"/>
        <v>27</v>
      </c>
    </row>
    <row r="38" spans="1:10" ht="15.5" x14ac:dyDescent="0.35">
      <c r="A38" s="10">
        <f t="shared" si="0"/>
        <v>28</v>
      </c>
      <c r="B38" s="11"/>
      <c r="C38" s="44"/>
      <c r="D38" s="44"/>
      <c r="E38" s="44"/>
      <c r="F38" s="44"/>
      <c r="G38" s="44"/>
      <c r="H38" s="44"/>
      <c r="I38" s="26"/>
      <c r="J38" s="10">
        <f t="shared" si="1"/>
        <v>28</v>
      </c>
    </row>
    <row r="39" spans="1:10" ht="15.5" x14ac:dyDescent="0.35">
      <c r="A39" s="10">
        <f t="shared" si="0"/>
        <v>29</v>
      </c>
      <c r="B39" s="11" t="s">
        <v>102</v>
      </c>
      <c r="C39" s="44">
        <f>C17*C$28</f>
        <v>-14378.764311140443</v>
      </c>
      <c r="D39" s="44">
        <f t="shared" ref="D39:H39" si="6">D17*D$28</f>
        <v>-19963.4287526888</v>
      </c>
      <c r="E39" s="44">
        <f t="shared" si="6"/>
        <v>-17643.58915261085</v>
      </c>
      <c r="F39" s="44">
        <f t="shared" si="6"/>
        <v>-20330.672814644615</v>
      </c>
      <c r="G39" s="44">
        <f t="shared" si="6"/>
        <v>-25815.558252957304</v>
      </c>
      <c r="H39" s="44">
        <f t="shared" si="6"/>
        <v>-28330.053316396079</v>
      </c>
      <c r="I39" s="26" t="s">
        <v>149</v>
      </c>
      <c r="J39" s="10">
        <f t="shared" si="1"/>
        <v>29</v>
      </c>
    </row>
    <row r="40" spans="1:10" ht="15.5" x14ac:dyDescent="0.35">
      <c r="A40" s="10">
        <f t="shared" si="0"/>
        <v>30</v>
      </c>
      <c r="B40" s="11"/>
      <c r="C40" s="44"/>
      <c r="D40" s="44"/>
      <c r="E40" s="44"/>
      <c r="F40" s="44"/>
      <c r="G40" s="44"/>
      <c r="H40" s="44"/>
      <c r="I40" s="26"/>
      <c r="J40" s="10">
        <f t="shared" si="1"/>
        <v>30</v>
      </c>
    </row>
    <row r="41" spans="1:10" ht="15.5" x14ac:dyDescent="0.35">
      <c r="A41" s="10">
        <f t="shared" si="0"/>
        <v>31</v>
      </c>
      <c r="B41" s="11" t="s">
        <v>105</v>
      </c>
      <c r="C41" s="44">
        <f>C19*C$28</f>
        <v>-35249.915941951498</v>
      </c>
      <c r="D41" s="44">
        <f t="shared" ref="D41:H41" si="7">D19*D$28</f>
        <v>-37231.124464985674</v>
      </c>
      <c r="E41" s="44">
        <f t="shared" si="7"/>
        <v>-35397.113660482828</v>
      </c>
      <c r="F41" s="44">
        <f t="shared" si="7"/>
        <v>-40756.801027499539</v>
      </c>
      <c r="G41" s="44">
        <f t="shared" si="7"/>
        <v>-44168.496173078587</v>
      </c>
      <c r="H41" s="44">
        <f t="shared" si="7"/>
        <v>-47921.682393208146</v>
      </c>
      <c r="I41" s="26" t="s">
        <v>150</v>
      </c>
      <c r="J41" s="10">
        <f t="shared" si="1"/>
        <v>31</v>
      </c>
    </row>
    <row r="42" spans="1:10" ht="15.5" x14ac:dyDescent="0.35">
      <c r="A42" s="10">
        <f t="shared" si="0"/>
        <v>32</v>
      </c>
      <c r="B42" s="11"/>
      <c r="C42" s="44"/>
      <c r="D42" s="44"/>
      <c r="E42" s="44"/>
      <c r="F42" s="44"/>
      <c r="G42" s="44"/>
      <c r="H42" s="44"/>
      <c r="I42" s="26"/>
      <c r="J42" s="10">
        <f t="shared" si="1"/>
        <v>32</v>
      </c>
    </row>
    <row r="43" spans="1:10" ht="15.5" x14ac:dyDescent="0.35">
      <c r="A43" s="10">
        <f t="shared" si="0"/>
        <v>33</v>
      </c>
      <c r="B43" s="11" t="s">
        <v>139</v>
      </c>
      <c r="C43" s="51">
        <f>C21*C$28</f>
        <v>-15625.226989685747</v>
      </c>
      <c r="D43" s="51">
        <f t="shared" ref="D43:H43" si="8">D21*D$28</f>
        <v>-15594.512155201523</v>
      </c>
      <c r="E43" s="51">
        <f t="shared" si="8"/>
        <v>-15726.312187818181</v>
      </c>
      <c r="F43" s="51">
        <f t="shared" si="8"/>
        <v>-16770.788805876764</v>
      </c>
      <c r="G43" s="51">
        <f t="shared" si="8"/>
        <v>-15346.248837738922</v>
      </c>
      <c r="H43" s="51">
        <f t="shared" si="8"/>
        <v>-15400.269649518341</v>
      </c>
      <c r="I43" s="26" t="s">
        <v>151</v>
      </c>
      <c r="J43" s="10">
        <f t="shared" si="1"/>
        <v>33</v>
      </c>
    </row>
    <row r="44" spans="1:10" ht="15.5" x14ac:dyDescent="0.35">
      <c r="A44" s="10">
        <f t="shared" si="0"/>
        <v>34</v>
      </c>
      <c r="B44" s="11"/>
      <c r="C44" s="138"/>
      <c r="D44" s="138"/>
      <c r="E44" s="138"/>
      <c r="F44" s="138"/>
      <c r="G44" s="138"/>
      <c r="H44" s="138"/>
      <c r="I44" s="26"/>
      <c r="J44" s="10">
        <f t="shared" si="1"/>
        <v>34</v>
      </c>
    </row>
    <row r="45" spans="1:10" ht="16" thickBot="1" x14ac:dyDescent="0.4">
      <c r="A45" s="10">
        <f t="shared" si="0"/>
        <v>35</v>
      </c>
      <c r="B45" s="11" t="s">
        <v>124</v>
      </c>
      <c r="C45" s="395">
        <f>SUM(C33:C43)</f>
        <v>-3777722.2956127306</v>
      </c>
      <c r="D45" s="395">
        <f t="shared" ref="D45:H45" si="9">SUM(D33:D43)</f>
        <v>-3460030.8965759454</v>
      </c>
      <c r="E45" s="395">
        <f t="shared" si="9"/>
        <v>-3273333.5055291294</v>
      </c>
      <c r="F45" s="395">
        <f t="shared" si="9"/>
        <v>-3258690.6397730424</v>
      </c>
      <c r="G45" s="395">
        <f t="shared" si="9"/>
        <v>-3217685.1538844504</v>
      </c>
      <c r="H45" s="395">
        <f t="shared" si="9"/>
        <v>-3478878.9233167917</v>
      </c>
      <c r="I45" s="406" t="s">
        <v>152</v>
      </c>
      <c r="J45" s="10">
        <f t="shared" si="1"/>
        <v>35</v>
      </c>
    </row>
    <row r="46" spans="1:10" ht="16.5" thickTop="1" thickBot="1" x14ac:dyDescent="0.4">
      <c r="A46" s="57"/>
      <c r="B46" s="57"/>
      <c r="C46" s="828"/>
      <c r="D46" s="58"/>
      <c r="E46" s="58"/>
      <c r="F46" s="58"/>
      <c r="G46" s="58"/>
      <c r="H46" s="58"/>
      <c r="I46" s="58"/>
      <c r="J46" s="57"/>
    </row>
    <row r="47" spans="1:10" ht="15.5" x14ac:dyDescent="0.35">
      <c r="A47" s="37"/>
      <c r="B47" s="391"/>
      <c r="C47" s="22"/>
      <c r="D47" s="22"/>
      <c r="E47" s="22"/>
      <c r="F47" s="22"/>
      <c r="G47" s="22"/>
      <c r="H47" s="22"/>
      <c r="I47" s="22"/>
      <c r="J47" s="22"/>
    </row>
    <row r="48" spans="1:10" ht="18.5" x14ac:dyDescent="0.35">
      <c r="A48" s="69"/>
      <c r="B48" s="22"/>
      <c r="C48" s="398"/>
      <c r="D48" s="22"/>
      <c r="E48" s="22"/>
      <c r="F48" s="22"/>
      <c r="G48" s="22"/>
      <c r="H48" s="22"/>
      <c r="I48" s="22"/>
      <c r="J48" s="22"/>
    </row>
    <row r="49" spans="1:10" ht="15.5" x14ac:dyDescent="0.35">
      <c r="A49" s="829"/>
      <c r="B49" s="22"/>
      <c r="D49" s="22"/>
      <c r="E49" s="22"/>
      <c r="F49" s="22"/>
      <c r="G49" s="22"/>
      <c r="H49" s="22"/>
      <c r="I49" s="22"/>
      <c r="J49" s="22"/>
    </row>
    <row r="50" spans="1:10" ht="15.5" x14ac:dyDescent="0.35">
      <c r="A50" s="829"/>
      <c r="B50" s="22"/>
      <c r="C50" s="830"/>
      <c r="D50" s="22"/>
      <c r="E50" s="22"/>
      <c r="F50" s="22"/>
      <c r="G50" s="22"/>
      <c r="H50" s="22"/>
      <c r="I50" s="22"/>
      <c r="J50" s="22"/>
    </row>
    <row r="51" spans="1:10" ht="15.5" x14ac:dyDescent="0.35">
      <c r="A51" s="829"/>
      <c r="D51" s="22"/>
      <c r="E51" s="22"/>
      <c r="F51" s="22"/>
      <c r="G51" s="22"/>
      <c r="H51" s="22"/>
      <c r="I51" s="22"/>
      <c r="J51" s="22"/>
    </row>
    <row r="52" spans="1:10" ht="15.5" x14ac:dyDescent="0.35">
      <c r="A52" s="37"/>
      <c r="B52" s="22"/>
      <c r="C52" s="22"/>
      <c r="D52" s="22"/>
      <c r="E52" s="22"/>
      <c r="F52" s="22"/>
      <c r="G52" s="22"/>
      <c r="H52" s="22"/>
      <c r="I52" s="22"/>
      <c r="J52" s="22"/>
    </row>
    <row r="53" spans="1:10" ht="15.5" x14ac:dyDescent="0.35">
      <c r="A53" s="37"/>
      <c r="B53" s="22"/>
      <c r="C53" s="22"/>
      <c r="D53" s="22"/>
      <c r="E53" s="22"/>
      <c r="F53" s="22"/>
      <c r="G53" s="22"/>
      <c r="H53" s="22"/>
      <c r="I53" s="22"/>
      <c r="J53" s="22"/>
    </row>
    <row r="54" spans="1:10" ht="15.5" x14ac:dyDescent="0.35">
      <c r="A54" s="37"/>
      <c r="B54" s="22"/>
      <c r="C54" s="22"/>
      <c r="D54" s="22"/>
      <c r="E54" s="22"/>
      <c r="F54" s="22"/>
      <c r="G54" s="22"/>
      <c r="H54" s="22"/>
      <c r="I54" s="22"/>
      <c r="J54" s="22"/>
    </row>
    <row r="55" spans="1:10" ht="15.5" x14ac:dyDescent="0.35">
      <c r="A55" s="37"/>
      <c r="B55" s="22"/>
      <c r="C55" s="22"/>
      <c r="D55" s="22"/>
      <c r="E55" s="22"/>
      <c r="F55" s="22"/>
      <c r="G55" s="22"/>
      <c r="H55" s="22"/>
      <c r="I55" s="22"/>
      <c r="J55" s="22"/>
    </row>
    <row r="56" spans="1:10" ht="15.5" x14ac:dyDescent="0.35">
      <c r="A56" s="37"/>
      <c r="B56" s="22"/>
      <c r="C56" s="22"/>
      <c r="D56" s="22"/>
      <c r="E56" s="22"/>
      <c r="F56" s="22"/>
      <c r="G56" s="22"/>
      <c r="H56" s="22"/>
      <c r="I56" s="22"/>
      <c r="J56" s="22"/>
    </row>
    <row r="57" spans="1:10" ht="15.5" x14ac:dyDescent="0.35">
      <c r="A57" s="37"/>
      <c r="B57" s="22"/>
      <c r="C57" s="22"/>
      <c r="D57" s="22"/>
      <c r="E57" s="22"/>
      <c r="F57" s="22"/>
      <c r="G57" s="22"/>
      <c r="H57" s="22"/>
      <c r="I57" s="22"/>
      <c r="J57" s="22"/>
    </row>
    <row r="58" spans="1:10" ht="15.5" x14ac:dyDescent="0.35">
      <c r="A58" s="37"/>
      <c r="B58" s="22"/>
      <c r="C58" s="22"/>
      <c r="D58" s="22"/>
      <c r="E58" s="22"/>
      <c r="F58" s="22"/>
      <c r="G58" s="22"/>
      <c r="H58" s="22"/>
      <c r="I58" s="22"/>
      <c r="J58" s="22"/>
    </row>
    <row r="59" spans="1:10" ht="15.5" x14ac:dyDescent="0.35">
      <c r="A59" s="37"/>
      <c r="B59" s="22"/>
      <c r="C59" s="22"/>
      <c r="D59" s="22"/>
      <c r="E59" s="22"/>
      <c r="F59" s="22"/>
      <c r="G59" s="22"/>
      <c r="H59" s="22"/>
      <c r="I59" s="22"/>
      <c r="J59" s="22"/>
    </row>
    <row r="60" spans="1:10" ht="15.5" x14ac:dyDescent="0.35">
      <c r="A60" s="37"/>
      <c r="B60" s="22"/>
      <c r="C60" s="22"/>
      <c r="D60" s="22"/>
      <c r="E60" s="22"/>
      <c r="F60" s="22"/>
      <c r="G60" s="22"/>
      <c r="H60" s="22"/>
      <c r="I60" s="22"/>
      <c r="J60" s="22"/>
    </row>
    <row r="61" spans="1:10" ht="15.5" x14ac:dyDescent="0.35">
      <c r="A61" s="37"/>
      <c r="B61" s="22"/>
      <c r="C61" s="22"/>
      <c r="D61" s="22"/>
      <c r="E61" s="22"/>
      <c r="F61" s="22"/>
      <c r="G61" s="22"/>
      <c r="H61" s="22"/>
      <c r="I61" s="22"/>
      <c r="J61" s="22"/>
    </row>
    <row r="62" spans="1:10" ht="15.5" x14ac:dyDescent="0.35">
      <c r="A62" s="37"/>
      <c r="B62" s="22"/>
      <c r="C62" s="22"/>
      <c r="D62" s="22"/>
      <c r="E62" s="22"/>
      <c r="F62" s="22"/>
      <c r="G62" s="22"/>
      <c r="H62" s="22"/>
      <c r="I62" s="22"/>
      <c r="J62" s="22"/>
    </row>
    <row r="63" spans="1:10" ht="15.5" x14ac:dyDescent="0.35">
      <c r="A63" s="37"/>
      <c r="B63" s="22"/>
      <c r="C63" s="22"/>
      <c r="D63" s="22"/>
      <c r="E63" s="22"/>
      <c r="F63" s="22"/>
      <c r="G63" s="22"/>
      <c r="H63" s="22"/>
      <c r="I63" s="22"/>
      <c r="J63" s="22"/>
    </row>
    <row r="64" spans="1:10" ht="15.5" x14ac:dyDescent="0.35">
      <c r="A64" s="37"/>
      <c r="B64" s="22"/>
      <c r="C64" s="22"/>
      <c r="D64" s="22"/>
      <c r="E64" s="22"/>
      <c r="F64" s="22"/>
      <c r="G64" s="22"/>
      <c r="H64" s="22"/>
      <c r="I64" s="22"/>
      <c r="J64" s="22"/>
    </row>
    <row r="65" spans="1:10" ht="15.5" x14ac:dyDescent="0.35">
      <c r="A65" s="37"/>
      <c r="B65" s="22"/>
      <c r="C65" s="22"/>
      <c r="D65" s="22"/>
      <c r="E65" s="22"/>
      <c r="F65" s="22"/>
      <c r="G65" s="22"/>
      <c r="H65" s="22"/>
      <c r="I65" s="22"/>
      <c r="J65" s="22"/>
    </row>
    <row r="66" spans="1:10" ht="15.5" x14ac:dyDescent="0.35">
      <c r="A66" s="37"/>
      <c r="B66" s="22"/>
      <c r="C66" s="22"/>
      <c r="D66" s="22"/>
      <c r="E66" s="22"/>
      <c r="F66" s="22"/>
      <c r="G66" s="22"/>
      <c r="H66" s="22"/>
      <c r="I66" s="22"/>
      <c r="J66" s="22"/>
    </row>
    <row r="67" spans="1:10" ht="15.5" x14ac:dyDescent="0.35">
      <c r="A67" s="37"/>
      <c r="B67" s="22"/>
      <c r="C67" s="22"/>
      <c r="D67" s="22"/>
      <c r="E67" s="22"/>
      <c r="F67" s="22"/>
      <c r="G67" s="22"/>
      <c r="H67" s="22"/>
      <c r="I67" s="22"/>
      <c r="J67" s="22"/>
    </row>
    <row r="68" spans="1:10" ht="15.5" x14ac:dyDescent="0.35">
      <c r="A68" s="37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15.5" x14ac:dyDescent="0.35">
      <c r="A69" s="37"/>
      <c r="B69" s="22"/>
      <c r="C69" s="22"/>
      <c r="D69" s="22"/>
      <c r="E69" s="22"/>
      <c r="F69" s="22"/>
      <c r="G69" s="22"/>
      <c r="H69" s="22"/>
      <c r="I69" s="22"/>
      <c r="J69" s="22"/>
    </row>
    <row r="70" spans="1:10" ht="15.5" x14ac:dyDescent="0.35">
      <c r="A70" s="37"/>
      <c r="B70" s="22"/>
      <c r="C70" s="22"/>
      <c r="D70" s="22"/>
      <c r="E70" s="22"/>
      <c r="F70" s="22"/>
      <c r="G70" s="22"/>
      <c r="H70" s="22"/>
      <c r="I70" s="22"/>
      <c r="J70" s="22"/>
    </row>
    <row r="71" spans="1:10" ht="15.5" x14ac:dyDescent="0.35">
      <c r="A71" s="37"/>
      <c r="B71" s="22"/>
      <c r="C71" s="22"/>
      <c r="D71" s="22"/>
      <c r="E71" s="22"/>
      <c r="F71" s="22"/>
      <c r="G71" s="22"/>
      <c r="H71" s="22"/>
      <c r="I71" s="22"/>
      <c r="J71" s="22"/>
    </row>
    <row r="72" spans="1:10" ht="15.5" x14ac:dyDescent="0.35">
      <c r="A72" s="37"/>
      <c r="B72" s="22"/>
      <c r="C72" s="22"/>
      <c r="D72" s="22"/>
      <c r="E72" s="22"/>
      <c r="F72" s="22"/>
      <c r="G72" s="22"/>
      <c r="H72" s="22"/>
      <c r="I72" s="22"/>
      <c r="J72" s="22"/>
    </row>
    <row r="73" spans="1:10" ht="15.5" x14ac:dyDescent="0.35">
      <c r="A73" s="37"/>
      <c r="B73" s="22"/>
      <c r="C73" s="22"/>
      <c r="D73" s="22"/>
      <c r="E73" s="22"/>
      <c r="F73" s="22"/>
      <c r="G73" s="22"/>
      <c r="H73" s="22"/>
      <c r="I73" s="22"/>
      <c r="J73" s="22"/>
    </row>
    <row r="74" spans="1:10" ht="15.5" x14ac:dyDescent="0.35">
      <c r="A74" s="37"/>
      <c r="B74" s="22"/>
      <c r="C74" s="22"/>
      <c r="D74" s="22"/>
      <c r="E74" s="22"/>
      <c r="F74" s="22"/>
      <c r="G74" s="22"/>
      <c r="H74" s="22"/>
      <c r="I74" s="22"/>
      <c r="J74" s="22"/>
    </row>
    <row r="75" spans="1:10" ht="15.5" x14ac:dyDescent="0.35">
      <c r="A75" s="37"/>
      <c r="B75" s="22"/>
      <c r="C75" s="22"/>
      <c r="D75" s="22"/>
      <c r="E75" s="22"/>
      <c r="F75" s="22"/>
      <c r="G75" s="22"/>
      <c r="H75" s="22"/>
      <c r="I75" s="22"/>
      <c r="J75" s="22"/>
    </row>
    <row r="76" spans="1:10" ht="15.5" x14ac:dyDescent="0.35">
      <c r="A76" s="37"/>
      <c r="B76" s="22"/>
      <c r="C76" s="22"/>
      <c r="D76" s="22"/>
      <c r="E76" s="22"/>
      <c r="F76" s="22"/>
      <c r="G76" s="22"/>
      <c r="H76" s="22"/>
      <c r="I76" s="22"/>
      <c r="J76" s="22"/>
    </row>
    <row r="77" spans="1:10" ht="15.5" x14ac:dyDescent="0.35">
      <c r="A77" s="37"/>
      <c r="B77" s="22"/>
      <c r="C77" s="22"/>
      <c r="D77" s="22"/>
      <c r="E77" s="22"/>
      <c r="F77" s="22"/>
      <c r="G77" s="22"/>
      <c r="H77" s="22"/>
      <c r="I77" s="22"/>
      <c r="J77" s="22"/>
    </row>
    <row r="78" spans="1:10" ht="15.5" x14ac:dyDescent="0.35">
      <c r="A78" s="37"/>
      <c r="B78" s="22"/>
      <c r="C78" s="22"/>
      <c r="D78" s="22"/>
      <c r="E78" s="22"/>
      <c r="F78" s="22"/>
      <c r="G78" s="22"/>
      <c r="H78" s="22"/>
      <c r="I78" s="22"/>
      <c r="J78" s="22"/>
    </row>
    <row r="79" spans="1:10" x14ac:dyDescent="0.25">
      <c r="A79" s="829"/>
    </row>
    <row r="80" spans="1:10" x14ac:dyDescent="0.25">
      <c r="A80" s="829"/>
    </row>
    <row r="81" spans="1:1" x14ac:dyDescent="0.25">
      <c r="A81" s="829"/>
    </row>
    <row r="82" spans="1:1" x14ac:dyDescent="0.25">
      <c r="A82" s="829"/>
    </row>
    <row r="83" spans="1:1" x14ac:dyDescent="0.25">
      <c r="A83" s="829"/>
    </row>
    <row r="84" spans="1:1" x14ac:dyDescent="0.25">
      <c r="A84" s="829"/>
    </row>
    <row r="85" spans="1:1" x14ac:dyDescent="0.25">
      <c r="A85" s="829"/>
    </row>
    <row r="86" spans="1:1" x14ac:dyDescent="0.25">
      <c r="A86" s="829"/>
    </row>
    <row r="87" spans="1:1" x14ac:dyDescent="0.25">
      <c r="A87" s="829"/>
    </row>
    <row r="88" spans="1:1" x14ac:dyDescent="0.25">
      <c r="A88" s="829"/>
    </row>
    <row r="89" spans="1:1" x14ac:dyDescent="0.25">
      <c r="A89" s="829"/>
    </row>
    <row r="90" spans="1:1" x14ac:dyDescent="0.25">
      <c r="A90" s="829"/>
    </row>
    <row r="91" spans="1:1" x14ac:dyDescent="0.25">
      <c r="A91" s="829"/>
    </row>
    <row r="92" spans="1:1" x14ac:dyDescent="0.25">
      <c r="A92" s="829"/>
    </row>
    <row r="93" spans="1:1" x14ac:dyDescent="0.25">
      <c r="A93" s="829"/>
    </row>
    <row r="94" spans="1:1" x14ac:dyDescent="0.25">
      <c r="A94" s="829"/>
    </row>
    <row r="95" spans="1:1" x14ac:dyDescent="0.25">
      <c r="A95" s="829"/>
    </row>
    <row r="96" spans="1:1" x14ac:dyDescent="0.25">
      <c r="A96" s="829"/>
    </row>
    <row r="97" spans="1:1" x14ac:dyDescent="0.25">
      <c r="A97" s="829"/>
    </row>
    <row r="98" spans="1:1" x14ac:dyDescent="0.25">
      <c r="A98" s="829"/>
    </row>
    <row r="99" spans="1:1" x14ac:dyDescent="0.25">
      <c r="A99" s="829"/>
    </row>
    <row r="100" spans="1:1" x14ac:dyDescent="0.25">
      <c r="A100" s="829"/>
    </row>
    <row r="101" spans="1:1" x14ac:dyDescent="0.25">
      <c r="A101" s="829"/>
    </row>
    <row r="102" spans="1:1" x14ac:dyDescent="0.25">
      <c r="A102" s="829"/>
    </row>
    <row r="103" spans="1:1" x14ac:dyDescent="0.25">
      <c r="A103" s="829"/>
    </row>
    <row r="104" spans="1:1" x14ac:dyDescent="0.25">
      <c r="A104" s="829"/>
    </row>
    <row r="105" spans="1:1" x14ac:dyDescent="0.25">
      <c r="A105" s="829"/>
    </row>
    <row r="106" spans="1:1" x14ac:dyDescent="0.25">
      <c r="A106" s="829"/>
    </row>
    <row r="107" spans="1:1" x14ac:dyDescent="0.25">
      <c r="A107" s="829"/>
    </row>
    <row r="108" spans="1:1" x14ac:dyDescent="0.25">
      <c r="A108" s="829"/>
    </row>
    <row r="109" spans="1:1" x14ac:dyDescent="0.25">
      <c r="A109" s="829"/>
    </row>
    <row r="110" spans="1:1" x14ac:dyDescent="0.25">
      <c r="A110" s="829"/>
    </row>
    <row r="111" spans="1:1" x14ac:dyDescent="0.25">
      <c r="A111" s="829"/>
    </row>
    <row r="112" spans="1:1" x14ac:dyDescent="0.25">
      <c r="A112" s="829"/>
    </row>
    <row r="113" spans="1:1" x14ac:dyDescent="0.25">
      <c r="A113" s="829"/>
    </row>
    <row r="114" spans="1:1" x14ac:dyDescent="0.25">
      <c r="A114" s="829"/>
    </row>
    <row r="115" spans="1:1" x14ac:dyDescent="0.25">
      <c r="A115" s="829"/>
    </row>
    <row r="116" spans="1:1" x14ac:dyDescent="0.25">
      <c r="A116" s="829"/>
    </row>
    <row r="117" spans="1:1" x14ac:dyDescent="0.25">
      <c r="A117" s="829"/>
    </row>
    <row r="118" spans="1:1" x14ac:dyDescent="0.25">
      <c r="A118" s="829"/>
    </row>
    <row r="119" spans="1:1" x14ac:dyDescent="0.25">
      <c r="A119" s="829"/>
    </row>
    <row r="120" spans="1:1" x14ac:dyDescent="0.25">
      <c r="A120" s="829"/>
    </row>
    <row r="121" spans="1:1" x14ac:dyDescent="0.25">
      <c r="A121" s="829"/>
    </row>
    <row r="122" spans="1:1" x14ac:dyDescent="0.25">
      <c r="A122" s="829"/>
    </row>
  </sheetData>
  <mergeCells count="1">
    <mergeCell ref="A4:J4"/>
  </mergeCells>
  <printOptions horizontalCentered="1"/>
  <pageMargins left="0.25" right="0.25" top="0.5" bottom="0.5" header="0.25" footer="0.25"/>
  <pageSetup scale="71" orientation="landscape" r:id="rId1"/>
  <headerFooter alignWithMargins="0">
    <oddFooter>&amp;L&amp;"Times New Roman,Regular"&amp;12&amp;F&amp;C&amp;"Times New Roman,Regular"&amp;12Page 2 of 3&amp;R&amp;"Times New Roman,Regular"&amp;12&amp;A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K122"/>
  <sheetViews>
    <sheetView zoomScale="80" zoomScaleNormal="80" workbookViewId="0"/>
  </sheetViews>
  <sheetFormatPr defaultColWidth="9.1796875" defaultRowHeight="12.5" x14ac:dyDescent="0.25"/>
  <cols>
    <col min="1" max="1" width="5.54296875" style="243" customWidth="1"/>
    <col min="2" max="2" width="45.54296875" style="243" customWidth="1"/>
    <col min="3" max="8" width="15.54296875" style="243" customWidth="1"/>
    <col min="9" max="9" width="17.54296875" style="243" customWidth="1"/>
    <col min="10" max="10" width="40.54296875" style="243" customWidth="1"/>
    <col min="11" max="11" width="5.54296875" style="243" customWidth="1"/>
    <col min="12" max="16384" width="9.1796875" style="243"/>
  </cols>
  <sheetData>
    <row r="2" spans="1:11" ht="15.5" x14ac:dyDescent="0.25">
      <c r="A2" s="5" t="s">
        <v>162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15.5" x14ac:dyDescent="0.25">
      <c r="A3" s="5" t="s">
        <v>52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5" x14ac:dyDescent="0.25">
      <c r="A4" s="976" t="str">
        <f>'Stmt BH - Page 1'!A4:J4</f>
        <v>Transmission Revenue Balancing Account Adjustment (TRBAA) Revenue Data To Reflect Present Rates per ER23-257</v>
      </c>
      <c r="B4" s="976"/>
      <c r="C4" s="976"/>
      <c r="D4" s="976"/>
      <c r="E4" s="976"/>
      <c r="F4" s="976"/>
      <c r="G4" s="976"/>
      <c r="H4" s="976"/>
      <c r="I4" s="976"/>
      <c r="J4" s="976"/>
      <c r="K4" s="976"/>
    </row>
    <row r="5" spans="1:11" ht="15.5" x14ac:dyDescent="0.25">
      <c r="A5" s="419" t="str">
        <f>'Stmt BH - Page 1'!A5</f>
        <v>Rate Effective Period - Twelve Months Ending December 31, 2024</v>
      </c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1:11" ht="16" thickBot="1" x14ac:dyDescent="0.4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</row>
    <row r="7" spans="1:11" ht="15" x14ac:dyDescent="0.3">
      <c r="A7" s="75"/>
      <c r="B7" s="75"/>
      <c r="C7" s="575" t="s">
        <v>117</v>
      </c>
      <c r="D7" s="575" t="s">
        <v>153</v>
      </c>
      <c r="E7" s="575" t="s">
        <v>154</v>
      </c>
      <c r="F7" s="575" t="s">
        <v>155</v>
      </c>
      <c r="G7" s="575" t="s">
        <v>156</v>
      </c>
      <c r="H7" s="575" t="s">
        <v>157</v>
      </c>
      <c r="I7" s="575" t="s">
        <v>158</v>
      </c>
      <c r="J7" s="575" t="s">
        <v>158</v>
      </c>
      <c r="K7" s="75"/>
    </row>
    <row r="8" spans="1:11" ht="15" x14ac:dyDescent="0.3">
      <c r="A8" s="75" t="s">
        <v>8</v>
      </c>
      <c r="B8" s="75"/>
      <c r="C8" s="567">
        <f>'Stmt BH - Page 1'!C26</f>
        <v>45108</v>
      </c>
      <c r="D8" s="567">
        <f>'Stmt BH - Page 1'!D26</f>
        <v>45139</v>
      </c>
      <c r="E8" s="567">
        <f>'Stmt BH - Page 1'!E26</f>
        <v>45170</v>
      </c>
      <c r="F8" s="567">
        <f>'Stmt BH - Page 1'!F26</f>
        <v>45200</v>
      </c>
      <c r="G8" s="567">
        <f>'Stmt BH - Page 1'!G26</f>
        <v>45231</v>
      </c>
      <c r="H8" s="567">
        <f>'Stmt BH - Page 1'!H26</f>
        <v>45261</v>
      </c>
      <c r="I8" s="567" t="s">
        <v>18</v>
      </c>
      <c r="J8" s="568"/>
      <c r="K8" s="75" t="s">
        <v>8</v>
      </c>
    </row>
    <row r="9" spans="1:11" ht="15.5" thickBot="1" x14ac:dyDescent="0.35">
      <c r="A9" s="153" t="s">
        <v>11</v>
      </c>
      <c r="B9" s="153" t="s">
        <v>88</v>
      </c>
      <c r="C9" s="153" t="s">
        <v>132</v>
      </c>
      <c r="D9" s="153" t="s">
        <v>132</v>
      </c>
      <c r="E9" s="153" t="s">
        <v>132</v>
      </c>
      <c r="F9" s="153" t="s">
        <v>132</v>
      </c>
      <c r="G9" s="153" t="s">
        <v>132</v>
      </c>
      <c r="H9" s="153" t="s">
        <v>132</v>
      </c>
      <c r="I9" s="153" t="s">
        <v>132</v>
      </c>
      <c r="J9" s="153" t="s">
        <v>16</v>
      </c>
      <c r="K9" s="153" t="s">
        <v>11</v>
      </c>
    </row>
    <row r="10" spans="1:11" ht="15.5" x14ac:dyDescent="0.35">
      <c r="A10" s="10"/>
      <c r="B10" s="10"/>
      <c r="C10" s="74"/>
      <c r="D10" s="10"/>
      <c r="E10" s="10"/>
      <c r="F10" s="10"/>
      <c r="G10" s="10"/>
      <c r="H10" s="10"/>
      <c r="I10" s="10"/>
      <c r="J10" s="10"/>
      <c r="K10" s="10"/>
    </row>
    <row r="11" spans="1:11" ht="15.5" x14ac:dyDescent="0.35">
      <c r="A11" s="10">
        <v>1</v>
      </c>
      <c r="B11" s="11" t="s">
        <v>93</v>
      </c>
      <c r="C11" s="31">
        <f>'WP 1.2 Forecast Sales'!I6*1000</f>
        <v>525656342.60944217</v>
      </c>
      <c r="D11" s="31">
        <f>'WP 1.2 Forecast Sales'!J6*1000</f>
        <v>620628554.52142882</v>
      </c>
      <c r="E11" s="31">
        <f>'WP 1.2 Forecast Sales'!K6*1000</f>
        <v>656306604.67005837</v>
      </c>
      <c r="F11" s="31">
        <f>'WP 1.2 Forecast Sales'!L6*1000</f>
        <v>525369758.79172343</v>
      </c>
      <c r="G11" s="31">
        <f>'WP 1.2 Forecast Sales'!M6*1000</f>
        <v>464778383.15024245</v>
      </c>
      <c r="H11" s="31">
        <f>'WP 1.2 Forecast Sales'!N6*1000</f>
        <v>531636879.53145432</v>
      </c>
      <c r="I11" s="31">
        <f>SUM(C11:H11)+SUM('Stmt BH - Page 2'!C11:H11)</f>
        <v>6059160276.4376373</v>
      </c>
      <c r="J11" s="241" t="s">
        <v>133</v>
      </c>
      <c r="K11" s="10">
        <v>1</v>
      </c>
    </row>
    <row r="12" spans="1:11" ht="15.5" x14ac:dyDescent="0.35">
      <c r="A12" s="10">
        <f>A11+1</f>
        <v>2</v>
      </c>
      <c r="B12" s="11"/>
      <c r="C12" s="399"/>
      <c r="D12" s="399"/>
      <c r="E12" s="399"/>
      <c r="F12" s="399"/>
      <c r="G12" s="399"/>
      <c r="H12" s="399"/>
      <c r="I12" s="399"/>
      <c r="J12" s="400"/>
      <c r="K12" s="10">
        <f>K11+1</f>
        <v>2</v>
      </c>
    </row>
    <row r="13" spans="1:11" ht="15.5" x14ac:dyDescent="0.35">
      <c r="A13" s="10">
        <f t="shared" ref="A13:A25" si="0">A12+1</f>
        <v>3</v>
      </c>
      <c r="B13" s="11" t="s">
        <v>134</v>
      </c>
      <c r="C13" s="31">
        <f>'WP 1.2 Forecast Sales'!I7*1000</f>
        <v>203198304.34812796</v>
      </c>
      <c r="D13" s="31">
        <f>'WP 1.2 Forecast Sales'!J7*1000</f>
        <v>213885654.47013554</v>
      </c>
      <c r="E13" s="31">
        <f>'WP 1.2 Forecast Sales'!K7*1000</f>
        <v>221965118.21144944</v>
      </c>
      <c r="F13" s="31">
        <f>'WP 1.2 Forecast Sales'!L7*1000</f>
        <v>200473013.37395006</v>
      </c>
      <c r="G13" s="31">
        <f>'WP 1.2 Forecast Sales'!M7*1000</f>
        <v>185572672.27053156</v>
      </c>
      <c r="H13" s="31">
        <f>'WP 1.2 Forecast Sales'!N7*1000</f>
        <v>182348362.92665175</v>
      </c>
      <c r="I13" s="31">
        <f>SUM(C13:H13)+SUM('Stmt BH - Page 2'!C13:H13)</f>
        <v>2263464796.9417963</v>
      </c>
      <c r="J13" s="241" t="s">
        <v>135</v>
      </c>
      <c r="K13" s="10">
        <f t="shared" ref="K13:K25" si="1">K12+1</f>
        <v>3</v>
      </c>
    </row>
    <row r="14" spans="1:11" ht="15.5" x14ac:dyDescent="0.35">
      <c r="A14" s="10">
        <f t="shared" si="0"/>
        <v>4</v>
      </c>
      <c r="B14" s="386"/>
      <c r="C14" s="394"/>
      <c r="D14" s="394"/>
      <c r="E14" s="394"/>
      <c r="F14" s="394"/>
      <c r="G14" s="394"/>
      <c r="H14" s="394"/>
      <c r="I14" s="31"/>
      <c r="J14" s="401"/>
      <c r="K14" s="10">
        <f t="shared" si="1"/>
        <v>4</v>
      </c>
    </row>
    <row r="15" spans="1:11" ht="15.5" x14ac:dyDescent="0.35">
      <c r="A15" s="10">
        <f t="shared" si="0"/>
        <v>5</v>
      </c>
      <c r="B15" s="17" t="s">
        <v>99</v>
      </c>
      <c r="C15" s="31">
        <f>'WP 1.2 Forecast Sales'!I8*1000</f>
        <v>868622185.35209262</v>
      </c>
      <c r="D15" s="31">
        <f>'WP 1.2 Forecast Sales'!J8*1000</f>
        <v>899164503.50116861</v>
      </c>
      <c r="E15" s="31">
        <f>'WP 1.2 Forecast Sales'!K8*1000</f>
        <v>910364934.26935649</v>
      </c>
      <c r="F15" s="31">
        <f>'WP 1.2 Forecast Sales'!L8*1000</f>
        <v>841167651.61303461</v>
      </c>
      <c r="G15" s="31">
        <f>'WP 1.2 Forecast Sales'!M8*1000</f>
        <v>793347754.76550806</v>
      </c>
      <c r="H15" s="31">
        <f>'WP 1.2 Forecast Sales'!N8*1000</f>
        <v>755699480.84398079</v>
      </c>
      <c r="I15" s="31">
        <f>SUM(C15:H15)+SUM('Stmt BH - Page 2'!C15:H15)</f>
        <v>9543962265.9254513</v>
      </c>
      <c r="J15" s="241" t="s">
        <v>136</v>
      </c>
      <c r="K15" s="10">
        <f t="shared" si="1"/>
        <v>5</v>
      </c>
    </row>
    <row r="16" spans="1:11" ht="15.5" x14ac:dyDescent="0.35">
      <c r="A16" s="10">
        <f t="shared" si="0"/>
        <v>6</v>
      </c>
      <c r="B16" s="11"/>
      <c r="C16" s="31"/>
      <c r="D16" s="31"/>
      <c r="E16" s="31"/>
      <c r="F16" s="31"/>
      <c r="G16" s="31"/>
      <c r="H16" s="31"/>
      <c r="I16" s="31"/>
      <c r="J16" s="402"/>
      <c r="K16" s="10">
        <f t="shared" si="1"/>
        <v>6</v>
      </c>
    </row>
    <row r="17" spans="1:11" ht="15.5" x14ac:dyDescent="0.35">
      <c r="A17" s="10">
        <f t="shared" si="0"/>
        <v>7</v>
      </c>
      <c r="B17" s="11" t="s">
        <v>102</v>
      </c>
      <c r="C17" s="31">
        <f>'WP 1.2 Forecast Sales'!I10*1000</f>
        <v>12604148.016855329</v>
      </c>
      <c r="D17" s="31">
        <f>'WP 1.2 Forecast Sales'!J10*1000</f>
        <v>12994441.56316285</v>
      </c>
      <c r="E17" s="31">
        <f>'WP 1.2 Forecast Sales'!K10*1000</f>
        <v>13239169.105003502</v>
      </c>
      <c r="F17" s="31">
        <f>'WP 1.2 Forecast Sales'!L10*1000</f>
        <v>11464926.458473155</v>
      </c>
      <c r="G17" s="31">
        <f>'WP 1.2 Forecast Sales'!M10*1000</f>
        <v>8767886.2154162787</v>
      </c>
      <c r="H17" s="31">
        <f>'WP 1.2 Forecast Sales'!N10*1000</f>
        <v>8434773.2657557912</v>
      </c>
      <c r="I17" s="31">
        <f>SUM(C17:H17)+SUM('Stmt BH - Page 2'!C17:H17)</f>
        <v>119762396.93889752</v>
      </c>
      <c r="J17" s="241" t="s">
        <v>137</v>
      </c>
      <c r="K17" s="10">
        <f t="shared" si="1"/>
        <v>7</v>
      </c>
    </row>
    <row r="18" spans="1:11" ht="15.5" x14ac:dyDescent="0.35">
      <c r="A18" s="10">
        <f t="shared" si="0"/>
        <v>8</v>
      </c>
      <c r="B18" s="11"/>
      <c r="C18" s="31"/>
      <c r="D18" s="31"/>
      <c r="E18" s="31"/>
      <c r="F18" s="31"/>
      <c r="G18" s="31"/>
      <c r="H18" s="31"/>
      <c r="I18" s="31"/>
      <c r="J18" s="402"/>
      <c r="K18" s="10">
        <f t="shared" si="1"/>
        <v>8</v>
      </c>
    </row>
    <row r="19" spans="1:11" ht="15.5" x14ac:dyDescent="0.35">
      <c r="A19" s="10">
        <f t="shared" si="0"/>
        <v>9</v>
      </c>
      <c r="B19" s="11" t="s">
        <v>105</v>
      </c>
      <c r="C19" s="31">
        <f>'WP 1.2 Forecast Sales'!I11*1000</f>
        <v>22410225.208110835</v>
      </c>
      <c r="D19" s="31">
        <f>'WP 1.2 Forecast Sales'!J11*1000</f>
        <v>21856569.408463039</v>
      </c>
      <c r="E19" s="31">
        <f>'WP 1.2 Forecast Sales'!K11*1000</f>
        <v>22291279.209385034</v>
      </c>
      <c r="F19" s="31">
        <f>'WP 1.2 Forecast Sales'!L11*1000</f>
        <v>20085383.000222251</v>
      </c>
      <c r="G19" s="31">
        <f>'WP 1.2 Forecast Sales'!M11*1000</f>
        <v>18856389.9300525</v>
      </c>
      <c r="H19" s="31">
        <f>'WP 1.2 Forecast Sales'!N11*1000</f>
        <v>16967494.891915545</v>
      </c>
      <c r="I19" s="31">
        <f>SUM(C19:H19)+SUM('Stmt BH - Page 2'!C19:H19)</f>
        <v>221940537.37592039</v>
      </c>
      <c r="J19" s="241" t="s">
        <v>138</v>
      </c>
      <c r="K19" s="10">
        <f t="shared" si="1"/>
        <v>9</v>
      </c>
    </row>
    <row r="20" spans="1:11" ht="15.5" x14ac:dyDescent="0.35">
      <c r="A20" s="10">
        <f t="shared" si="0"/>
        <v>10</v>
      </c>
      <c r="B20" s="11"/>
      <c r="C20" s="31"/>
      <c r="D20" s="31"/>
      <c r="E20" s="31"/>
      <c r="F20" s="31"/>
      <c r="G20" s="31"/>
      <c r="H20" s="31"/>
      <c r="I20" s="31"/>
      <c r="J20" s="402"/>
      <c r="K20" s="10">
        <f t="shared" si="1"/>
        <v>10</v>
      </c>
    </row>
    <row r="21" spans="1:11" ht="15.5" x14ac:dyDescent="0.35">
      <c r="A21" s="10">
        <f t="shared" si="0"/>
        <v>11</v>
      </c>
      <c r="B21" s="11" t="s">
        <v>139</v>
      </c>
      <c r="C21" s="38">
        <f>'WP 1.2 Forecast Sales'!I12*1000</f>
        <v>6440289.3659817632</v>
      </c>
      <c r="D21" s="38">
        <f>'WP 1.2 Forecast Sales'!J12*1000</f>
        <v>6262475.9203543803</v>
      </c>
      <c r="E21" s="38">
        <f>'WP 1.2 Forecast Sales'!K12*1000</f>
        <v>6518034.2895418704</v>
      </c>
      <c r="F21" s="38">
        <f>'WP 1.2 Forecast Sales'!L12*1000</f>
        <v>6381736.302839567</v>
      </c>
      <c r="G21" s="38">
        <f>'WP 1.2 Forecast Sales'!M12*1000</f>
        <v>6425383.2416884284</v>
      </c>
      <c r="H21" s="38">
        <f>'WP 1.2 Forecast Sales'!N12*1000</f>
        <v>6493207.1985863773</v>
      </c>
      <c r="I21" s="38">
        <f>SUM(C21:H21)+SUM('Stmt BH - Page 2'!C21:H21)</f>
        <v>77555572.032149196</v>
      </c>
      <c r="J21" s="241" t="s">
        <v>140</v>
      </c>
      <c r="K21" s="10">
        <f t="shared" si="1"/>
        <v>11</v>
      </c>
    </row>
    <row r="22" spans="1:11" ht="15.5" x14ac:dyDescent="0.35">
      <c r="A22" s="10">
        <f t="shared" si="0"/>
        <v>12</v>
      </c>
      <c r="B22" s="11"/>
      <c r="C22" s="31"/>
      <c r="D22" s="31"/>
      <c r="E22" s="31"/>
      <c r="F22" s="31"/>
      <c r="G22" s="31"/>
      <c r="H22" s="31"/>
      <c r="I22" s="31"/>
      <c r="J22" s="31"/>
      <c r="K22" s="10">
        <f t="shared" si="1"/>
        <v>12</v>
      </c>
    </row>
    <row r="23" spans="1:11" ht="16" thickBot="1" x14ac:dyDescent="0.4">
      <c r="A23" s="10">
        <f t="shared" si="0"/>
        <v>13</v>
      </c>
      <c r="B23" s="11" t="s">
        <v>124</v>
      </c>
      <c r="C23" s="475">
        <f>SUM(C11:C21)</f>
        <v>1638931494.9006107</v>
      </c>
      <c r="D23" s="475">
        <f t="shared" ref="D23:I23" si="2">SUM(D11:D21)</f>
        <v>1774792199.3847132</v>
      </c>
      <c r="E23" s="475">
        <f t="shared" si="2"/>
        <v>1830685139.7547948</v>
      </c>
      <c r="F23" s="475">
        <f t="shared" si="2"/>
        <v>1604942469.5402429</v>
      </c>
      <c r="G23" s="475">
        <f t="shared" si="2"/>
        <v>1477748469.5734394</v>
      </c>
      <c r="H23" s="475">
        <f t="shared" si="2"/>
        <v>1501580198.6583447</v>
      </c>
      <c r="I23" s="475">
        <f t="shared" si="2"/>
        <v>18285845845.651852</v>
      </c>
      <c r="J23" s="405" t="s">
        <v>141</v>
      </c>
      <c r="K23" s="10">
        <f t="shared" si="1"/>
        <v>13</v>
      </c>
    </row>
    <row r="24" spans="1:11" ht="16.5" thickTop="1" thickBot="1" x14ac:dyDescent="0.4">
      <c r="A24" s="57">
        <f t="shared" si="0"/>
        <v>14</v>
      </c>
      <c r="B24" s="420"/>
      <c r="C24" s="828"/>
      <c r="D24" s="58"/>
      <c r="E24" s="58"/>
      <c r="F24" s="58"/>
      <c r="G24" s="58"/>
      <c r="H24" s="58"/>
      <c r="I24" s="58"/>
      <c r="J24" s="58"/>
      <c r="K24" s="57">
        <f t="shared" si="1"/>
        <v>14</v>
      </c>
    </row>
    <row r="25" spans="1:11" ht="15.5" x14ac:dyDescent="0.35">
      <c r="A25" s="10">
        <f t="shared" si="0"/>
        <v>15</v>
      </c>
      <c r="B25" s="421"/>
      <c r="C25" s="409"/>
      <c r="D25" s="409"/>
      <c r="E25" s="409"/>
      <c r="F25" s="409"/>
      <c r="G25" s="409"/>
      <c r="H25" s="409"/>
      <c r="I25" s="17"/>
      <c r="J25" s="17"/>
      <c r="K25" s="10">
        <f t="shared" si="1"/>
        <v>15</v>
      </c>
    </row>
    <row r="26" spans="1:11" ht="16" thickBot="1" x14ac:dyDescent="0.4">
      <c r="A26" s="57">
        <f>A25+1</f>
        <v>16</v>
      </c>
      <c r="B26" s="420"/>
      <c r="C26" s="57" t="s">
        <v>142</v>
      </c>
      <c r="D26" s="57" t="s">
        <v>142</v>
      </c>
      <c r="E26" s="57" t="s">
        <v>142</v>
      </c>
      <c r="F26" s="57" t="s">
        <v>142</v>
      </c>
      <c r="G26" s="57" t="s">
        <v>142</v>
      </c>
      <c r="H26" s="57" t="s">
        <v>142</v>
      </c>
      <c r="I26" s="57"/>
      <c r="J26" s="57"/>
      <c r="K26" s="57">
        <f>K25+1</f>
        <v>16</v>
      </c>
    </row>
    <row r="27" spans="1:11" ht="15.5" x14ac:dyDescent="0.35">
      <c r="A27" s="9">
        <f>A26+1</f>
        <v>17</v>
      </c>
      <c r="B27" s="8"/>
      <c r="C27" s="75"/>
      <c r="D27" s="9"/>
      <c r="E27" s="9"/>
      <c r="F27" s="9"/>
      <c r="G27" s="9"/>
      <c r="H27" s="9"/>
      <c r="I27" s="9"/>
      <c r="J27" s="410" t="str">
        <f>'Stmt BH - Page 2'!I27</f>
        <v>Statement BL (Retail); Page 1; Line 27</v>
      </c>
      <c r="K27" s="9">
        <f>K26+1</f>
        <v>17</v>
      </c>
    </row>
    <row r="28" spans="1:11" ht="15.5" x14ac:dyDescent="0.35">
      <c r="A28" s="10">
        <f>A27+1</f>
        <v>18</v>
      </c>
      <c r="B28" s="11" t="str">
        <f>'Stmt BH - Page 2'!B28</f>
        <v>Retail TRBAA Rate ($/kWh) @ Present Rate</v>
      </c>
      <c r="C28" s="385">
        <f>'Stmt BH - Page 2'!C28</f>
        <v>-2.4199999999999998E-3</v>
      </c>
      <c r="D28" s="385">
        <f>$C28</f>
        <v>-2.4199999999999998E-3</v>
      </c>
      <c r="E28" s="385">
        <f>$C28</f>
        <v>-2.4199999999999998E-3</v>
      </c>
      <c r="F28" s="385">
        <f>$C28</f>
        <v>-2.4199999999999998E-3</v>
      </c>
      <c r="G28" s="385">
        <f>$C28</f>
        <v>-2.4199999999999998E-3</v>
      </c>
      <c r="H28" s="385">
        <f>$C28</f>
        <v>-2.4199999999999998E-3</v>
      </c>
      <c r="I28" s="31"/>
      <c r="J28" s="400" t="str">
        <f>'Stmt BH - Page 2'!I28</f>
        <v>FERC Docket No. ER23-257-000</v>
      </c>
      <c r="K28" s="10">
        <f>K27+1</f>
        <v>18</v>
      </c>
    </row>
    <row r="29" spans="1:11" ht="16" thickBot="1" x14ac:dyDescent="0.4">
      <c r="A29" s="57">
        <f>A28+1</f>
        <v>19</v>
      </c>
      <c r="B29" s="420"/>
      <c r="C29" s="58"/>
      <c r="D29" s="58"/>
      <c r="E29" s="58"/>
      <c r="F29" s="58"/>
      <c r="G29" s="58"/>
      <c r="H29" s="58"/>
      <c r="I29" s="58"/>
      <c r="J29" s="411"/>
      <c r="K29" s="57">
        <f>K28+1</f>
        <v>19</v>
      </c>
    </row>
    <row r="30" spans="1:11" ht="15.5" x14ac:dyDescent="0.35">
      <c r="A30" s="10">
        <f t="shared" ref="A30:A45" si="3">A29+1</f>
        <v>20</v>
      </c>
      <c r="B30" s="11"/>
      <c r="C30" s="248"/>
      <c r="D30" s="248"/>
      <c r="E30" s="248"/>
      <c r="F30" s="248"/>
      <c r="G30" s="248"/>
      <c r="H30" s="248"/>
      <c r="I30" s="31"/>
      <c r="J30" s="17"/>
      <c r="K30" s="10">
        <f t="shared" ref="K30:K45" si="4">K29+1</f>
        <v>20</v>
      </c>
    </row>
    <row r="31" spans="1:11" ht="34.5" customHeight="1" thickBot="1" x14ac:dyDescent="0.4">
      <c r="A31" s="57">
        <f t="shared" si="3"/>
        <v>21</v>
      </c>
      <c r="B31" s="420"/>
      <c r="C31" s="412" t="s">
        <v>170</v>
      </c>
      <c r="D31" s="412" t="s">
        <v>170</v>
      </c>
      <c r="E31" s="412" t="s">
        <v>170</v>
      </c>
      <c r="F31" s="412" t="s">
        <v>170</v>
      </c>
      <c r="G31" s="412" t="s">
        <v>170</v>
      </c>
      <c r="H31" s="412" t="s">
        <v>170</v>
      </c>
      <c r="I31" s="412" t="s">
        <v>170</v>
      </c>
      <c r="J31" s="57"/>
      <c r="K31" s="57">
        <f t="shared" si="4"/>
        <v>21</v>
      </c>
    </row>
    <row r="32" spans="1:11" ht="15.5" x14ac:dyDescent="0.35">
      <c r="A32" s="10">
        <f t="shared" si="3"/>
        <v>22</v>
      </c>
      <c r="B32" s="11"/>
      <c r="C32" s="10"/>
      <c r="D32" s="10"/>
      <c r="E32" s="10"/>
      <c r="F32" s="10"/>
      <c r="G32" s="10"/>
      <c r="H32" s="10"/>
      <c r="I32" s="10"/>
      <c r="J32" s="74"/>
      <c r="K32" s="10">
        <f t="shared" si="4"/>
        <v>22</v>
      </c>
    </row>
    <row r="33" spans="1:11" ht="15.5" x14ac:dyDescent="0.35">
      <c r="A33" s="10">
        <f t="shared" si="3"/>
        <v>23</v>
      </c>
      <c r="B33" s="11" t="s">
        <v>93</v>
      </c>
      <c r="C33" s="141">
        <f>C11*C$28</f>
        <v>-1272088.3491148499</v>
      </c>
      <c r="D33" s="141">
        <f t="shared" ref="D33:H33" si="5">D11*D$28</f>
        <v>-1501921.1019418577</v>
      </c>
      <c r="E33" s="141">
        <f t="shared" si="5"/>
        <v>-1588261.9833015411</v>
      </c>
      <c r="F33" s="141">
        <f t="shared" si="5"/>
        <v>-1271394.8162759705</v>
      </c>
      <c r="G33" s="141">
        <f t="shared" si="5"/>
        <v>-1124763.6872235867</v>
      </c>
      <c r="H33" s="141">
        <f t="shared" si="5"/>
        <v>-1286561.2484661194</v>
      </c>
      <c r="I33" s="141">
        <f>SUM('Stmt BH - Page 2'!C33:H33)+SUM('Stmt BH - Page 3'!C33:H33)</f>
        <v>-14663167.868979083</v>
      </c>
      <c r="J33" s="26" t="s">
        <v>146</v>
      </c>
      <c r="K33" s="10">
        <f t="shared" si="4"/>
        <v>23</v>
      </c>
    </row>
    <row r="34" spans="1:11" ht="15.5" x14ac:dyDescent="0.35">
      <c r="A34" s="10">
        <f t="shared" si="3"/>
        <v>24</v>
      </c>
      <c r="B34" s="11"/>
      <c r="C34" s="399"/>
      <c r="D34" s="399"/>
      <c r="E34" s="399"/>
      <c r="F34" s="399"/>
      <c r="G34" s="399"/>
      <c r="H34" s="399"/>
      <c r="I34" s="399"/>
      <c r="J34" s="405"/>
      <c r="K34" s="10">
        <f t="shared" si="4"/>
        <v>24</v>
      </c>
    </row>
    <row r="35" spans="1:11" ht="15.5" x14ac:dyDescent="0.35">
      <c r="A35" s="10">
        <f t="shared" si="3"/>
        <v>25</v>
      </c>
      <c r="B35" s="11" t="s">
        <v>134</v>
      </c>
      <c r="C35" s="44">
        <f>C13*C$28</f>
        <v>-491739.89652246964</v>
      </c>
      <c r="D35" s="44">
        <f t="shared" ref="D35:H35" si="6">D13*D$28</f>
        <v>-517603.28381772799</v>
      </c>
      <c r="E35" s="44">
        <f t="shared" si="6"/>
        <v>-537155.58607170766</v>
      </c>
      <c r="F35" s="44">
        <f t="shared" si="6"/>
        <v>-485144.6923649591</v>
      </c>
      <c r="G35" s="44">
        <f t="shared" si="6"/>
        <v>-449085.86689468636</v>
      </c>
      <c r="H35" s="44">
        <f t="shared" si="6"/>
        <v>-441283.0382824972</v>
      </c>
      <c r="I35" s="44">
        <f>SUM('Stmt BH - Page 2'!C35:H35)+SUM('Stmt BH - Page 3'!C35:H35)</f>
        <v>-5477584.8085991461</v>
      </c>
      <c r="J35" s="26" t="s">
        <v>147</v>
      </c>
      <c r="K35" s="10">
        <f t="shared" si="4"/>
        <v>25</v>
      </c>
    </row>
    <row r="36" spans="1:11" ht="15.5" x14ac:dyDescent="0.35">
      <c r="A36" s="10">
        <f t="shared" si="3"/>
        <v>26</v>
      </c>
      <c r="B36" s="386"/>
      <c r="C36" s="394"/>
      <c r="D36" s="394"/>
      <c r="E36" s="394"/>
      <c r="F36" s="394"/>
      <c r="G36" s="394"/>
      <c r="H36" s="394"/>
      <c r="I36" s="44"/>
      <c r="J36" s="26"/>
      <c r="K36" s="10">
        <f t="shared" si="4"/>
        <v>26</v>
      </c>
    </row>
    <row r="37" spans="1:11" ht="15.5" x14ac:dyDescent="0.35">
      <c r="A37" s="10">
        <f t="shared" si="3"/>
        <v>27</v>
      </c>
      <c r="B37" s="17" t="s">
        <v>99</v>
      </c>
      <c r="C37" s="44">
        <f>C15*C$28</f>
        <v>-2102065.6885520639</v>
      </c>
      <c r="D37" s="44">
        <f t="shared" ref="D37:H37" si="7">D15*D$28</f>
        <v>-2175978.098472828</v>
      </c>
      <c r="E37" s="44">
        <f t="shared" si="7"/>
        <v>-2203083.1409318424</v>
      </c>
      <c r="F37" s="44">
        <f t="shared" si="7"/>
        <v>-2035625.7169035436</v>
      </c>
      <c r="G37" s="44">
        <f t="shared" si="7"/>
        <v>-1919901.5665325294</v>
      </c>
      <c r="H37" s="44">
        <f t="shared" si="7"/>
        <v>-1828792.7436424333</v>
      </c>
      <c r="I37" s="44">
        <f>SUM('Stmt BH - Page 2'!C37:H37)+SUM('Stmt BH - Page 3'!C37:H37)</f>
        <v>-23096388.683539588</v>
      </c>
      <c r="J37" s="26" t="s">
        <v>148</v>
      </c>
      <c r="K37" s="10">
        <f t="shared" si="4"/>
        <v>27</v>
      </c>
    </row>
    <row r="38" spans="1:11" ht="15.5" x14ac:dyDescent="0.35">
      <c r="A38" s="10">
        <f t="shared" si="3"/>
        <v>28</v>
      </c>
      <c r="B38" s="11"/>
      <c r="C38" s="44"/>
      <c r="D38" s="44"/>
      <c r="E38" s="44"/>
      <c r="F38" s="44"/>
      <c r="G38" s="44"/>
      <c r="H38" s="44"/>
      <c r="I38" s="44"/>
      <c r="J38" s="26"/>
      <c r="K38" s="10">
        <f t="shared" si="4"/>
        <v>28</v>
      </c>
    </row>
    <row r="39" spans="1:11" ht="15.5" x14ac:dyDescent="0.35">
      <c r="A39" s="10">
        <f t="shared" si="3"/>
        <v>29</v>
      </c>
      <c r="B39" s="11" t="s">
        <v>102</v>
      </c>
      <c r="C39" s="44">
        <f>C17*C$28</f>
        <v>-30502.038200789895</v>
      </c>
      <c r="D39" s="44">
        <f t="shared" ref="D39:H39" si="8">D17*D$28</f>
        <v>-31446.548582854095</v>
      </c>
      <c r="E39" s="44">
        <f t="shared" si="8"/>
        <v>-32038.789234108473</v>
      </c>
      <c r="F39" s="44">
        <f t="shared" si="8"/>
        <v>-27745.122029505033</v>
      </c>
      <c r="G39" s="44">
        <f t="shared" si="8"/>
        <v>-21218.284641307393</v>
      </c>
      <c r="H39" s="44">
        <f t="shared" si="8"/>
        <v>-20412.151303129012</v>
      </c>
      <c r="I39" s="44">
        <f>SUM('Stmt BH - Page 2'!C39:H39)+SUM('Stmt BH - Page 3'!C39:H39)</f>
        <v>-289825.00059213198</v>
      </c>
      <c r="J39" s="26" t="s">
        <v>149</v>
      </c>
      <c r="K39" s="10">
        <f t="shared" si="4"/>
        <v>29</v>
      </c>
    </row>
    <row r="40" spans="1:11" ht="15.5" x14ac:dyDescent="0.35">
      <c r="A40" s="10">
        <f t="shared" si="3"/>
        <v>30</v>
      </c>
      <c r="B40" s="11"/>
      <c r="C40" s="44"/>
      <c r="D40" s="44"/>
      <c r="E40" s="44"/>
      <c r="F40" s="44"/>
      <c r="G40" s="44"/>
      <c r="H40" s="44"/>
      <c r="I40" s="44"/>
      <c r="J40" s="26"/>
      <c r="K40" s="10">
        <f t="shared" si="4"/>
        <v>30</v>
      </c>
    </row>
    <row r="41" spans="1:11" ht="15.5" x14ac:dyDescent="0.35">
      <c r="A41" s="10">
        <f t="shared" si="3"/>
        <v>31</v>
      </c>
      <c r="B41" s="11" t="s">
        <v>105</v>
      </c>
      <c r="C41" s="44">
        <f>C19*C$28</f>
        <v>-54232.745003628217</v>
      </c>
      <c r="D41" s="44">
        <f t="shared" ref="D41:H41" si="9">D19*D$28</f>
        <v>-52892.897968480553</v>
      </c>
      <c r="E41" s="44">
        <f t="shared" si="9"/>
        <v>-53944.895686711781</v>
      </c>
      <c r="F41" s="44">
        <f t="shared" si="9"/>
        <v>-48606.626860537843</v>
      </c>
      <c r="G41" s="44">
        <f t="shared" si="9"/>
        <v>-45632.463630727048</v>
      </c>
      <c r="H41" s="44">
        <f t="shared" si="9"/>
        <v>-41061.337638435616</v>
      </c>
      <c r="I41" s="44">
        <f>SUM('Stmt BH - Page 2'!C41:H41)+SUM('Stmt BH - Page 3'!C41:H41)</f>
        <v>-537096.10044972738</v>
      </c>
      <c r="J41" s="26" t="s">
        <v>150</v>
      </c>
      <c r="K41" s="10">
        <f t="shared" si="4"/>
        <v>31</v>
      </c>
    </row>
    <row r="42" spans="1:11" ht="15.5" x14ac:dyDescent="0.35">
      <c r="A42" s="10">
        <f t="shared" si="3"/>
        <v>32</v>
      </c>
      <c r="B42" s="11"/>
      <c r="C42" s="44"/>
      <c r="D42" s="44"/>
      <c r="E42" s="44"/>
      <c r="F42" s="44"/>
      <c r="G42" s="44"/>
      <c r="H42" s="44"/>
      <c r="I42" s="44"/>
      <c r="J42" s="26"/>
      <c r="K42" s="10">
        <f t="shared" si="4"/>
        <v>32</v>
      </c>
    </row>
    <row r="43" spans="1:11" ht="15.5" x14ac:dyDescent="0.35">
      <c r="A43" s="10">
        <f t="shared" si="3"/>
        <v>33</v>
      </c>
      <c r="B43" s="11" t="s">
        <v>139</v>
      </c>
      <c r="C43" s="51">
        <f>C21*C$28</f>
        <v>-15585.500265675866</v>
      </c>
      <c r="D43" s="51">
        <f t="shared" ref="D43:H43" si="10">D21*D$28</f>
        <v>-15155.191727257599</v>
      </c>
      <c r="E43" s="51">
        <f t="shared" si="10"/>
        <v>-15773.642980691326</v>
      </c>
      <c r="F43" s="51">
        <f t="shared" si="10"/>
        <v>-15443.801852871751</v>
      </c>
      <c r="G43" s="51">
        <f t="shared" si="10"/>
        <v>-15549.427444885996</v>
      </c>
      <c r="H43" s="51">
        <f t="shared" si="10"/>
        <v>-15713.561420579032</v>
      </c>
      <c r="I43" s="44">
        <f>SUM('Stmt BH - Page 2'!C43:H43)+SUM('Stmt BH - Page 3'!C43:H43)</f>
        <v>-187684.48431780102</v>
      </c>
      <c r="J43" s="26" t="s">
        <v>151</v>
      </c>
      <c r="K43" s="10">
        <f t="shared" si="4"/>
        <v>33</v>
      </c>
    </row>
    <row r="44" spans="1:11" ht="15.5" x14ac:dyDescent="0.35">
      <c r="A44" s="10">
        <f t="shared" si="3"/>
        <v>34</v>
      </c>
      <c r="B44" s="11"/>
      <c r="C44" s="138"/>
      <c r="D44" s="138"/>
      <c r="E44" s="138"/>
      <c r="F44" s="138"/>
      <c r="G44" s="138"/>
      <c r="H44" s="138"/>
      <c r="I44" s="138"/>
      <c r="J44" s="26"/>
      <c r="K44" s="10">
        <f t="shared" si="4"/>
        <v>34</v>
      </c>
    </row>
    <row r="45" spans="1:11" ht="16" thickBot="1" x14ac:dyDescent="0.4">
      <c r="A45" s="10">
        <f t="shared" si="3"/>
        <v>35</v>
      </c>
      <c r="B45" s="11" t="s">
        <v>124</v>
      </c>
      <c r="C45" s="395">
        <f>SUM(C33:C43)</f>
        <v>-3966214.2176594776</v>
      </c>
      <c r="D45" s="395">
        <f t="shared" ref="D45:I45" si="11">SUM(D33:D43)</f>
        <v>-4294997.122511005</v>
      </c>
      <c r="E45" s="395">
        <f t="shared" si="11"/>
        <v>-4430258.0382066024</v>
      </c>
      <c r="F45" s="395">
        <f t="shared" si="11"/>
        <v>-3883960.7762873881</v>
      </c>
      <c r="G45" s="395">
        <f t="shared" si="11"/>
        <v>-3576151.296367723</v>
      </c>
      <c r="H45" s="395">
        <f t="shared" si="11"/>
        <v>-3633824.0807531928</v>
      </c>
      <c r="I45" s="395">
        <f t="shared" si="11"/>
        <v>-44251746.94647748</v>
      </c>
      <c r="J45" s="406" t="s">
        <v>152</v>
      </c>
      <c r="K45" s="10">
        <f t="shared" si="4"/>
        <v>35</v>
      </c>
    </row>
    <row r="46" spans="1:11" ht="16.5" thickTop="1" thickBot="1" x14ac:dyDescent="0.4">
      <c r="A46" s="57"/>
      <c r="B46" s="81"/>
      <c r="C46" s="828"/>
      <c r="D46" s="58"/>
      <c r="E46" s="58"/>
      <c r="F46" s="58"/>
      <c r="G46" s="58"/>
      <c r="H46" s="58"/>
      <c r="I46" s="58"/>
      <c r="J46" s="58"/>
      <c r="K46" s="57"/>
    </row>
    <row r="47" spans="1:11" ht="15.5" x14ac:dyDescent="0.35">
      <c r="A47" s="37"/>
      <c r="B47" s="391"/>
      <c r="C47" s="22"/>
      <c r="D47" s="22"/>
      <c r="E47" s="22"/>
      <c r="F47" s="22"/>
      <c r="G47" s="22"/>
      <c r="H47" s="22"/>
      <c r="I47" s="22"/>
      <c r="J47" s="22"/>
      <c r="K47" s="22"/>
    </row>
    <row r="48" spans="1:11" ht="18.5" x14ac:dyDescent="0.35">
      <c r="A48" s="69"/>
      <c r="B48" s="22"/>
      <c r="C48" s="398"/>
      <c r="D48" s="22"/>
      <c r="E48" s="22"/>
      <c r="F48" s="22"/>
      <c r="G48" s="22"/>
      <c r="H48" s="22"/>
      <c r="I48" s="22"/>
      <c r="J48" s="22"/>
      <c r="K48" s="22"/>
    </row>
    <row r="49" spans="1:11" ht="15.5" x14ac:dyDescent="0.35">
      <c r="A49" s="829"/>
      <c r="B49" s="22"/>
      <c r="D49" s="22"/>
      <c r="E49" s="22"/>
      <c r="F49" s="22"/>
      <c r="G49" s="22"/>
      <c r="H49" s="22"/>
      <c r="I49" s="22"/>
      <c r="J49" s="22"/>
      <c r="K49" s="22"/>
    </row>
    <row r="50" spans="1:11" ht="15.5" x14ac:dyDescent="0.35">
      <c r="A50" s="829"/>
      <c r="B50" s="22"/>
      <c r="C50" s="830"/>
      <c r="D50" s="22"/>
      <c r="E50" s="22"/>
      <c r="F50" s="22"/>
      <c r="G50" s="22"/>
      <c r="H50" s="22"/>
      <c r="I50" s="22"/>
      <c r="J50" s="22"/>
      <c r="K50" s="22"/>
    </row>
    <row r="51" spans="1:11" ht="15.5" x14ac:dyDescent="0.35">
      <c r="A51" s="829"/>
      <c r="D51" s="22"/>
      <c r="E51" s="22"/>
      <c r="F51" s="22"/>
      <c r="G51" s="22"/>
      <c r="H51" s="22"/>
      <c r="I51" s="22"/>
      <c r="J51" s="22"/>
      <c r="K51" s="22"/>
    </row>
    <row r="52" spans="1:11" ht="15.5" x14ac:dyDescent="0.35">
      <c r="A52" s="37"/>
      <c r="B52" s="22"/>
      <c r="C52" s="22"/>
      <c r="D52" s="22"/>
      <c r="E52" s="22"/>
      <c r="F52" s="22"/>
      <c r="G52" s="22"/>
      <c r="H52" s="22"/>
      <c r="I52" s="22"/>
      <c r="J52" s="22"/>
      <c r="K52" s="22"/>
    </row>
    <row r="53" spans="1:11" ht="15.5" x14ac:dyDescent="0.35">
      <c r="A53" s="37"/>
      <c r="B53" s="22"/>
      <c r="C53" s="22"/>
      <c r="D53" s="22"/>
      <c r="E53" s="22"/>
      <c r="F53" s="22"/>
      <c r="G53" s="22"/>
      <c r="H53" s="22"/>
      <c r="I53" s="22"/>
      <c r="J53" s="22"/>
      <c r="K53" s="22"/>
    </row>
    <row r="54" spans="1:11" ht="15.5" x14ac:dyDescent="0.35">
      <c r="A54" s="37"/>
      <c r="B54" s="22"/>
      <c r="C54" s="22"/>
      <c r="D54" s="22"/>
      <c r="E54" s="22"/>
      <c r="F54" s="22"/>
      <c r="G54" s="22"/>
      <c r="H54" s="22"/>
      <c r="I54" s="22"/>
      <c r="J54" s="22"/>
      <c r="K54" s="22"/>
    </row>
    <row r="55" spans="1:11" ht="15.5" x14ac:dyDescent="0.35">
      <c r="A55" s="37"/>
      <c r="B55" s="22"/>
      <c r="C55" s="22"/>
      <c r="D55" s="22"/>
      <c r="E55" s="22"/>
      <c r="F55" s="22"/>
      <c r="G55" s="22"/>
      <c r="H55" s="22"/>
      <c r="I55" s="22"/>
      <c r="J55" s="22"/>
      <c r="K55" s="22"/>
    </row>
    <row r="56" spans="1:11" ht="15.5" x14ac:dyDescent="0.35">
      <c r="A56" s="37"/>
      <c r="B56" s="22"/>
      <c r="C56" s="22"/>
      <c r="D56" s="22"/>
      <c r="E56" s="22"/>
      <c r="F56" s="22"/>
      <c r="G56" s="22"/>
      <c r="H56" s="22"/>
      <c r="I56" s="22"/>
      <c r="J56" s="22"/>
      <c r="K56" s="22"/>
    </row>
    <row r="57" spans="1:11" ht="15.5" x14ac:dyDescent="0.35">
      <c r="A57" s="37"/>
      <c r="B57" s="22"/>
      <c r="C57" s="22"/>
      <c r="D57" s="22"/>
      <c r="E57" s="22"/>
      <c r="F57" s="22"/>
      <c r="G57" s="22"/>
      <c r="H57" s="22"/>
      <c r="I57" s="22"/>
      <c r="J57" s="22"/>
      <c r="K57" s="22"/>
    </row>
    <row r="58" spans="1:11" ht="15.5" x14ac:dyDescent="0.35">
      <c r="A58" s="37"/>
      <c r="B58" s="22"/>
      <c r="C58" s="22"/>
      <c r="D58" s="22"/>
      <c r="E58" s="22"/>
      <c r="F58" s="22"/>
      <c r="G58" s="22"/>
      <c r="H58" s="22"/>
      <c r="I58" s="22"/>
      <c r="J58" s="22"/>
      <c r="K58" s="22"/>
    </row>
    <row r="59" spans="1:11" ht="15.5" x14ac:dyDescent="0.35">
      <c r="A59" s="37"/>
      <c r="B59" s="22"/>
      <c r="C59" s="22"/>
      <c r="D59" s="22"/>
      <c r="E59" s="22"/>
      <c r="F59" s="22"/>
      <c r="G59" s="22"/>
      <c r="H59" s="22"/>
      <c r="I59" s="22"/>
      <c r="J59" s="22"/>
      <c r="K59" s="22"/>
    </row>
    <row r="60" spans="1:11" ht="15.5" x14ac:dyDescent="0.35">
      <c r="A60" s="37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 ht="15.5" x14ac:dyDescent="0.35">
      <c r="A61" s="37"/>
      <c r="B61" s="22"/>
      <c r="C61" s="22"/>
      <c r="D61" s="22"/>
      <c r="E61" s="22"/>
      <c r="F61" s="22"/>
      <c r="G61" s="22"/>
      <c r="H61" s="22"/>
      <c r="I61" s="22"/>
      <c r="J61" s="22"/>
      <c r="K61" s="22"/>
    </row>
    <row r="62" spans="1:11" ht="15.5" x14ac:dyDescent="0.35">
      <c r="A62" s="37"/>
      <c r="B62" s="22"/>
      <c r="C62" s="22"/>
      <c r="D62" s="22"/>
      <c r="E62" s="22"/>
      <c r="F62" s="22"/>
      <c r="G62" s="22"/>
      <c r="H62" s="22"/>
      <c r="I62" s="22"/>
      <c r="J62" s="22"/>
      <c r="K62" s="22"/>
    </row>
    <row r="63" spans="1:11" ht="15.5" x14ac:dyDescent="0.35">
      <c r="A63" s="37"/>
      <c r="B63" s="22"/>
      <c r="C63" s="22"/>
      <c r="D63" s="22"/>
      <c r="E63" s="22"/>
      <c r="F63" s="22"/>
      <c r="G63" s="22"/>
      <c r="H63" s="22"/>
      <c r="I63" s="22"/>
      <c r="J63" s="22"/>
      <c r="K63" s="22"/>
    </row>
    <row r="64" spans="1:11" ht="15.5" x14ac:dyDescent="0.35">
      <c r="A64" s="37"/>
      <c r="B64" s="22"/>
      <c r="C64" s="22"/>
      <c r="D64" s="22"/>
      <c r="E64" s="22"/>
      <c r="F64" s="22"/>
      <c r="G64" s="22"/>
      <c r="H64" s="22"/>
      <c r="I64" s="22"/>
      <c r="J64" s="22"/>
      <c r="K64" s="22"/>
    </row>
    <row r="65" spans="1:11" ht="15.5" x14ac:dyDescent="0.35">
      <c r="A65" s="37"/>
      <c r="B65" s="22"/>
      <c r="C65" s="22"/>
      <c r="D65" s="22"/>
      <c r="E65" s="22"/>
      <c r="F65" s="22"/>
      <c r="G65" s="22"/>
      <c r="H65" s="22"/>
      <c r="I65" s="22"/>
      <c r="J65" s="22"/>
      <c r="K65" s="22"/>
    </row>
    <row r="66" spans="1:11" ht="15.5" x14ac:dyDescent="0.35">
      <c r="A66" s="37"/>
      <c r="B66" s="22"/>
      <c r="C66" s="22"/>
      <c r="D66" s="22"/>
      <c r="E66" s="22"/>
      <c r="F66" s="22"/>
      <c r="G66" s="22"/>
      <c r="H66" s="22"/>
      <c r="I66" s="22"/>
      <c r="J66" s="22"/>
      <c r="K66" s="22"/>
    </row>
    <row r="67" spans="1:11" ht="15.5" x14ac:dyDescent="0.35">
      <c r="A67" s="37"/>
      <c r="B67" s="22"/>
      <c r="C67" s="22"/>
      <c r="D67" s="22"/>
      <c r="E67" s="22"/>
      <c r="F67" s="22"/>
      <c r="G67" s="22"/>
      <c r="H67" s="22"/>
      <c r="I67" s="22"/>
      <c r="J67" s="22"/>
      <c r="K67" s="22"/>
    </row>
    <row r="68" spans="1:11" ht="15.5" x14ac:dyDescent="0.35">
      <c r="A68" s="37"/>
      <c r="B68" s="22"/>
      <c r="C68" s="22"/>
      <c r="D68" s="22"/>
      <c r="E68" s="22"/>
      <c r="F68" s="22"/>
      <c r="G68" s="22"/>
      <c r="H68" s="22"/>
      <c r="I68" s="22"/>
      <c r="J68" s="22"/>
      <c r="K68" s="22"/>
    </row>
    <row r="69" spans="1:11" ht="15.5" x14ac:dyDescent="0.35">
      <c r="A69" s="37"/>
      <c r="B69" s="22"/>
      <c r="C69" s="22"/>
      <c r="D69" s="22"/>
      <c r="E69" s="22"/>
      <c r="F69" s="22"/>
      <c r="G69" s="22"/>
      <c r="H69" s="22"/>
      <c r="I69" s="22"/>
      <c r="J69" s="22"/>
      <c r="K69" s="22"/>
    </row>
    <row r="70" spans="1:11" ht="15.5" x14ac:dyDescent="0.35">
      <c r="A70" s="37"/>
      <c r="B70" s="22"/>
      <c r="C70" s="22"/>
      <c r="D70" s="22"/>
      <c r="E70" s="22"/>
      <c r="F70" s="22"/>
      <c r="G70" s="22"/>
      <c r="H70" s="22"/>
      <c r="I70" s="22"/>
      <c r="J70" s="22"/>
      <c r="K70" s="22"/>
    </row>
    <row r="71" spans="1:11" ht="15.5" x14ac:dyDescent="0.35">
      <c r="A71" s="37"/>
      <c r="B71" s="22"/>
      <c r="C71" s="22"/>
      <c r="D71" s="22"/>
      <c r="E71" s="22"/>
      <c r="F71" s="22"/>
      <c r="G71" s="22"/>
      <c r="H71" s="22"/>
      <c r="I71" s="22"/>
      <c r="J71" s="22"/>
      <c r="K71" s="22"/>
    </row>
    <row r="72" spans="1:11" ht="15.5" x14ac:dyDescent="0.35">
      <c r="A72" s="37"/>
      <c r="B72" s="22"/>
      <c r="C72" s="22"/>
      <c r="D72" s="22"/>
      <c r="E72" s="22"/>
      <c r="F72" s="22"/>
      <c r="G72" s="22"/>
      <c r="H72" s="22"/>
      <c r="I72" s="22"/>
      <c r="J72" s="22"/>
      <c r="K72" s="22"/>
    </row>
    <row r="73" spans="1:11" ht="15.5" x14ac:dyDescent="0.35">
      <c r="A73" s="37"/>
      <c r="B73" s="22"/>
      <c r="C73" s="22"/>
      <c r="D73" s="22"/>
      <c r="E73" s="22"/>
      <c r="F73" s="22"/>
      <c r="G73" s="22"/>
      <c r="H73" s="22"/>
      <c r="I73" s="22"/>
      <c r="J73" s="22"/>
      <c r="K73" s="22"/>
    </row>
    <row r="74" spans="1:11" ht="15.5" x14ac:dyDescent="0.35">
      <c r="A74" s="37"/>
      <c r="B74" s="22"/>
      <c r="C74" s="22"/>
      <c r="D74" s="22"/>
      <c r="E74" s="22"/>
      <c r="F74" s="22"/>
      <c r="G74" s="22"/>
      <c r="H74" s="22"/>
      <c r="I74" s="22"/>
      <c r="J74" s="22"/>
      <c r="K74" s="22"/>
    </row>
    <row r="75" spans="1:11" ht="15.5" x14ac:dyDescent="0.35">
      <c r="A75" s="37"/>
      <c r="B75" s="22"/>
      <c r="C75" s="22"/>
      <c r="D75" s="22"/>
      <c r="E75" s="22"/>
      <c r="F75" s="22"/>
      <c r="G75" s="22"/>
      <c r="H75" s="22"/>
      <c r="I75" s="22"/>
      <c r="J75" s="22"/>
      <c r="K75" s="22"/>
    </row>
    <row r="76" spans="1:11" ht="15.5" x14ac:dyDescent="0.35">
      <c r="A76" s="37"/>
      <c r="B76" s="22"/>
      <c r="C76" s="22"/>
      <c r="D76" s="22"/>
      <c r="E76" s="22"/>
      <c r="F76" s="22"/>
      <c r="G76" s="22"/>
      <c r="H76" s="22"/>
      <c r="I76" s="22"/>
      <c r="J76" s="22"/>
      <c r="K76" s="22"/>
    </row>
    <row r="77" spans="1:11" ht="15.5" x14ac:dyDescent="0.35">
      <c r="A77" s="37"/>
      <c r="B77" s="22"/>
      <c r="C77" s="22"/>
      <c r="D77" s="22"/>
      <c r="E77" s="22"/>
      <c r="F77" s="22"/>
      <c r="G77" s="22"/>
      <c r="H77" s="22"/>
      <c r="I77" s="22"/>
      <c r="J77" s="22"/>
      <c r="K77" s="22"/>
    </row>
    <row r="78" spans="1:11" ht="15.5" x14ac:dyDescent="0.35">
      <c r="A78" s="37"/>
      <c r="B78" s="22"/>
      <c r="C78" s="22"/>
      <c r="D78" s="22"/>
      <c r="E78" s="22"/>
      <c r="F78" s="22"/>
      <c r="G78" s="22"/>
      <c r="H78" s="22"/>
      <c r="I78" s="22"/>
      <c r="J78" s="22"/>
      <c r="K78" s="22"/>
    </row>
    <row r="79" spans="1:11" ht="15.5" x14ac:dyDescent="0.35">
      <c r="A79" s="37"/>
      <c r="B79" s="22"/>
      <c r="C79" s="22"/>
      <c r="D79" s="22"/>
      <c r="E79" s="22"/>
      <c r="F79" s="22"/>
      <c r="G79" s="22"/>
      <c r="H79" s="22"/>
      <c r="I79" s="22"/>
      <c r="J79" s="22"/>
      <c r="K79" s="22"/>
    </row>
    <row r="80" spans="1:11" ht="15.5" x14ac:dyDescent="0.35">
      <c r="A80" s="37"/>
      <c r="B80" s="22"/>
      <c r="C80" s="22"/>
      <c r="D80" s="22"/>
      <c r="E80" s="22"/>
      <c r="F80" s="22"/>
      <c r="G80" s="22"/>
      <c r="H80" s="22"/>
      <c r="I80" s="22"/>
      <c r="J80" s="22"/>
      <c r="K80" s="22"/>
    </row>
    <row r="81" spans="1:11" ht="15.5" x14ac:dyDescent="0.35">
      <c r="A81" s="37"/>
      <c r="B81" s="22"/>
      <c r="C81" s="22"/>
      <c r="D81" s="22"/>
      <c r="E81" s="22"/>
      <c r="F81" s="22"/>
      <c r="G81" s="22"/>
      <c r="H81" s="22"/>
      <c r="I81" s="22"/>
      <c r="J81" s="22"/>
      <c r="K81" s="22"/>
    </row>
    <row r="82" spans="1:11" ht="15.5" x14ac:dyDescent="0.35">
      <c r="A82" s="37"/>
      <c r="B82" s="22"/>
      <c r="C82" s="22"/>
      <c r="D82" s="22"/>
      <c r="E82" s="22"/>
      <c r="F82" s="22"/>
      <c r="G82" s="22"/>
      <c r="H82" s="22"/>
      <c r="I82" s="22"/>
      <c r="J82" s="22"/>
      <c r="K82" s="22"/>
    </row>
    <row r="83" spans="1:11" ht="15.5" x14ac:dyDescent="0.35">
      <c r="A83" s="37"/>
      <c r="B83" s="22"/>
      <c r="C83" s="22"/>
      <c r="D83" s="22"/>
      <c r="E83" s="22"/>
      <c r="F83" s="22"/>
      <c r="G83" s="22"/>
      <c r="H83" s="22"/>
      <c r="I83" s="22"/>
      <c r="J83" s="22"/>
      <c r="K83" s="22"/>
    </row>
    <row r="84" spans="1:11" ht="15.5" x14ac:dyDescent="0.35">
      <c r="A84" s="37"/>
      <c r="B84" s="22"/>
      <c r="C84" s="22"/>
      <c r="D84" s="22"/>
      <c r="E84" s="22"/>
      <c r="F84" s="22"/>
      <c r="G84" s="22"/>
      <c r="H84" s="22"/>
      <c r="I84" s="22"/>
      <c r="J84" s="22"/>
      <c r="K84" s="22"/>
    </row>
    <row r="85" spans="1:11" ht="15.5" x14ac:dyDescent="0.35">
      <c r="A85" s="37"/>
      <c r="B85" s="22"/>
      <c r="C85" s="22"/>
      <c r="D85" s="22"/>
      <c r="E85" s="22"/>
      <c r="F85" s="22"/>
      <c r="G85" s="22"/>
      <c r="H85" s="22"/>
      <c r="I85" s="22"/>
      <c r="J85" s="22"/>
      <c r="K85" s="22"/>
    </row>
    <row r="86" spans="1:11" ht="15.5" x14ac:dyDescent="0.35">
      <c r="A86" s="37"/>
      <c r="B86" s="22"/>
      <c r="C86" s="22"/>
      <c r="D86" s="22"/>
      <c r="E86" s="22"/>
      <c r="F86" s="22"/>
      <c r="G86" s="22"/>
      <c r="H86" s="22"/>
      <c r="I86" s="22"/>
      <c r="J86" s="22"/>
      <c r="K86" s="22"/>
    </row>
    <row r="87" spans="1:11" ht="15.5" x14ac:dyDescent="0.35">
      <c r="A87" s="37"/>
      <c r="B87" s="22"/>
      <c r="C87" s="22"/>
      <c r="D87" s="22"/>
      <c r="E87" s="22"/>
      <c r="F87" s="22"/>
      <c r="G87" s="22"/>
      <c r="H87" s="22"/>
      <c r="I87" s="22"/>
      <c r="J87" s="22"/>
      <c r="K87" s="22"/>
    </row>
    <row r="88" spans="1:11" ht="15.5" x14ac:dyDescent="0.35">
      <c r="A88" s="37"/>
      <c r="B88" s="22"/>
      <c r="C88" s="22"/>
      <c r="D88" s="22"/>
      <c r="E88" s="22"/>
      <c r="F88" s="22"/>
      <c r="G88" s="22"/>
      <c r="H88" s="22"/>
      <c r="I88" s="22"/>
      <c r="J88" s="22"/>
      <c r="K88" s="22"/>
    </row>
    <row r="89" spans="1:11" ht="15.5" x14ac:dyDescent="0.35">
      <c r="A89" s="37"/>
      <c r="B89" s="22"/>
      <c r="C89" s="22"/>
      <c r="D89" s="22"/>
      <c r="E89" s="22"/>
      <c r="F89" s="22"/>
      <c r="G89" s="22"/>
      <c r="H89" s="22"/>
      <c r="I89" s="22"/>
      <c r="J89" s="22"/>
      <c r="K89" s="22"/>
    </row>
    <row r="90" spans="1:11" ht="15.5" x14ac:dyDescent="0.35">
      <c r="A90" s="37"/>
      <c r="B90" s="22"/>
      <c r="C90" s="22"/>
      <c r="D90" s="22"/>
      <c r="E90" s="22"/>
      <c r="F90" s="22"/>
      <c r="G90" s="22"/>
      <c r="H90" s="22"/>
      <c r="I90" s="22"/>
      <c r="J90" s="22"/>
      <c r="K90" s="22"/>
    </row>
    <row r="91" spans="1:11" ht="15.5" x14ac:dyDescent="0.35">
      <c r="A91" s="37"/>
      <c r="B91" s="22"/>
      <c r="C91" s="22"/>
      <c r="D91" s="22"/>
      <c r="E91" s="22"/>
      <c r="F91" s="22"/>
      <c r="G91" s="22"/>
      <c r="H91" s="22"/>
      <c r="I91" s="22"/>
      <c r="J91" s="22"/>
      <c r="K91" s="22"/>
    </row>
    <row r="92" spans="1:11" ht="15.5" x14ac:dyDescent="0.35">
      <c r="A92" s="37"/>
      <c r="B92" s="22"/>
      <c r="C92" s="22"/>
      <c r="D92" s="22"/>
      <c r="E92" s="22"/>
      <c r="F92" s="22"/>
      <c r="G92" s="22"/>
      <c r="H92" s="22"/>
      <c r="I92" s="22"/>
      <c r="J92" s="22"/>
      <c r="K92" s="22"/>
    </row>
    <row r="93" spans="1:11" ht="15.5" x14ac:dyDescent="0.35">
      <c r="A93" s="37"/>
      <c r="B93" s="22"/>
      <c r="C93" s="22"/>
      <c r="D93" s="22"/>
      <c r="E93" s="22"/>
      <c r="F93" s="22"/>
      <c r="G93" s="22"/>
      <c r="H93" s="22"/>
      <c r="I93" s="22"/>
      <c r="J93" s="22"/>
      <c r="K93" s="22"/>
    </row>
    <row r="94" spans="1:11" ht="15.5" x14ac:dyDescent="0.35">
      <c r="A94" s="37"/>
      <c r="B94" s="22"/>
      <c r="C94" s="22"/>
      <c r="D94" s="22"/>
      <c r="E94" s="22"/>
      <c r="F94" s="22"/>
      <c r="G94" s="22"/>
      <c r="H94" s="22"/>
      <c r="I94" s="22"/>
      <c r="J94" s="22"/>
      <c r="K94" s="22"/>
    </row>
    <row r="95" spans="1:11" ht="15.5" x14ac:dyDescent="0.35">
      <c r="A95" s="37"/>
      <c r="B95" s="22"/>
      <c r="C95" s="22"/>
      <c r="D95" s="22"/>
      <c r="E95" s="22"/>
      <c r="F95" s="22"/>
      <c r="G95" s="22"/>
      <c r="H95" s="22"/>
      <c r="I95" s="22"/>
      <c r="J95" s="22"/>
      <c r="K95" s="22"/>
    </row>
    <row r="96" spans="1:11" ht="15.5" x14ac:dyDescent="0.35">
      <c r="A96" s="37"/>
      <c r="B96" s="22"/>
      <c r="C96" s="22"/>
      <c r="D96" s="22"/>
      <c r="E96" s="22"/>
      <c r="F96" s="22"/>
      <c r="G96" s="22"/>
      <c r="H96" s="22"/>
      <c r="I96" s="22"/>
      <c r="J96" s="22"/>
      <c r="K96" s="22"/>
    </row>
    <row r="97" spans="1:11" ht="15.5" x14ac:dyDescent="0.35">
      <c r="A97" s="37"/>
      <c r="B97" s="22"/>
      <c r="C97" s="22"/>
      <c r="D97" s="22"/>
      <c r="E97" s="22"/>
      <c r="F97" s="22"/>
      <c r="G97" s="22"/>
      <c r="H97" s="22"/>
      <c r="I97" s="22"/>
      <c r="J97" s="22"/>
      <c r="K97" s="22"/>
    </row>
    <row r="98" spans="1:11" ht="15.5" x14ac:dyDescent="0.35">
      <c r="A98" s="37"/>
      <c r="B98" s="22"/>
      <c r="C98" s="22"/>
      <c r="D98" s="22"/>
      <c r="E98" s="22"/>
      <c r="F98" s="22"/>
      <c r="G98" s="22"/>
      <c r="H98" s="22"/>
      <c r="I98" s="22"/>
      <c r="J98" s="22"/>
      <c r="K98" s="22"/>
    </row>
    <row r="99" spans="1:11" ht="15.5" x14ac:dyDescent="0.35">
      <c r="A99" s="37"/>
      <c r="B99" s="22"/>
      <c r="C99" s="22"/>
      <c r="D99" s="22"/>
      <c r="E99" s="22"/>
      <c r="F99" s="22"/>
      <c r="G99" s="22"/>
      <c r="H99" s="22"/>
      <c r="I99" s="22"/>
      <c r="J99" s="22"/>
      <c r="K99" s="22"/>
    </row>
    <row r="100" spans="1:11" ht="15.5" x14ac:dyDescent="0.35">
      <c r="A100" s="37"/>
      <c r="B100" s="22"/>
      <c r="C100" s="22"/>
      <c r="D100" s="22"/>
      <c r="E100" s="22"/>
      <c r="F100" s="22"/>
      <c r="G100" s="22"/>
      <c r="H100" s="22"/>
      <c r="I100" s="22"/>
      <c r="J100" s="22"/>
      <c r="K100" s="22"/>
    </row>
    <row r="101" spans="1:11" ht="15.5" x14ac:dyDescent="0.35">
      <c r="A101" s="37"/>
      <c r="B101" s="22"/>
      <c r="C101" s="22"/>
      <c r="D101" s="22"/>
      <c r="E101" s="22"/>
      <c r="F101" s="22"/>
      <c r="G101" s="22"/>
      <c r="H101" s="22"/>
      <c r="I101" s="22"/>
      <c r="J101" s="22"/>
      <c r="K101" s="22"/>
    </row>
    <row r="102" spans="1:11" ht="15.5" x14ac:dyDescent="0.35">
      <c r="A102" s="37"/>
      <c r="B102" s="22"/>
      <c r="C102" s="22"/>
      <c r="D102" s="22"/>
      <c r="E102" s="22"/>
      <c r="F102" s="22"/>
      <c r="G102" s="22"/>
      <c r="H102" s="22"/>
      <c r="I102" s="22"/>
      <c r="J102" s="22"/>
      <c r="K102" s="22"/>
    </row>
    <row r="103" spans="1:11" ht="15.5" x14ac:dyDescent="0.35">
      <c r="A103" s="37"/>
      <c r="B103" s="22"/>
      <c r="C103" s="22"/>
      <c r="D103" s="22"/>
      <c r="E103" s="22"/>
      <c r="F103" s="22"/>
      <c r="G103" s="22"/>
      <c r="H103" s="22"/>
      <c r="I103" s="22"/>
      <c r="J103" s="22"/>
      <c r="K103" s="22"/>
    </row>
    <row r="104" spans="1:11" ht="15.5" x14ac:dyDescent="0.35">
      <c r="A104" s="37"/>
      <c r="B104" s="22"/>
      <c r="C104" s="22"/>
      <c r="D104" s="22"/>
      <c r="E104" s="22"/>
      <c r="F104" s="22"/>
      <c r="G104" s="22"/>
      <c r="H104" s="22"/>
      <c r="I104" s="22"/>
      <c r="J104" s="22"/>
      <c r="K104" s="22"/>
    </row>
    <row r="105" spans="1:11" ht="15.5" x14ac:dyDescent="0.35">
      <c r="A105" s="37"/>
      <c r="B105" s="22"/>
      <c r="C105" s="22"/>
      <c r="D105" s="22"/>
      <c r="E105" s="22"/>
      <c r="F105" s="22"/>
      <c r="G105" s="22"/>
      <c r="H105" s="22"/>
      <c r="I105" s="22"/>
      <c r="J105" s="22"/>
      <c r="K105" s="22"/>
    </row>
    <row r="106" spans="1:11" ht="15.5" x14ac:dyDescent="0.35">
      <c r="A106" s="37"/>
      <c r="B106" s="22"/>
      <c r="C106" s="22"/>
      <c r="D106" s="22"/>
      <c r="E106" s="22"/>
      <c r="F106" s="22"/>
      <c r="G106" s="22"/>
      <c r="H106" s="22"/>
      <c r="I106" s="22"/>
      <c r="J106" s="22"/>
      <c r="K106" s="22"/>
    </row>
    <row r="107" spans="1:11" ht="15.5" x14ac:dyDescent="0.35">
      <c r="A107" s="37"/>
      <c r="B107" s="22"/>
      <c r="C107" s="22"/>
      <c r="D107" s="22"/>
      <c r="E107" s="22"/>
      <c r="F107" s="22"/>
      <c r="G107" s="22"/>
      <c r="H107" s="22"/>
      <c r="I107" s="22"/>
      <c r="J107" s="22"/>
      <c r="K107" s="22"/>
    </row>
    <row r="108" spans="1:11" ht="15.5" x14ac:dyDescent="0.35">
      <c r="A108" s="37"/>
      <c r="B108" s="22"/>
      <c r="C108" s="22"/>
      <c r="D108" s="22"/>
      <c r="E108" s="22"/>
      <c r="F108" s="22"/>
      <c r="G108" s="22"/>
      <c r="H108" s="22"/>
      <c r="I108" s="22"/>
      <c r="J108" s="22"/>
      <c r="K108" s="22"/>
    </row>
    <row r="109" spans="1:11" ht="15.5" x14ac:dyDescent="0.35">
      <c r="A109" s="37"/>
      <c r="B109" s="22"/>
      <c r="C109" s="22"/>
      <c r="D109" s="22"/>
      <c r="E109" s="22"/>
      <c r="F109" s="22"/>
      <c r="G109" s="22"/>
      <c r="H109" s="22"/>
      <c r="I109" s="22"/>
      <c r="J109" s="22"/>
      <c r="K109" s="22"/>
    </row>
    <row r="110" spans="1:11" ht="15.5" x14ac:dyDescent="0.35">
      <c r="A110" s="37"/>
      <c r="B110" s="22"/>
      <c r="C110" s="22"/>
      <c r="D110" s="22"/>
      <c r="E110" s="22"/>
      <c r="F110" s="22"/>
      <c r="G110" s="22"/>
      <c r="H110" s="22"/>
      <c r="I110" s="22"/>
      <c r="J110" s="22"/>
      <c r="K110" s="22"/>
    </row>
    <row r="111" spans="1:11" ht="15.5" x14ac:dyDescent="0.35">
      <c r="A111" s="37"/>
      <c r="B111" s="22"/>
      <c r="C111" s="22"/>
      <c r="D111" s="22"/>
      <c r="E111" s="22"/>
      <c r="F111" s="22"/>
      <c r="G111" s="22"/>
      <c r="H111" s="22"/>
      <c r="I111" s="22"/>
      <c r="J111" s="22"/>
      <c r="K111" s="22"/>
    </row>
    <row r="112" spans="1:11" x14ac:dyDescent="0.25">
      <c r="A112" s="829"/>
    </row>
    <row r="113" spans="1:1" x14ac:dyDescent="0.25">
      <c r="A113" s="829"/>
    </row>
    <row r="114" spans="1:1" x14ac:dyDescent="0.25">
      <c r="A114" s="829"/>
    </row>
    <row r="115" spans="1:1" x14ac:dyDescent="0.25">
      <c r="A115" s="829"/>
    </row>
    <row r="116" spans="1:1" x14ac:dyDescent="0.25">
      <c r="A116" s="829"/>
    </row>
    <row r="117" spans="1:1" x14ac:dyDescent="0.25">
      <c r="A117" s="829"/>
    </row>
    <row r="118" spans="1:1" x14ac:dyDescent="0.25">
      <c r="A118" s="829"/>
    </row>
    <row r="119" spans="1:1" x14ac:dyDescent="0.25">
      <c r="A119" s="829"/>
    </row>
    <row r="120" spans="1:1" x14ac:dyDescent="0.25">
      <c r="A120" s="829"/>
    </row>
    <row r="121" spans="1:1" x14ac:dyDescent="0.25">
      <c r="A121" s="829"/>
    </row>
    <row r="122" spans="1:1" x14ac:dyDescent="0.25">
      <c r="A122" s="829"/>
    </row>
  </sheetData>
  <mergeCells count="1">
    <mergeCell ref="A4:K4"/>
  </mergeCells>
  <printOptions horizontalCentered="1"/>
  <pageMargins left="0.25" right="0.25" top="0.5" bottom="0.5" header="0.25" footer="0.25"/>
  <pageSetup scale="65" orientation="landscape" r:id="rId1"/>
  <headerFooter alignWithMargins="0">
    <oddFooter>&amp;L&amp;"Times New Roman,Regular"&amp;12&amp;F&amp;C&amp;"Times New Roman,Regular"&amp;12Page 3 of 3&amp;R&amp;"Times New Roman,Regular"&amp;12&amp;A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E34"/>
  <sheetViews>
    <sheetView zoomScale="80" zoomScaleNormal="80" workbookViewId="0"/>
  </sheetViews>
  <sheetFormatPr defaultColWidth="8.54296875" defaultRowHeight="13" x14ac:dyDescent="0.3"/>
  <cols>
    <col min="1" max="1" width="5.54296875" style="1" customWidth="1"/>
    <col min="2" max="2" width="55.54296875" style="2" customWidth="1"/>
    <col min="3" max="3" width="20.54296875" style="2" customWidth="1"/>
    <col min="4" max="4" width="40.54296875" style="1" customWidth="1"/>
    <col min="5" max="5" width="5.54296875" style="1" customWidth="1"/>
    <col min="6" max="7" width="15.54296875" style="1" customWidth="1"/>
    <col min="8" max="16384" width="8.54296875" style="1"/>
  </cols>
  <sheetData>
    <row r="2" spans="1:5" ht="15" x14ac:dyDescent="0.3">
      <c r="B2" s="5" t="s">
        <v>171</v>
      </c>
      <c r="C2" s="5"/>
      <c r="D2" s="6"/>
    </row>
    <row r="3" spans="1:5" ht="15" x14ac:dyDescent="0.3">
      <c r="B3" s="5" t="s">
        <v>1</v>
      </c>
      <c r="C3" s="5"/>
      <c r="D3" s="6"/>
    </row>
    <row r="4" spans="1:5" ht="15" x14ac:dyDescent="0.3">
      <c r="B4" s="5" t="str">
        <f>'Stmnt BD - Recorded KWH'!A4</f>
        <v>2024 - TRBAA Rate Filing</v>
      </c>
      <c r="C4" s="5"/>
      <c r="D4" s="6"/>
    </row>
    <row r="5" spans="1:5" ht="18.649999999999999" customHeight="1" x14ac:dyDescent="0.3">
      <c r="B5" s="5" t="s">
        <v>172</v>
      </c>
      <c r="C5" s="5"/>
      <c r="D5" s="6"/>
    </row>
    <row r="6" spans="1:5" ht="15.5" thickBot="1" x14ac:dyDescent="0.35">
      <c r="A6" s="55"/>
      <c r="B6" s="581"/>
      <c r="C6" s="581"/>
      <c r="D6" s="582"/>
      <c r="E6" s="55"/>
    </row>
    <row r="7" spans="1:5" ht="15.5" x14ac:dyDescent="0.35">
      <c r="A7" s="551" t="s">
        <v>8</v>
      </c>
      <c r="B7" s="75"/>
      <c r="C7" s="578" t="s">
        <v>18</v>
      </c>
      <c r="D7" s="33"/>
      <c r="E7" s="552" t="s">
        <v>8</v>
      </c>
    </row>
    <row r="8" spans="1:5" ht="15.5" thickBot="1" x14ac:dyDescent="0.35">
      <c r="A8" s="569" t="s">
        <v>11</v>
      </c>
      <c r="B8" s="153" t="s">
        <v>173</v>
      </c>
      <c r="C8" s="583" t="s">
        <v>174</v>
      </c>
      <c r="D8" s="584" t="s">
        <v>16</v>
      </c>
      <c r="E8" s="570" t="s">
        <v>11</v>
      </c>
    </row>
    <row r="9" spans="1:5" ht="15.5" x14ac:dyDescent="0.35">
      <c r="A9" s="333"/>
      <c r="B9" s="11"/>
      <c r="C9" s="827"/>
      <c r="D9" s="91"/>
      <c r="E9" s="349"/>
    </row>
    <row r="10" spans="1:5" ht="15.5" x14ac:dyDescent="0.35">
      <c r="A10" s="263">
        <v>1</v>
      </c>
      <c r="B10" s="18" t="s">
        <v>500</v>
      </c>
      <c r="C10" s="440">
        <f>'WP 4 Monthly TRBAA '!O38</f>
        <v>-13199641.107211234</v>
      </c>
      <c r="D10" s="61" t="s">
        <v>175</v>
      </c>
      <c r="E10" s="264">
        <v>1</v>
      </c>
    </row>
    <row r="11" spans="1:5" ht="15.5" x14ac:dyDescent="0.35">
      <c r="A11" s="263">
        <f>A10+1</f>
        <v>2</v>
      </c>
      <c r="B11" s="17"/>
      <c r="C11" s="91"/>
      <c r="D11" s="33"/>
      <c r="E11" s="264">
        <f>E10+1</f>
        <v>2</v>
      </c>
    </row>
    <row r="12" spans="1:5" ht="15.5" x14ac:dyDescent="0.35">
      <c r="A12" s="263">
        <f t="shared" ref="A12:A32" si="0">A11+1</f>
        <v>3</v>
      </c>
      <c r="B12" s="20" t="s">
        <v>176</v>
      </c>
      <c r="C12" s="237"/>
      <c r="D12" s="61"/>
      <c r="E12" s="264">
        <f t="shared" ref="E12:E32" si="1">E11+1</f>
        <v>3</v>
      </c>
    </row>
    <row r="13" spans="1:5" ht="15.5" x14ac:dyDescent="0.35">
      <c r="A13" s="263">
        <f t="shared" si="0"/>
        <v>4</v>
      </c>
      <c r="B13" s="17"/>
      <c r="C13" s="442"/>
      <c r="D13" s="33"/>
      <c r="E13" s="264">
        <f t="shared" si="1"/>
        <v>4</v>
      </c>
    </row>
    <row r="14" spans="1:5" ht="15.5" x14ac:dyDescent="0.35">
      <c r="A14" s="263">
        <f t="shared" si="0"/>
        <v>5</v>
      </c>
      <c r="B14" s="18" t="s">
        <v>177</v>
      </c>
      <c r="C14" s="238">
        <f>'WP 7 Wheeling Revenues'!E37</f>
        <v>-36715216.289999999</v>
      </c>
      <c r="D14" s="61" t="s">
        <v>178</v>
      </c>
      <c r="E14" s="264">
        <f t="shared" si="1"/>
        <v>5</v>
      </c>
    </row>
    <row r="15" spans="1:5" ht="15.5" x14ac:dyDescent="0.35">
      <c r="A15" s="263">
        <f t="shared" si="0"/>
        <v>6</v>
      </c>
      <c r="B15" s="17"/>
      <c r="C15" s="824"/>
      <c r="D15" s="33"/>
      <c r="E15" s="264">
        <f t="shared" si="1"/>
        <v>6</v>
      </c>
    </row>
    <row r="16" spans="1:5" ht="15.5" x14ac:dyDescent="0.35">
      <c r="A16" s="263">
        <f t="shared" si="0"/>
        <v>7</v>
      </c>
      <c r="B16" s="18" t="s">
        <v>179</v>
      </c>
      <c r="C16" s="238">
        <f>'WP 8 CT4575'!C34</f>
        <v>18000</v>
      </c>
      <c r="D16" s="61" t="s">
        <v>180</v>
      </c>
      <c r="E16" s="264">
        <f t="shared" si="1"/>
        <v>7</v>
      </c>
    </row>
    <row r="17" spans="1:5" ht="15.5" x14ac:dyDescent="0.35">
      <c r="A17" s="263">
        <f t="shared" si="0"/>
        <v>8</v>
      </c>
      <c r="B17" s="17"/>
      <c r="C17" s="824"/>
      <c r="D17" s="33"/>
      <c r="E17" s="264">
        <f t="shared" si="1"/>
        <v>8</v>
      </c>
    </row>
    <row r="18" spans="1:5" ht="15.5" x14ac:dyDescent="0.35">
      <c r="A18" s="263">
        <f t="shared" si="0"/>
        <v>9</v>
      </c>
      <c r="B18" s="18" t="s">
        <v>181</v>
      </c>
      <c r="C18" s="238">
        <f>'WP 9 ETC Cost Diffs'!C34</f>
        <v>2121800.8790900004</v>
      </c>
      <c r="D18" s="61" t="s">
        <v>182</v>
      </c>
      <c r="E18" s="264">
        <f t="shared" si="1"/>
        <v>9</v>
      </c>
    </row>
    <row r="19" spans="1:5" ht="15.5" x14ac:dyDescent="0.35">
      <c r="A19" s="263">
        <f t="shared" si="0"/>
        <v>10</v>
      </c>
      <c r="B19" s="17"/>
      <c r="C19" s="824"/>
      <c r="D19" s="33"/>
      <c r="E19" s="264">
        <f t="shared" si="1"/>
        <v>10</v>
      </c>
    </row>
    <row r="20" spans="1:5" ht="15.5" x14ac:dyDescent="0.35">
      <c r="A20" s="263">
        <f t="shared" si="0"/>
        <v>11</v>
      </c>
      <c r="B20" s="18" t="s">
        <v>183</v>
      </c>
      <c r="C20" s="441">
        <f>'WP 11 Other PTO Forecast'!C34</f>
        <v>-1130026.8290900001</v>
      </c>
      <c r="D20" s="61" t="s">
        <v>184</v>
      </c>
      <c r="E20" s="264">
        <f t="shared" si="1"/>
        <v>11</v>
      </c>
    </row>
    <row r="21" spans="1:5" ht="15.5" x14ac:dyDescent="0.35">
      <c r="A21" s="263">
        <f t="shared" si="0"/>
        <v>12</v>
      </c>
      <c r="B21" s="17"/>
      <c r="C21" s="239"/>
      <c r="D21" s="33"/>
      <c r="E21" s="264">
        <f t="shared" si="1"/>
        <v>12</v>
      </c>
    </row>
    <row r="22" spans="1:5" ht="15.5" x14ac:dyDescent="0.35">
      <c r="A22" s="263">
        <f t="shared" si="0"/>
        <v>13</v>
      </c>
      <c r="B22" s="478" t="s">
        <v>185</v>
      </c>
      <c r="C22" s="255">
        <f>SUM(C14:C20)</f>
        <v>-35705442.239999995</v>
      </c>
      <c r="D22" s="61" t="s">
        <v>186</v>
      </c>
      <c r="E22" s="264">
        <f t="shared" si="1"/>
        <v>13</v>
      </c>
    </row>
    <row r="23" spans="1:5" ht="15.5" x14ac:dyDescent="0.35">
      <c r="A23" s="263">
        <f t="shared" si="0"/>
        <v>14</v>
      </c>
      <c r="B23" s="18"/>
      <c r="C23" s="239"/>
      <c r="D23" s="61"/>
      <c r="E23" s="264">
        <f t="shared" si="1"/>
        <v>14</v>
      </c>
    </row>
    <row r="24" spans="1:5" ht="15.5" x14ac:dyDescent="0.35">
      <c r="A24" s="263">
        <f t="shared" si="0"/>
        <v>15</v>
      </c>
      <c r="B24" s="11" t="s">
        <v>187</v>
      </c>
      <c r="C24" s="255">
        <f>C10+C22</f>
        <v>-48905083.347211227</v>
      </c>
      <c r="D24" s="61" t="s">
        <v>188</v>
      </c>
      <c r="E24" s="264">
        <f t="shared" si="1"/>
        <v>15</v>
      </c>
    </row>
    <row r="25" spans="1:5" ht="15.5" x14ac:dyDescent="0.35">
      <c r="A25" s="263">
        <f t="shared" si="0"/>
        <v>16</v>
      </c>
      <c r="B25" s="11"/>
      <c r="C25" s="239"/>
      <c r="D25" s="62"/>
      <c r="E25" s="264">
        <f t="shared" si="1"/>
        <v>16</v>
      </c>
    </row>
    <row r="26" spans="1:5" ht="15.5" x14ac:dyDescent="0.35">
      <c r="A26" s="263">
        <f t="shared" si="0"/>
        <v>17</v>
      </c>
      <c r="B26" s="11" t="s">
        <v>501</v>
      </c>
      <c r="C26" s="239">
        <f>ROUND(C24*0.010207,0)</f>
        <v>-499174</v>
      </c>
      <c r="D26" s="61" t="s">
        <v>503</v>
      </c>
      <c r="E26" s="264">
        <f t="shared" si="1"/>
        <v>17</v>
      </c>
    </row>
    <row r="27" spans="1:5" ht="15.5" x14ac:dyDescent="0.35">
      <c r="A27" s="263">
        <f t="shared" si="0"/>
        <v>18</v>
      </c>
      <c r="B27" s="11"/>
      <c r="C27" s="239"/>
      <c r="D27" s="62"/>
      <c r="E27" s="264">
        <f t="shared" si="1"/>
        <v>18</v>
      </c>
    </row>
    <row r="28" spans="1:5" ht="15.5" x14ac:dyDescent="0.35">
      <c r="A28" s="263">
        <f t="shared" si="0"/>
        <v>19</v>
      </c>
      <c r="B28" s="11" t="s">
        <v>502</v>
      </c>
      <c r="C28" s="253">
        <f>ROUND(C24*0.00205,0)</f>
        <v>-100255</v>
      </c>
      <c r="D28" s="61" t="s">
        <v>504</v>
      </c>
      <c r="E28" s="264">
        <f t="shared" si="1"/>
        <v>19</v>
      </c>
    </row>
    <row r="29" spans="1:5" ht="15.5" x14ac:dyDescent="0.35">
      <c r="A29" s="263">
        <f t="shared" si="0"/>
        <v>20</v>
      </c>
      <c r="B29" s="11"/>
      <c r="C29" s="239"/>
      <c r="D29" s="62"/>
      <c r="E29" s="264">
        <f t="shared" si="1"/>
        <v>20</v>
      </c>
    </row>
    <row r="30" spans="1:5" ht="15.5" x14ac:dyDescent="0.35">
      <c r="A30" s="263">
        <f t="shared" si="0"/>
        <v>21</v>
      </c>
      <c r="B30" s="11" t="s">
        <v>189</v>
      </c>
      <c r="C30" s="253">
        <f>SUM(C26:C28)</f>
        <v>-599429</v>
      </c>
      <c r="D30" s="61" t="s">
        <v>190</v>
      </c>
      <c r="E30" s="264">
        <f t="shared" si="1"/>
        <v>21</v>
      </c>
    </row>
    <row r="31" spans="1:5" ht="15.5" x14ac:dyDescent="0.35">
      <c r="A31" s="263">
        <f t="shared" si="0"/>
        <v>22</v>
      </c>
      <c r="B31" s="11"/>
      <c r="C31" s="239"/>
      <c r="D31" s="62"/>
      <c r="E31" s="264">
        <f t="shared" si="1"/>
        <v>22</v>
      </c>
    </row>
    <row r="32" spans="1:5" ht="16" thickBot="1" x14ac:dyDescent="0.4">
      <c r="A32" s="263">
        <f t="shared" si="0"/>
        <v>23</v>
      </c>
      <c r="B32" s="11" t="s">
        <v>191</v>
      </c>
      <c r="C32" s="415">
        <f>C24+C30</f>
        <v>-49504512.347211227</v>
      </c>
      <c r="D32" s="61" t="s">
        <v>192</v>
      </c>
      <c r="E32" s="264">
        <f t="shared" si="1"/>
        <v>23</v>
      </c>
    </row>
    <row r="33" spans="1:5" ht="16.5" thickTop="1" thickBot="1" x14ac:dyDescent="0.4">
      <c r="A33" s="576"/>
      <c r="B33" s="81"/>
      <c r="C33" s="556"/>
      <c r="D33" s="577"/>
      <c r="E33" s="407"/>
    </row>
    <row r="34" spans="1:5" ht="15.5" x14ac:dyDescent="0.35">
      <c r="A34" s="22"/>
      <c r="B34" s="22"/>
      <c r="C34" s="22"/>
      <c r="D34" s="37"/>
      <c r="E34" s="22"/>
    </row>
  </sheetData>
  <phoneticPr fontId="15" type="noConversion"/>
  <printOptions horizontalCentered="1"/>
  <pageMargins left="0.25" right="0.25" top="0.5" bottom="0.5" header="0.25" footer="0.25"/>
  <pageSetup orientation="landscape" r:id="rId1"/>
  <headerFooter alignWithMargins="0">
    <oddFooter>&amp;L&amp;"Times New Roman,Regular"&amp;12&amp;F&amp;C&amp;"Times New Roman,Regular"&amp;12Page 1&amp;R&amp;"Times New Roman,Regular"&amp;12&amp;A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J89"/>
  <sheetViews>
    <sheetView zoomScale="80" zoomScaleNormal="80" workbookViewId="0"/>
  </sheetViews>
  <sheetFormatPr defaultColWidth="8.54296875" defaultRowHeight="13" x14ac:dyDescent="0.3"/>
  <cols>
    <col min="1" max="1" width="5.54296875" style="1" customWidth="1"/>
    <col min="2" max="2" width="55.54296875" style="2" customWidth="1"/>
    <col min="3" max="4" width="22.54296875" style="1" bestFit="1" customWidth="1"/>
    <col min="5" max="5" width="20.54296875" style="1" customWidth="1"/>
    <col min="6" max="6" width="50.54296875" style="1" customWidth="1"/>
    <col min="7" max="7" width="5.54296875" style="1" customWidth="1"/>
    <col min="8" max="9" width="15.54296875" style="179" customWidth="1"/>
    <col min="10" max="10" width="11.36328125" style="179" customWidth="1"/>
    <col min="11" max="16384" width="8.54296875" style="1"/>
  </cols>
  <sheetData>
    <row r="2" spans="1:7" ht="15" x14ac:dyDescent="0.3">
      <c r="B2" s="5" t="s">
        <v>193</v>
      </c>
      <c r="C2" s="6"/>
      <c r="D2" s="6"/>
      <c r="E2" s="6"/>
      <c r="F2" s="6"/>
    </row>
    <row r="3" spans="1:7" ht="15" x14ac:dyDescent="0.3">
      <c r="B3" s="5" t="s">
        <v>1</v>
      </c>
      <c r="C3" s="6"/>
      <c r="D3" s="6"/>
      <c r="E3" s="6"/>
      <c r="F3" s="6"/>
    </row>
    <row r="4" spans="1:7" ht="15" x14ac:dyDescent="0.3">
      <c r="B4" s="5" t="str">
        <f>'Stmnt BK1 - TRBAA'!B4</f>
        <v>2024 - TRBAA Rate Filing</v>
      </c>
      <c r="C4" s="6"/>
      <c r="D4" s="6"/>
      <c r="E4" s="6"/>
      <c r="F4" s="6"/>
    </row>
    <row r="5" spans="1:7" ht="15" x14ac:dyDescent="0.3">
      <c r="B5" s="5" t="s">
        <v>194</v>
      </c>
      <c r="C5" s="6"/>
      <c r="D5" s="6"/>
      <c r="E5" s="6"/>
      <c r="F5" s="6"/>
    </row>
    <row r="6" spans="1:7" ht="15.5" thickBot="1" x14ac:dyDescent="0.35">
      <c r="B6" s="5"/>
      <c r="C6" s="6"/>
      <c r="D6" s="6"/>
      <c r="E6" s="6"/>
      <c r="F6" s="6"/>
    </row>
    <row r="7" spans="1:7" ht="15" x14ac:dyDescent="0.3">
      <c r="A7" s="287"/>
      <c r="B7" s="589"/>
      <c r="C7" s="590" t="s">
        <v>3</v>
      </c>
      <c r="D7" s="591" t="s">
        <v>4</v>
      </c>
      <c r="E7" s="591" t="s">
        <v>195</v>
      </c>
      <c r="F7" s="592"/>
      <c r="G7" s="548"/>
    </row>
    <row r="8" spans="1:7" ht="15.5" x14ac:dyDescent="0.35">
      <c r="A8" s="549"/>
      <c r="B8" s="74"/>
      <c r="C8" s="578" t="s">
        <v>18</v>
      </c>
      <c r="D8" s="75" t="s">
        <v>18</v>
      </c>
      <c r="E8" s="75" t="s">
        <v>18</v>
      </c>
      <c r="F8" s="33"/>
      <c r="G8" s="550"/>
    </row>
    <row r="9" spans="1:7" ht="21.75" customHeight="1" x14ac:dyDescent="0.35">
      <c r="A9" s="551"/>
      <c r="B9" s="74"/>
      <c r="C9" s="585" t="s">
        <v>196</v>
      </c>
      <c r="D9" s="586" t="s">
        <v>197</v>
      </c>
      <c r="E9" s="586" t="s">
        <v>198</v>
      </c>
      <c r="F9" s="33"/>
      <c r="G9" s="552"/>
    </row>
    <row r="10" spans="1:7" ht="15.5" x14ac:dyDescent="0.35">
      <c r="A10" s="551" t="s">
        <v>8</v>
      </c>
      <c r="B10" s="75"/>
      <c r="C10" s="579" t="s">
        <v>199</v>
      </c>
      <c r="D10" s="587" t="s">
        <v>199</v>
      </c>
      <c r="E10" s="587" t="s">
        <v>200</v>
      </c>
      <c r="F10" s="33"/>
      <c r="G10" s="552" t="s">
        <v>8</v>
      </c>
    </row>
    <row r="11" spans="1:7" ht="15.5" thickBot="1" x14ac:dyDescent="0.35">
      <c r="A11" s="569" t="s">
        <v>11</v>
      </c>
      <c r="B11" s="153" t="s">
        <v>173</v>
      </c>
      <c r="C11" s="584" t="s">
        <v>201</v>
      </c>
      <c r="D11" s="593" t="s">
        <v>201</v>
      </c>
      <c r="E11" s="593" t="s">
        <v>201</v>
      </c>
      <c r="F11" s="584" t="s">
        <v>16</v>
      </c>
      <c r="G11" s="570" t="s">
        <v>11</v>
      </c>
    </row>
    <row r="12" spans="1:7" ht="15.5" x14ac:dyDescent="0.35">
      <c r="A12" s="333"/>
      <c r="B12" s="11"/>
      <c r="C12" s="824"/>
      <c r="D12" s="17"/>
      <c r="E12" s="17"/>
      <c r="F12" s="91"/>
      <c r="G12" s="349"/>
    </row>
    <row r="13" spans="1:7" ht="18.5" x14ac:dyDescent="0.35">
      <c r="A13" s="263">
        <v>1</v>
      </c>
      <c r="B13" s="11" t="s">
        <v>202</v>
      </c>
      <c r="C13" s="260">
        <v>493123808.49173576</v>
      </c>
      <c r="D13" s="103">
        <v>519226766.95865637</v>
      </c>
      <c r="E13" s="103">
        <f>C13+D13</f>
        <v>1012350575.4503921</v>
      </c>
      <c r="F13" s="61" t="s">
        <v>203</v>
      </c>
      <c r="G13" s="264">
        <v>1</v>
      </c>
    </row>
    <row r="14" spans="1:7" ht="15.5" x14ac:dyDescent="0.35">
      <c r="A14" s="263">
        <f>A13+1</f>
        <v>2</v>
      </c>
      <c r="B14" s="11"/>
      <c r="C14" s="825"/>
      <c r="D14" s="16"/>
      <c r="E14" s="16"/>
      <c r="F14" s="33"/>
      <c r="G14" s="264">
        <f>G13+1</f>
        <v>2</v>
      </c>
    </row>
    <row r="15" spans="1:7" ht="15.5" x14ac:dyDescent="0.35">
      <c r="A15" s="263">
        <f t="shared" ref="A15:A37" si="0">A14+1</f>
        <v>3</v>
      </c>
      <c r="B15" s="18" t="str">
        <f>'Stmnt BK1 - TRBAA'!B10</f>
        <v>Beginning TRBAA Balance @ 9/30/2023</v>
      </c>
      <c r="C15" s="253">
        <f>'WP 2 Allocation of TRBAA'!D24</f>
        <v>-13417320</v>
      </c>
      <c r="D15" s="38">
        <f>'WP 2 Allocation of TRBAA'!E24</f>
        <v>217679</v>
      </c>
      <c r="E15" s="38">
        <f>C15+D15</f>
        <v>-13199641</v>
      </c>
      <c r="F15" s="61" t="s">
        <v>204</v>
      </c>
      <c r="G15" s="264">
        <f>G14+1</f>
        <v>3</v>
      </c>
    </row>
    <row r="16" spans="1:7" ht="15.5" x14ac:dyDescent="0.35">
      <c r="A16" s="263">
        <f t="shared" si="0"/>
        <v>4</v>
      </c>
      <c r="B16" s="17"/>
      <c r="C16" s="239"/>
      <c r="D16" s="31"/>
      <c r="E16" s="31"/>
      <c r="F16" s="33"/>
      <c r="G16" s="264">
        <f>G15+1</f>
        <v>4</v>
      </c>
    </row>
    <row r="17" spans="1:7" ht="15.5" x14ac:dyDescent="0.35">
      <c r="A17" s="263">
        <f t="shared" si="0"/>
        <v>5</v>
      </c>
      <c r="B17" s="20" t="s">
        <v>176</v>
      </c>
      <c r="C17" s="239"/>
      <c r="D17" s="31"/>
      <c r="E17" s="31"/>
      <c r="F17" s="61"/>
      <c r="G17" s="264">
        <f>G16+1</f>
        <v>5</v>
      </c>
    </row>
    <row r="18" spans="1:7" ht="15.5" x14ac:dyDescent="0.35">
      <c r="A18" s="263">
        <f t="shared" si="0"/>
        <v>6</v>
      </c>
      <c r="B18" s="17"/>
      <c r="C18" s="239"/>
      <c r="D18" s="31"/>
      <c r="E18" s="31"/>
      <c r="F18" s="33"/>
      <c r="G18" s="264">
        <f t="shared" ref="G18:G37" si="1">G17+1</f>
        <v>6</v>
      </c>
    </row>
    <row r="19" spans="1:7" ht="15.5" x14ac:dyDescent="0.35">
      <c r="A19" s="263">
        <f t="shared" si="0"/>
        <v>7</v>
      </c>
      <c r="B19" s="18" t="s">
        <v>205</v>
      </c>
      <c r="C19" s="239">
        <f>'WP 6 HV LV Alloc Summary'!C26</f>
        <v>-36715216.289999999</v>
      </c>
      <c r="D19" s="239">
        <f>'WP 6 HV LV Alloc Summary'!D26</f>
        <v>0</v>
      </c>
      <c r="E19" s="31">
        <f>C19+D19</f>
        <v>-36715216.289999999</v>
      </c>
      <c r="F19" s="61" t="s">
        <v>206</v>
      </c>
      <c r="G19" s="264">
        <f t="shared" si="1"/>
        <v>7</v>
      </c>
    </row>
    <row r="20" spans="1:7" ht="15.5" x14ac:dyDescent="0.35">
      <c r="A20" s="263">
        <f t="shared" si="0"/>
        <v>8</v>
      </c>
      <c r="B20" s="17"/>
      <c r="C20" s="239"/>
      <c r="D20" s="31"/>
      <c r="E20" s="31"/>
      <c r="F20" s="33"/>
      <c r="G20" s="264">
        <f t="shared" si="1"/>
        <v>8</v>
      </c>
    </row>
    <row r="21" spans="1:7" ht="15.5" x14ac:dyDescent="0.35">
      <c r="A21" s="263">
        <f t="shared" si="0"/>
        <v>9</v>
      </c>
      <c r="B21" s="18" t="s">
        <v>207</v>
      </c>
      <c r="C21" s="239">
        <f>'WP 6 HV LV Alloc Summary'!C33</f>
        <v>8845.2000000000007</v>
      </c>
      <c r="D21" s="239">
        <f>'WP 6 HV LV Alloc Summary'!D33</f>
        <v>9154.8000000000011</v>
      </c>
      <c r="E21" s="31">
        <f>C21+D21</f>
        <v>18000</v>
      </c>
      <c r="F21" s="61" t="s">
        <v>208</v>
      </c>
      <c r="G21" s="264">
        <f t="shared" si="1"/>
        <v>9</v>
      </c>
    </row>
    <row r="22" spans="1:7" ht="15.5" x14ac:dyDescent="0.35">
      <c r="A22" s="263">
        <f t="shared" si="0"/>
        <v>10</v>
      </c>
      <c r="B22" s="17"/>
      <c r="C22" s="239"/>
      <c r="D22" s="31"/>
      <c r="E22" s="31"/>
      <c r="F22" s="33"/>
      <c r="G22" s="264">
        <f t="shared" si="1"/>
        <v>10</v>
      </c>
    </row>
    <row r="23" spans="1:7" ht="15.5" x14ac:dyDescent="0.35">
      <c r="A23" s="263">
        <f t="shared" si="0"/>
        <v>11</v>
      </c>
      <c r="B23" s="18" t="s">
        <v>209</v>
      </c>
      <c r="C23" s="239">
        <f>'WP 6 HV LV Alloc Summary'!C39</f>
        <v>1042652.9519848262</v>
      </c>
      <c r="D23" s="239">
        <f>'WP 6 HV LV Alloc Summary'!D39</f>
        <v>1079147.9271051744</v>
      </c>
      <c r="E23" s="31">
        <f>C23+D23</f>
        <v>2121800.8790900009</v>
      </c>
      <c r="F23" s="61" t="s">
        <v>210</v>
      </c>
      <c r="G23" s="264">
        <f t="shared" si="1"/>
        <v>11</v>
      </c>
    </row>
    <row r="24" spans="1:7" ht="15.5" x14ac:dyDescent="0.35">
      <c r="A24" s="263">
        <f t="shared" si="0"/>
        <v>12</v>
      </c>
      <c r="B24" s="17"/>
      <c r="C24" s="239"/>
      <c r="D24" s="31"/>
      <c r="E24" s="31"/>
      <c r="F24" s="33"/>
      <c r="G24" s="264">
        <f t="shared" si="1"/>
        <v>12</v>
      </c>
    </row>
    <row r="25" spans="1:7" ht="15.5" x14ac:dyDescent="0.35">
      <c r="A25" s="263">
        <f t="shared" si="0"/>
        <v>13</v>
      </c>
      <c r="B25" s="18" t="s">
        <v>183</v>
      </c>
      <c r="C25" s="253">
        <f>'WP 6 HV LV Alloc Summary'!C49</f>
        <v>-630551.93239882612</v>
      </c>
      <c r="D25" s="253">
        <f>'WP 6 HV LV Alloc Summary'!D49</f>
        <v>-499474.89669117413</v>
      </c>
      <c r="E25" s="38">
        <f>C25+D25</f>
        <v>-1130026.8290900001</v>
      </c>
      <c r="F25" s="61" t="s">
        <v>211</v>
      </c>
      <c r="G25" s="264">
        <f t="shared" si="1"/>
        <v>13</v>
      </c>
    </row>
    <row r="26" spans="1:7" ht="15.5" x14ac:dyDescent="0.35">
      <c r="A26" s="263">
        <f t="shared" si="0"/>
        <v>14</v>
      </c>
      <c r="B26" s="17"/>
      <c r="C26" s="239"/>
      <c r="D26" s="31"/>
      <c r="E26" s="31"/>
      <c r="F26" s="33"/>
      <c r="G26" s="264">
        <f t="shared" si="1"/>
        <v>14</v>
      </c>
    </row>
    <row r="27" spans="1:7" ht="15.5" x14ac:dyDescent="0.35">
      <c r="A27" s="263">
        <f t="shared" si="0"/>
        <v>15</v>
      </c>
      <c r="B27" s="544" t="s">
        <v>185</v>
      </c>
      <c r="C27" s="38">
        <f>SUM(C19:C25)</f>
        <v>-36294270.070413999</v>
      </c>
      <c r="D27" s="332">
        <f>SUM(D19:D25)</f>
        <v>588827.83041400032</v>
      </c>
      <c r="E27" s="38">
        <f>SUM(E19:E25)</f>
        <v>-35705442.239999995</v>
      </c>
      <c r="F27" s="61" t="s">
        <v>212</v>
      </c>
      <c r="G27" s="264">
        <f t="shared" si="1"/>
        <v>15</v>
      </c>
    </row>
    <row r="28" spans="1:7" ht="15.5" x14ac:dyDescent="0.35">
      <c r="A28" s="263">
        <f t="shared" si="0"/>
        <v>16</v>
      </c>
      <c r="B28" s="478"/>
      <c r="C28" s="239"/>
      <c r="D28" s="31"/>
      <c r="E28" s="31"/>
      <c r="F28" s="61"/>
      <c r="G28" s="264">
        <f t="shared" si="1"/>
        <v>16</v>
      </c>
    </row>
    <row r="29" spans="1:7" ht="15.5" x14ac:dyDescent="0.35">
      <c r="A29" s="263">
        <f t="shared" si="0"/>
        <v>17</v>
      </c>
      <c r="B29" s="18" t="s">
        <v>213</v>
      </c>
      <c r="C29" s="239">
        <f>C15+C27</f>
        <v>-49711590.070413999</v>
      </c>
      <c r="D29" s="239">
        <f>D15+D27</f>
        <v>806506.83041400032</v>
      </c>
      <c r="E29" s="239">
        <f t="shared" ref="E29" si="2">E15+E27</f>
        <v>-48905083.239999995</v>
      </c>
      <c r="F29" s="61" t="s">
        <v>214</v>
      </c>
      <c r="G29" s="264">
        <f t="shared" si="1"/>
        <v>17</v>
      </c>
    </row>
    <row r="30" spans="1:7" ht="15.5" x14ac:dyDescent="0.35">
      <c r="A30" s="263">
        <f t="shared" si="0"/>
        <v>18</v>
      </c>
      <c r="B30" s="478"/>
      <c r="C30" s="239"/>
      <c r="D30" s="31"/>
      <c r="E30" s="31"/>
      <c r="F30" s="61"/>
      <c r="G30" s="264">
        <f t="shared" si="1"/>
        <v>18</v>
      </c>
    </row>
    <row r="31" spans="1:7" ht="15.5" x14ac:dyDescent="0.35">
      <c r="A31" s="263">
        <f t="shared" si="0"/>
        <v>19</v>
      </c>
      <c r="B31" s="479" t="s">
        <v>501</v>
      </c>
      <c r="C31" s="253">
        <f>C29*0.010207</f>
        <v>-507406.19984871574</v>
      </c>
      <c r="D31" s="38">
        <f>D29*0.010207</f>
        <v>8232.0152180357018</v>
      </c>
      <c r="E31" s="38">
        <f>C31+D31</f>
        <v>-499174.18463068001</v>
      </c>
      <c r="F31" s="61" t="s">
        <v>531</v>
      </c>
      <c r="G31" s="264">
        <f t="shared" si="1"/>
        <v>19</v>
      </c>
    </row>
    <row r="32" spans="1:7" ht="15.5" x14ac:dyDescent="0.35">
      <c r="A32" s="263">
        <f t="shared" si="0"/>
        <v>20</v>
      </c>
      <c r="B32" s="479"/>
      <c r="C32" s="239"/>
      <c r="D32" s="31"/>
      <c r="E32" s="31"/>
      <c r="F32" s="61"/>
      <c r="G32" s="264">
        <f t="shared" si="1"/>
        <v>20</v>
      </c>
    </row>
    <row r="33" spans="1:7" ht="15.5" x14ac:dyDescent="0.35">
      <c r="A33" s="263">
        <f t="shared" si="0"/>
        <v>21</v>
      </c>
      <c r="B33" s="56" t="s">
        <v>215</v>
      </c>
      <c r="C33" s="51">
        <f>C29+C31</f>
        <v>-50218996.270262718</v>
      </c>
      <c r="D33" s="51">
        <f>D29+D31</f>
        <v>814738.84563203598</v>
      </c>
      <c r="E33" s="51">
        <f>E29+E31</f>
        <v>-49404257.424630672</v>
      </c>
      <c r="F33" s="61" t="s">
        <v>190</v>
      </c>
      <c r="G33" s="264">
        <f t="shared" si="1"/>
        <v>21</v>
      </c>
    </row>
    <row r="34" spans="1:7" ht="15.5" x14ac:dyDescent="0.35">
      <c r="A34" s="263">
        <f t="shared" si="0"/>
        <v>22</v>
      </c>
      <c r="B34" s="11"/>
      <c r="C34" s="530"/>
      <c r="D34" s="44"/>
      <c r="E34" s="44"/>
      <c r="F34" s="62"/>
      <c r="G34" s="264">
        <f t="shared" si="1"/>
        <v>22</v>
      </c>
    </row>
    <row r="35" spans="1:7" ht="18.5" x14ac:dyDescent="0.35">
      <c r="A35" s="263">
        <f t="shared" si="0"/>
        <v>23</v>
      </c>
      <c r="B35" s="11" t="s">
        <v>216</v>
      </c>
      <c r="C35" s="446">
        <f>'WP 3 Standby Revenues'!C15</f>
        <v>-7768634</v>
      </c>
      <c r="D35" s="51">
        <f>'WP 3 Standby Revenues'!D15</f>
        <v>-8179858</v>
      </c>
      <c r="E35" s="51">
        <f>C35+D35</f>
        <v>-15948492</v>
      </c>
      <c r="F35" s="61" t="s">
        <v>217</v>
      </c>
      <c r="G35" s="264">
        <f t="shared" si="1"/>
        <v>23</v>
      </c>
    </row>
    <row r="36" spans="1:7" ht="15.5" x14ac:dyDescent="0.35">
      <c r="A36" s="263">
        <f t="shared" si="0"/>
        <v>24</v>
      </c>
      <c r="B36" s="17"/>
      <c r="C36" s="443"/>
      <c r="D36" s="477"/>
      <c r="E36" s="477"/>
      <c r="F36" s="61"/>
      <c r="G36" s="264">
        <f t="shared" si="1"/>
        <v>24</v>
      </c>
    </row>
    <row r="37" spans="1:7" ht="16" thickBot="1" x14ac:dyDescent="0.4">
      <c r="A37" s="263">
        <f t="shared" si="0"/>
        <v>25</v>
      </c>
      <c r="B37" s="11" t="s">
        <v>218</v>
      </c>
      <c r="C37" s="508">
        <f>C13+C33+C35</f>
        <v>435136178.22147304</v>
      </c>
      <c r="D37" s="232">
        <f>D13+D33+D35</f>
        <v>511861647.80428839</v>
      </c>
      <c r="E37" s="232">
        <f>E13+E33+E35</f>
        <v>946997826.02576149</v>
      </c>
      <c r="F37" s="61" t="s">
        <v>219</v>
      </c>
      <c r="G37" s="264">
        <f t="shared" si="1"/>
        <v>25</v>
      </c>
    </row>
    <row r="38" spans="1:7" ht="16.5" thickTop="1" thickBot="1" x14ac:dyDescent="0.4">
      <c r="A38" s="576"/>
      <c r="B38" s="81"/>
      <c r="C38" s="826"/>
      <c r="D38" s="81"/>
      <c r="E38" s="81"/>
      <c r="F38" s="556"/>
      <c r="G38" s="407"/>
    </row>
    <row r="39" spans="1:7" ht="15.5" x14ac:dyDescent="0.35">
      <c r="A39" s="22"/>
      <c r="B39" s="22"/>
      <c r="C39" s="143"/>
      <c r="D39" s="143"/>
      <c r="E39" s="22"/>
      <c r="F39" s="22"/>
      <c r="G39" s="22"/>
    </row>
    <row r="40" spans="1:7" ht="18.5" x14ac:dyDescent="0.35">
      <c r="A40" s="83" t="s">
        <v>125</v>
      </c>
      <c r="B40" s="50" t="s">
        <v>527</v>
      </c>
      <c r="C40" s="22"/>
      <c r="D40" s="22"/>
      <c r="E40" s="22"/>
      <c r="F40" s="22"/>
      <c r="G40" s="22"/>
    </row>
    <row r="41" spans="1:7" ht="18.5" x14ac:dyDescent="0.35">
      <c r="A41" s="83">
        <v>2</v>
      </c>
      <c r="B41" s="50" t="s">
        <v>532</v>
      </c>
      <c r="C41" s="22"/>
      <c r="D41" s="22"/>
      <c r="E41" s="22"/>
      <c r="F41" s="22"/>
      <c r="G41" s="22"/>
    </row>
    <row r="42" spans="1:7" ht="18.5" x14ac:dyDescent="0.35">
      <c r="A42" s="69"/>
      <c r="B42" s="50"/>
      <c r="C42" s="22"/>
      <c r="D42" s="22"/>
      <c r="E42" s="22"/>
      <c r="F42" s="22"/>
      <c r="G42" s="22"/>
    </row>
    <row r="43" spans="1:7" ht="15.5" x14ac:dyDescent="0.35">
      <c r="A43" s="22"/>
      <c r="B43" s="50"/>
      <c r="C43" s="22"/>
      <c r="D43" s="22"/>
      <c r="E43" s="22"/>
      <c r="F43" s="22"/>
      <c r="G43" s="22"/>
    </row>
    <row r="44" spans="1:7" ht="15.5" x14ac:dyDescent="0.35">
      <c r="A44" s="22"/>
      <c r="B44" s="50"/>
      <c r="C44" s="22"/>
      <c r="D44" s="22"/>
      <c r="E44" s="22"/>
      <c r="F44" s="22"/>
      <c r="G44" s="22"/>
    </row>
    <row r="45" spans="1:7" ht="15.5" x14ac:dyDescent="0.35">
      <c r="A45" s="22"/>
      <c r="B45" s="50"/>
      <c r="C45" s="22"/>
      <c r="D45" s="22"/>
      <c r="E45" s="22"/>
      <c r="F45" s="22"/>
      <c r="G45" s="22"/>
    </row>
    <row r="46" spans="1:7" ht="15.5" x14ac:dyDescent="0.35">
      <c r="A46" s="22"/>
      <c r="B46" s="50"/>
      <c r="C46" s="22"/>
      <c r="D46" s="22"/>
      <c r="E46" s="22"/>
      <c r="F46" s="22"/>
      <c r="G46" s="22"/>
    </row>
    <row r="47" spans="1:7" ht="15.5" x14ac:dyDescent="0.35">
      <c r="A47" s="22"/>
      <c r="B47" s="50"/>
      <c r="C47" s="22"/>
      <c r="D47" s="22"/>
      <c r="E47" s="22"/>
      <c r="F47" s="22"/>
      <c r="G47" s="22"/>
    </row>
    <row r="48" spans="1:7" ht="15.5" x14ac:dyDescent="0.35">
      <c r="A48" s="22"/>
      <c r="B48" s="50"/>
      <c r="C48" s="22"/>
      <c r="D48" s="22"/>
      <c r="E48" s="22"/>
      <c r="F48" s="22"/>
      <c r="G48" s="22"/>
    </row>
    <row r="49" spans="1:7" ht="15.5" x14ac:dyDescent="0.35">
      <c r="A49" s="22"/>
      <c r="B49" s="50"/>
      <c r="C49" s="22"/>
      <c r="D49" s="22"/>
      <c r="E49" s="22"/>
      <c r="F49" s="22"/>
      <c r="G49" s="22"/>
    </row>
    <row r="50" spans="1:7" ht="15.5" x14ac:dyDescent="0.35">
      <c r="A50" s="22"/>
      <c r="B50" s="50"/>
      <c r="C50" s="22"/>
      <c r="D50" s="22"/>
      <c r="E50" s="22"/>
      <c r="F50" s="22"/>
      <c r="G50" s="22"/>
    </row>
    <row r="51" spans="1:7" ht="15.5" x14ac:dyDescent="0.35">
      <c r="A51" s="22"/>
      <c r="B51" s="50"/>
      <c r="C51" s="22"/>
      <c r="D51" s="22"/>
      <c r="E51" s="22"/>
      <c r="F51" s="22"/>
      <c r="G51" s="22"/>
    </row>
    <row r="52" spans="1:7" ht="15.5" x14ac:dyDescent="0.35">
      <c r="A52" s="22"/>
      <c r="B52" s="50"/>
      <c r="C52" s="22"/>
      <c r="D52" s="22"/>
      <c r="E52" s="22"/>
      <c r="F52" s="22"/>
      <c r="G52" s="22"/>
    </row>
    <row r="53" spans="1:7" ht="15.5" x14ac:dyDescent="0.35">
      <c r="A53" s="22"/>
      <c r="B53" s="50"/>
      <c r="C53" s="22"/>
      <c r="D53" s="22"/>
      <c r="E53" s="22"/>
      <c r="F53" s="22"/>
      <c r="G53" s="22"/>
    </row>
    <row r="54" spans="1:7" ht="15.5" x14ac:dyDescent="0.35">
      <c r="A54" s="22"/>
      <c r="B54" s="50"/>
      <c r="C54" s="22"/>
      <c r="D54" s="22"/>
      <c r="E54" s="22"/>
      <c r="F54" s="22"/>
      <c r="G54" s="22"/>
    </row>
    <row r="55" spans="1:7" ht="15.5" x14ac:dyDescent="0.35">
      <c r="A55" s="22"/>
      <c r="B55" s="50"/>
      <c r="C55" s="22"/>
      <c r="D55" s="22"/>
      <c r="E55" s="22"/>
      <c r="F55" s="22"/>
      <c r="G55" s="22"/>
    </row>
    <row r="56" spans="1:7" ht="15.5" x14ac:dyDescent="0.35">
      <c r="A56" s="22"/>
      <c r="B56" s="50"/>
      <c r="C56" s="22"/>
      <c r="D56" s="22"/>
      <c r="E56" s="22"/>
      <c r="F56" s="22"/>
      <c r="G56" s="22"/>
    </row>
    <row r="57" spans="1:7" ht="15.5" x14ac:dyDescent="0.35">
      <c r="A57" s="22"/>
      <c r="B57" s="50"/>
      <c r="C57" s="22"/>
      <c r="D57" s="22"/>
      <c r="E57" s="22"/>
      <c r="F57" s="22"/>
      <c r="G57" s="22"/>
    </row>
    <row r="58" spans="1:7" ht="15.5" x14ac:dyDescent="0.35">
      <c r="A58" s="22"/>
      <c r="B58" s="50"/>
      <c r="C58" s="22"/>
      <c r="D58" s="22"/>
      <c r="E58" s="22"/>
      <c r="F58" s="22"/>
      <c r="G58" s="22"/>
    </row>
    <row r="59" spans="1:7" ht="15.5" x14ac:dyDescent="0.35">
      <c r="A59" s="22"/>
      <c r="B59" s="50"/>
      <c r="C59" s="22"/>
      <c r="D59" s="22"/>
      <c r="E59" s="22"/>
      <c r="F59" s="22"/>
      <c r="G59" s="22"/>
    </row>
    <row r="60" spans="1:7" ht="15.5" x14ac:dyDescent="0.35">
      <c r="A60" s="22"/>
      <c r="B60" s="50"/>
      <c r="C60" s="22"/>
      <c r="D60" s="22"/>
      <c r="E60" s="22"/>
      <c r="F60" s="22"/>
      <c r="G60" s="22"/>
    </row>
    <row r="61" spans="1:7" ht="15.5" x14ac:dyDescent="0.35">
      <c r="A61" s="22"/>
      <c r="B61" s="50"/>
      <c r="C61" s="22"/>
      <c r="D61" s="22"/>
      <c r="E61" s="22"/>
      <c r="F61" s="22"/>
      <c r="G61" s="22"/>
    </row>
    <row r="62" spans="1:7" ht="15.5" x14ac:dyDescent="0.35">
      <c r="A62" s="22"/>
      <c r="B62" s="50"/>
      <c r="C62" s="22"/>
      <c r="D62" s="22"/>
      <c r="E62" s="22"/>
      <c r="F62" s="22"/>
      <c r="G62" s="22"/>
    </row>
    <row r="63" spans="1:7" ht="15.5" x14ac:dyDescent="0.35">
      <c r="A63" s="22"/>
      <c r="B63" s="50"/>
      <c r="C63" s="22"/>
      <c r="D63" s="22"/>
      <c r="E63" s="22"/>
      <c r="F63" s="22"/>
      <c r="G63" s="22"/>
    </row>
    <row r="64" spans="1:7" ht="15.5" x14ac:dyDescent="0.35">
      <c r="A64" s="22"/>
      <c r="B64" s="50"/>
      <c r="C64" s="22"/>
      <c r="D64" s="22"/>
      <c r="E64" s="22"/>
      <c r="F64" s="22"/>
      <c r="G64" s="22"/>
    </row>
    <row r="65" spans="1:7" ht="15.5" x14ac:dyDescent="0.35">
      <c r="A65" s="22"/>
      <c r="B65" s="50"/>
      <c r="C65" s="22"/>
      <c r="D65" s="22"/>
      <c r="E65" s="22"/>
      <c r="F65" s="22"/>
      <c r="G65" s="22"/>
    </row>
    <row r="66" spans="1:7" ht="15.5" x14ac:dyDescent="0.35">
      <c r="A66" s="22"/>
      <c r="B66" s="50"/>
      <c r="C66" s="22"/>
      <c r="D66" s="22"/>
      <c r="E66" s="22"/>
      <c r="F66" s="22"/>
      <c r="G66" s="22"/>
    </row>
    <row r="67" spans="1:7" ht="15.5" x14ac:dyDescent="0.35">
      <c r="A67" s="22"/>
      <c r="B67" s="50"/>
      <c r="C67" s="22"/>
      <c r="D67" s="22"/>
      <c r="E67" s="22"/>
      <c r="F67" s="22"/>
      <c r="G67" s="22"/>
    </row>
    <row r="68" spans="1:7" ht="15.5" x14ac:dyDescent="0.35">
      <c r="A68" s="22"/>
      <c r="B68" s="50"/>
      <c r="C68" s="22"/>
      <c r="D68" s="22"/>
      <c r="E68" s="22"/>
      <c r="F68" s="22"/>
      <c r="G68" s="22"/>
    </row>
    <row r="69" spans="1:7" ht="15.5" x14ac:dyDescent="0.35">
      <c r="A69" s="22"/>
      <c r="B69" s="50"/>
      <c r="C69" s="22"/>
      <c r="D69" s="22"/>
      <c r="E69" s="22"/>
      <c r="F69" s="22"/>
      <c r="G69" s="22"/>
    </row>
    <row r="70" spans="1:7" ht="15.5" x14ac:dyDescent="0.35">
      <c r="A70" s="22"/>
      <c r="B70" s="50"/>
      <c r="C70" s="22"/>
      <c r="D70" s="22"/>
      <c r="E70" s="22"/>
      <c r="F70" s="22"/>
      <c r="G70" s="22"/>
    </row>
    <row r="71" spans="1:7" ht="15.5" x14ac:dyDescent="0.35">
      <c r="A71" s="22"/>
      <c r="B71" s="50"/>
      <c r="C71" s="22"/>
      <c r="D71" s="22"/>
      <c r="E71" s="22"/>
      <c r="F71" s="22"/>
      <c r="G71" s="22"/>
    </row>
    <row r="72" spans="1:7" ht="15.5" x14ac:dyDescent="0.35">
      <c r="A72" s="22"/>
      <c r="B72" s="50"/>
      <c r="C72" s="22"/>
      <c r="D72" s="22"/>
      <c r="E72" s="22"/>
      <c r="F72" s="22"/>
      <c r="G72" s="22"/>
    </row>
    <row r="73" spans="1:7" ht="15.5" x14ac:dyDescent="0.35">
      <c r="A73" s="22"/>
      <c r="B73" s="50"/>
      <c r="C73" s="22"/>
      <c r="D73" s="22"/>
      <c r="E73" s="22"/>
      <c r="F73" s="22"/>
      <c r="G73" s="22"/>
    </row>
    <row r="74" spans="1:7" ht="15.5" x14ac:dyDescent="0.35">
      <c r="A74" s="22"/>
      <c r="B74" s="50"/>
      <c r="C74" s="22"/>
      <c r="D74" s="22"/>
      <c r="E74" s="22"/>
      <c r="F74" s="22"/>
      <c r="G74" s="22"/>
    </row>
    <row r="75" spans="1:7" ht="15.5" x14ac:dyDescent="0.35">
      <c r="A75" s="22"/>
      <c r="B75" s="50"/>
      <c r="C75" s="22"/>
      <c r="D75" s="22"/>
      <c r="E75" s="22"/>
      <c r="F75" s="22"/>
      <c r="G75" s="22"/>
    </row>
    <row r="76" spans="1:7" ht="15.5" x14ac:dyDescent="0.35">
      <c r="A76" s="22"/>
      <c r="B76" s="50"/>
      <c r="C76" s="22"/>
      <c r="D76" s="22"/>
      <c r="E76" s="22"/>
      <c r="F76" s="22"/>
      <c r="G76" s="22"/>
    </row>
    <row r="77" spans="1:7" ht="15.5" x14ac:dyDescent="0.35">
      <c r="A77" s="22"/>
      <c r="B77" s="50"/>
      <c r="C77" s="22"/>
      <c r="D77" s="22"/>
      <c r="E77" s="22"/>
      <c r="F77" s="22"/>
      <c r="G77" s="22"/>
    </row>
    <row r="78" spans="1:7" ht="15.5" x14ac:dyDescent="0.35">
      <c r="A78" s="22"/>
      <c r="B78" s="50"/>
      <c r="C78" s="22"/>
      <c r="D78" s="22"/>
      <c r="E78" s="22"/>
      <c r="F78" s="22"/>
      <c r="G78" s="22"/>
    </row>
    <row r="79" spans="1:7" ht="15.5" x14ac:dyDescent="0.35">
      <c r="A79" s="22"/>
      <c r="B79" s="50"/>
      <c r="C79" s="22"/>
      <c r="D79" s="22"/>
      <c r="E79" s="22"/>
      <c r="F79" s="22"/>
      <c r="G79" s="22"/>
    </row>
    <row r="80" spans="1:7" ht="15.5" x14ac:dyDescent="0.35">
      <c r="A80" s="22"/>
      <c r="B80" s="50"/>
      <c r="C80" s="22"/>
      <c r="D80" s="22"/>
      <c r="E80" s="22"/>
      <c r="F80" s="22"/>
      <c r="G80" s="22"/>
    </row>
    <row r="81" spans="1:7" ht="15.5" x14ac:dyDescent="0.35">
      <c r="A81" s="22"/>
      <c r="B81" s="50"/>
      <c r="C81" s="22"/>
      <c r="D81" s="22"/>
      <c r="E81" s="22"/>
      <c r="F81" s="22"/>
      <c r="G81" s="22"/>
    </row>
    <row r="82" spans="1:7" ht="15.5" x14ac:dyDescent="0.35">
      <c r="A82" s="22"/>
      <c r="B82" s="50"/>
      <c r="C82" s="22"/>
      <c r="D82" s="22"/>
      <c r="E82" s="22"/>
      <c r="F82" s="22"/>
      <c r="G82" s="22"/>
    </row>
    <row r="83" spans="1:7" ht="15.5" x14ac:dyDescent="0.35">
      <c r="A83" s="22"/>
      <c r="B83" s="50"/>
      <c r="C83" s="22"/>
      <c r="D83" s="22"/>
      <c r="E83" s="22"/>
      <c r="F83" s="22"/>
      <c r="G83" s="22"/>
    </row>
    <row r="84" spans="1:7" ht="15.5" x14ac:dyDescent="0.35">
      <c r="A84" s="22"/>
      <c r="B84" s="50"/>
      <c r="C84" s="22"/>
      <c r="D84" s="22"/>
      <c r="E84" s="22"/>
      <c r="F84" s="22"/>
      <c r="G84" s="22"/>
    </row>
    <row r="85" spans="1:7" ht="15.5" x14ac:dyDescent="0.35">
      <c r="A85" s="22"/>
      <c r="B85" s="50"/>
      <c r="C85" s="22"/>
      <c r="D85" s="22"/>
      <c r="E85" s="22"/>
      <c r="F85" s="22"/>
      <c r="G85" s="22"/>
    </row>
    <row r="86" spans="1:7" ht="15.5" x14ac:dyDescent="0.35">
      <c r="A86" s="22"/>
      <c r="B86" s="50"/>
      <c r="C86" s="22"/>
      <c r="D86" s="22"/>
      <c r="E86" s="22"/>
      <c r="F86" s="22"/>
      <c r="G86" s="22"/>
    </row>
    <row r="87" spans="1:7" ht="15.5" x14ac:dyDescent="0.35">
      <c r="A87" s="22"/>
      <c r="B87" s="50"/>
      <c r="C87" s="22"/>
      <c r="D87" s="22"/>
      <c r="E87" s="22"/>
      <c r="F87" s="22"/>
      <c r="G87" s="22"/>
    </row>
    <row r="88" spans="1:7" ht="15.5" x14ac:dyDescent="0.35">
      <c r="A88" s="22"/>
      <c r="B88" s="50"/>
      <c r="C88" s="22"/>
      <c r="D88" s="22"/>
      <c r="E88" s="22"/>
      <c r="F88" s="22"/>
      <c r="G88" s="22"/>
    </row>
    <row r="89" spans="1:7" ht="15.5" x14ac:dyDescent="0.35">
      <c r="A89" s="22"/>
      <c r="B89" s="50"/>
      <c r="C89" s="22"/>
      <c r="D89" s="22"/>
      <c r="E89" s="22"/>
      <c r="F89" s="22"/>
      <c r="G89" s="22"/>
    </row>
  </sheetData>
  <phoneticPr fontId="0" type="noConversion"/>
  <printOptions horizontalCentered="1"/>
  <pageMargins left="0.25" right="0.25" top="0.5" bottom="0.5" header="0.25" footer="0.25"/>
  <pageSetup scale="74" orientation="landscape" r:id="rId1"/>
  <headerFooter alignWithMargins="0">
    <oddFooter>&amp;L&amp;"Times New Roman,Regular"&amp;12&amp;F&amp;C&amp;"Times New Roman,Regular"&amp;12Page 1&amp;R&amp;"Times New Roman,Regular"&amp;12&amp;A</oddFooter>
  </headerFooter>
  <colBreaks count="1" manualBreakCount="1">
    <brk id="7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G46"/>
  <sheetViews>
    <sheetView zoomScale="80" zoomScaleNormal="80" workbookViewId="0"/>
  </sheetViews>
  <sheetFormatPr defaultColWidth="8.54296875" defaultRowHeight="13" x14ac:dyDescent="0.3"/>
  <cols>
    <col min="1" max="1" width="5.54296875" style="1" customWidth="1"/>
    <col min="2" max="2" width="55.54296875" style="2" customWidth="1"/>
    <col min="3" max="3" width="20.54296875" style="2" customWidth="1"/>
    <col min="4" max="4" width="40.54296875" style="1" customWidth="1"/>
    <col min="5" max="5" width="5.54296875" style="1" customWidth="1"/>
    <col min="6" max="6" width="15.54296875" style="1" customWidth="1"/>
    <col min="7" max="7" width="15.54296875" style="179" customWidth="1"/>
    <col min="8" max="16384" width="8.54296875" style="1"/>
  </cols>
  <sheetData>
    <row r="2" spans="1:5" ht="15" x14ac:dyDescent="0.3">
      <c r="B2" s="5" t="s">
        <v>220</v>
      </c>
      <c r="C2" s="5"/>
      <c r="D2" s="6"/>
    </row>
    <row r="3" spans="1:5" ht="15" x14ac:dyDescent="0.3">
      <c r="B3" s="5" t="s">
        <v>1</v>
      </c>
      <c r="C3" s="5"/>
      <c r="D3" s="6"/>
    </row>
    <row r="4" spans="1:5" ht="15" x14ac:dyDescent="0.3">
      <c r="B4" s="5" t="str">
        <f>'Stmnt BK1 - TRBAA'!B4</f>
        <v>2024 - TRBAA Rate Filing</v>
      </c>
      <c r="C4" s="5"/>
      <c r="D4" s="6"/>
    </row>
    <row r="5" spans="1:5" ht="15" x14ac:dyDescent="0.3">
      <c r="B5" s="5" t="s">
        <v>221</v>
      </c>
      <c r="C5" s="5"/>
      <c r="D5" s="6"/>
    </row>
    <row r="6" spans="1:5" ht="15.5" thickBot="1" x14ac:dyDescent="0.35">
      <c r="B6" s="5"/>
      <c r="C6" s="5"/>
      <c r="D6" s="6"/>
    </row>
    <row r="7" spans="1:5" ht="15" x14ac:dyDescent="0.3">
      <c r="A7" s="557" t="s">
        <v>8</v>
      </c>
      <c r="B7" s="456"/>
      <c r="C7" s="592" t="s">
        <v>18</v>
      </c>
      <c r="D7" s="594"/>
      <c r="E7" s="559" t="s">
        <v>8</v>
      </c>
    </row>
    <row r="8" spans="1:5" ht="15.5" thickBot="1" x14ac:dyDescent="0.35">
      <c r="A8" s="569" t="s">
        <v>11</v>
      </c>
      <c r="B8" s="153" t="s">
        <v>173</v>
      </c>
      <c r="C8" s="583" t="s">
        <v>174</v>
      </c>
      <c r="D8" s="584" t="s">
        <v>16</v>
      </c>
      <c r="E8" s="570" t="s">
        <v>11</v>
      </c>
    </row>
    <row r="9" spans="1:5" ht="15.5" x14ac:dyDescent="0.35">
      <c r="A9" s="333"/>
      <c r="B9" s="11"/>
      <c r="C9" s="236"/>
      <c r="D9" s="91"/>
      <c r="E9" s="349"/>
    </row>
    <row r="10" spans="1:5" ht="15.5" x14ac:dyDescent="0.35">
      <c r="A10" s="263">
        <v>1</v>
      </c>
      <c r="B10" s="18" t="s">
        <v>500</v>
      </c>
      <c r="C10" s="440">
        <f>'WP 4 Monthly TRBAA '!O38</f>
        <v>-13199641.107211234</v>
      </c>
      <c r="D10" s="61" t="str">
        <f>'Stmnt BK1 - TRBAA'!D10</f>
        <v>Work paper No. 4; Page 4.4; Line 32</v>
      </c>
      <c r="E10" s="264">
        <v>1</v>
      </c>
    </row>
    <row r="11" spans="1:5" ht="15.5" x14ac:dyDescent="0.35">
      <c r="A11" s="263">
        <f>A10+1</f>
        <v>2</v>
      </c>
      <c r="B11" s="17"/>
      <c r="C11" s="91"/>
      <c r="D11" s="33"/>
      <c r="E11" s="264">
        <f>E10+1</f>
        <v>2</v>
      </c>
    </row>
    <row r="12" spans="1:5" ht="15.5" x14ac:dyDescent="0.35">
      <c r="A12" s="263">
        <f t="shared" ref="A12:A36" si="0">A11+1</f>
        <v>3</v>
      </c>
      <c r="B12" s="20" t="s">
        <v>176</v>
      </c>
      <c r="C12" s="237"/>
      <c r="D12" s="61"/>
      <c r="E12" s="264">
        <f t="shared" ref="E12:E36" si="1">E11+1</f>
        <v>3</v>
      </c>
    </row>
    <row r="13" spans="1:5" ht="15.5" x14ac:dyDescent="0.35">
      <c r="A13" s="263">
        <f t="shared" si="0"/>
        <v>4</v>
      </c>
      <c r="B13" s="17"/>
      <c r="C13" s="91"/>
      <c r="D13" s="33"/>
      <c r="E13" s="264">
        <f t="shared" si="1"/>
        <v>4</v>
      </c>
    </row>
    <row r="14" spans="1:5" ht="15.5" x14ac:dyDescent="0.35">
      <c r="A14" s="263">
        <f t="shared" si="0"/>
        <v>5</v>
      </c>
      <c r="B14" s="18" t="s">
        <v>177</v>
      </c>
      <c r="C14" s="238">
        <f>'WP 7 Wheeling Revenues'!E37</f>
        <v>-36715216.289999999</v>
      </c>
      <c r="D14" s="61" t="str">
        <f>'Stmnt BK1 - TRBAA'!D14</f>
        <v>Work paper No. 7; Page 7.1; Line 27</v>
      </c>
      <c r="E14" s="264">
        <f t="shared" si="1"/>
        <v>5</v>
      </c>
    </row>
    <row r="15" spans="1:5" ht="15.5" x14ac:dyDescent="0.35">
      <c r="A15" s="263">
        <f t="shared" si="0"/>
        <v>6</v>
      </c>
      <c r="B15" s="17"/>
      <c r="C15" s="239"/>
      <c r="D15" s="33"/>
      <c r="E15" s="264">
        <f t="shared" si="1"/>
        <v>6</v>
      </c>
    </row>
    <row r="16" spans="1:5" ht="15.5" x14ac:dyDescent="0.35">
      <c r="A16" s="263">
        <f t="shared" si="0"/>
        <v>7</v>
      </c>
      <c r="B16" s="18" t="s">
        <v>179</v>
      </c>
      <c r="C16" s="238">
        <f>'WP 8 CT4575'!C34</f>
        <v>18000</v>
      </c>
      <c r="D16" s="61" t="str">
        <f>'Stmnt BK1 - TRBAA'!D16</f>
        <v>Work paper No. 8; Page 8.1; Line 27</v>
      </c>
      <c r="E16" s="264">
        <f t="shared" si="1"/>
        <v>7</v>
      </c>
    </row>
    <row r="17" spans="1:5" ht="15.5" x14ac:dyDescent="0.35">
      <c r="A17" s="263">
        <f t="shared" si="0"/>
        <v>8</v>
      </c>
      <c r="B17" s="17"/>
      <c r="C17" s="239"/>
      <c r="D17" s="33"/>
      <c r="E17" s="264">
        <f t="shared" si="1"/>
        <v>8</v>
      </c>
    </row>
    <row r="18" spans="1:5" ht="15.5" x14ac:dyDescent="0.35">
      <c r="A18" s="263">
        <f t="shared" si="0"/>
        <v>9</v>
      </c>
      <c r="B18" s="18" t="s">
        <v>209</v>
      </c>
      <c r="C18" s="238">
        <f>'WP 9 ETC Cost Diffs'!C34</f>
        <v>2121800.8790900004</v>
      </c>
      <c r="D18" s="61" t="str">
        <f>'Stmnt BK1 - TRBAA'!D18</f>
        <v>Work paper No. 9; Page 9.1; Line 27</v>
      </c>
      <c r="E18" s="264">
        <f t="shared" si="1"/>
        <v>9</v>
      </c>
    </row>
    <row r="19" spans="1:5" ht="15.5" x14ac:dyDescent="0.35">
      <c r="A19" s="263">
        <f t="shared" si="0"/>
        <v>10</v>
      </c>
      <c r="B19" s="17"/>
      <c r="C19" s="239"/>
      <c r="D19" s="33"/>
      <c r="E19" s="264">
        <f t="shared" si="1"/>
        <v>10</v>
      </c>
    </row>
    <row r="20" spans="1:5" ht="15.5" x14ac:dyDescent="0.35">
      <c r="A20" s="263">
        <f t="shared" si="0"/>
        <v>11</v>
      </c>
      <c r="B20" s="18" t="s">
        <v>183</v>
      </c>
      <c r="C20" s="441">
        <f>'WP 11 Other PTO Forecast'!C34</f>
        <v>-1130026.8290900001</v>
      </c>
      <c r="D20" s="61" t="str">
        <f>'Stmnt BK1 - TRBAA'!D20</f>
        <v>Work paper No. 11; Page 11.1; Line 27</v>
      </c>
      <c r="E20" s="264">
        <f t="shared" si="1"/>
        <v>11</v>
      </c>
    </row>
    <row r="21" spans="1:5" ht="15.5" x14ac:dyDescent="0.35">
      <c r="A21" s="263">
        <f t="shared" si="0"/>
        <v>12</v>
      </c>
      <c r="B21" s="17"/>
      <c r="C21" s="91"/>
      <c r="D21" s="33"/>
      <c r="E21" s="264">
        <f t="shared" si="1"/>
        <v>12</v>
      </c>
    </row>
    <row r="22" spans="1:5" ht="15.5" x14ac:dyDescent="0.35">
      <c r="A22" s="263">
        <f t="shared" si="0"/>
        <v>13</v>
      </c>
      <c r="B22" s="478" t="s">
        <v>185</v>
      </c>
      <c r="C22" s="253">
        <f>SUM(C14:C20)</f>
        <v>-35705442.239999995</v>
      </c>
      <c r="D22" s="61" t="s">
        <v>222</v>
      </c>
      <c r="E22" s="264">
        <f t="shared" si="1"/>
        <v>13</v>
      </c>
    </row>
    <row r="23" spans="1:5" ht="15.5" x14ac:dyDescent="0.35">
      <c r="A23" s="263">
        <f t="shared" si="0"/>
        <v>14</v>
      </c>
      <c r="B23" s="18"/>
      <c r="C23" s="240"/>
      <c r="D23" s="61"/>
      <c r="E23" s="264">
        <f t="shared" si="1"/>
        <v>14</v>
      </c>
    </row>
    <row r="24" spans="1:5" ht="15.5" x14ac:dyDescent="0.35">
      <c r="A24" s="263">
        <f t="shared" si="0"/>
        <v>15</v>
      </c>
      <c r="B24" s="11" t="s">
        <v>187</v>
      </c>
      <c r="C24" s="255">
        <f>C10+C22</f>
        <v>-48905083.347211227</v>
      </c>
      <c r="D24" s="61" t="str">
        <f>'Stmnt BK1 - TRBAA'!D24</f>
        <v>Line 1 + Line 13</v>
      </c>
      <c r="E24" s="264">
        <f t="shared" si="1"/>
        <v>15</v>
      </c>
    </row>
    <row r="25" spans="1:5" ht="15.5" x14ac:dyDescent="0.35">
      <c r="A25" s="263">
        <f t="shared" si="0"/>
        <v>16</v>
      </c>
      <c r="B25" s="11"/>
      <c r="C25" s="445"/>
      <c r="D25" s="62"/>
      <c r="E25" s="264">
        <f t="shared" si="1"/>
        <v>16</v>
      </c>
    </row>
    <row r="26" spans="1:5" ht="15.5" x14ac:dyDescent="0.35">
      <c r="A26" s="263">
        <f t="shared" si="0"/>
        <v>17</v>
      </c>
      <c r="B26" s="11" t="s">
        <v>501</v>
      </c>
      <c r="C26" s="239">
        <f>ROUND(C24*0.010207,0)</f>
        <v>-499174</v>
      </c>
      <c r="D26" s="61" t="str">
        <f>'Stmnt BK1 - TRBAA'!D26</f>
        <v>Line 15 x 1.0207%</v>
      </c>
      <c r="E26" s="264">
        <f t="shared" si="1"/>
        <v>17</v>
      </c>
    </row>
    <row r="27" spans="1:5" ht="15.5" x14ac:dyDescent="0.35">
      <c r="A27" s="263">
        <f t="shared" si="0"/>
        <v>18</v>
      </c>
      <c r="B27" s="11"/>
      <c r="C27" s="445"/>
      <c r="D27" s="62"/>
      <c r="E27" s="264">
        <f t="shared" si="1"/>
        <v>18</v>
      </c>
    </row>
    <row r="28" spans="1:5" ht="15.5" x14ac:dyDescent="0.35">
      <c r="A28" s="263">
        <f t="shared" si="0"/>
        <v>19</v>
      </c>
      <c r="B28" s="11" t="str">
        <f>'Stmnt BK1 - TRBAA'!B28</f>
        <v xml:space="preserve">   Uncollectibles @ 0.205%</v>
      </c>
      <c r="C28" s="253">
        <f>ROUND(C24*0.00205,0)</f>
        <v>-100255</v>
      </c>
      <c r="D28" s="61" t="str">
        <f>'Stmnt BK1 - TRBAA'!D28</f>
        <v>Line 15 x 0.205%</v>
      </c>
      <c r="E28" s="264">
        <f t="shared" si="1"/>
        <v>19</v>
      </c>
    </row>
    <row r="29" spans="1:5" ht="15.5" x14ac:dyDescent="0.35">
      <c r="A29" s="263">
        <f t="shared" si="0"/>
        <v>20</v>
      </c>
      <c r="B29" s="11"/>
      <c r="C29" s="239"/>
      <c r="D29" s="62"/>
      <c r="E29" s="264">
        <f t="shared" si="1"/>
        <v>20</v>
      </c>
    </row>
    <row r="30" spans="1:5" ht="15.5" x14ac:dyDescent="0.35">
      <c r="A30" s="187">
        <f t="shared" si="0"/>
        <v>21</v>
      </c>
      <c r="B30" s="11" t="s">
        <v>189</v>
      </c>
      <c r="C30" s="253">
        <f>SUM(C26:C28)</f>
        <v>-599429</v>
      </c>
      <c r="D30" s="61" t="s">
        <v>190</v>
      </c>
      <c r="E30" s="264">
        <f t="shared" si="1"/>
        <v>21</v>
      </c>
    </row>
    <row r="31" spans="1:5" ht="15.5" x14ac:dyDescent="0.35">
      <c r="A31" s="263">
        <f t="shared" si="0"/>
        <v>22</v>
      </c>
      <c r="B31" s="11"/>
      <c r="C31" s="445"/>
      <c r="D31" s="62"/>
      <c r="E31" s="264">
        <f t="shared" si="1"/>
        <v>22</v>
      </c>
    </row>
    <row r="32" spans="1:5" ht="15.5" x14ac:dyDescent="0.35">
      <c r="A32" s="263">
        <f t="shared" si="0"/>
        <v>23</v>
      </c>
      <c r="B32" s="11" t="s">
        <v>191</v>
      </c>
      <c r="C32" s="240">
        <f>SUM(C24:C29)</f>
        <v>-49504512.347211227</v>
      </c>
      <c r="D32" s="61" t="s">
        <v>192</v>
      </c>
      <c r="E32" s="264">
        <f t="shared" si="1"/>
        <v>23</v>
      </c>
    </row>
    <row r="33" spans="1:5" ht="15.5" x14ac:dyDescent="0.35">
      <c r="A33" s="263">
        <f t="shared" si="0"/>
        <v>24</v>
      </c>
      <c r="B33" s="11"/>
      <c r="C33" s="445"/>
      <c r="D33" s="62"/>
      <c r="E33" s="264">
        <f t="shared" si="1"/>
        <v>24</v>
      </c>
    </row>
    <row r="34" spans="1:5" ht="15.5" x14ac:dyDescent="0.35">
      <c r="A34" s="263">
        <f t="shared" si="0"/>
        <v>25</v>
      </c>
      <c r="B34" s="11" t="s">
        <v>505</v>
      </c>
      <c r="C34" s="446">
        <f>'Stmnt BD - Recorded KWH'!$E26</f>
        <v>17126561302</v>
      </c>
      <c r="D34" s="61" t="s">
        <v>223</v>
      </c>
      <c r="E34" s="264">
        <f t="shared" si="1"/>
        <v>25</v>
      </c>
    </row>
    <row r="35" spans="1:5" ht="15.5" x14ac:dyDescent="0.35">
      <c r="A35" s="263">
        <f t="shared" si="0"/>
        <v>26</v>
      </c>
      <c r="B35" s="17"/>
      <c r="C35" s="444"/>
      <c r="D35" s="63"/>
      <c r="E35" s="264">
        <f t="shared" si="1"/>
        <v>26</v>
      </c>
    </row>
    <row r="36" spans="1:5" ht="16" thickBot="1" x14ac:dyDescent="0.4">
      <c r="A36" s="263">
        <f t="shared" si="0"/>
        <v>27</v>
      </c>
      <c r="B36" s="11" t="s">
        <v>224</v>
      </c>
      <c r="C36" s="480">
        <f>ROUND(C32/C34,5)</f>
        <v>-2.8900000000000002E-3</v>
      </c>
      <c r="D36" s="61" t="s">
        <v>225</v>
      </c>
      <c r="E36" s="264">
        <f t="shared" si="1"/>
        <v>27</v>
      </c>
    </row>
    <row r="37" spans="1:5" ht="16.5" thickTop="1" thickBot="1" x14ac:dyDescent="0.4">
      <c r="A37" s="576"/>
      <c r="B37" s="81"/>
      <c r="C37" s="583"/>
      <c r="D37" s="577"/>
      <c r="E37" s="407"/>
    </row>
    <row r="38" spans="1:5" ht="15.5" x14ac:dyDescent="0.35">
      <c r="A38" s="22"/>
      <c r="B38" s="22"/>
      <c r="C38" s="22"/>
      <c r="D38" s="37"/>
      <c r="E38" s="22"/>
    </row>
    <row r="39" spans="1:5" ht="15.5" x14ac:dyDescent="0.35">
      <c r="A39" s="22"/>
      <c r="B39" s="68"/>
    </row>
    <row r="40" spans="1:5" ht="18.5" x14ac:dyDescent="0.35">
      <c r="A40" s="69"/>
      <c r="B40" s="50"/>
    </row>
    <row r="41" spans="1:5" ht="18.5" x14ac:dyDescent="0.35">
      <c r="A41" s="69"/>
      <c r="B41" s="50"/>
    </row>
    <row r="42" spans="1:5" ht="18.5" x14ac:dyDescent="0.35">
      <c r="A42" s="69"/>
      <c r="B42" s="50"/>
    </row>
    <row r="43" spans="1:5" ht="18.5" x14ac:dyDescent="0.35">
      <c r="A43" s="69"/>
      <c r="B43" s="50"/>
    </row>
    <row r="44" spans="1:5" ht="15.5" x14ac:dyDescent="0.35">
      <c r="A44" s="36"/>
      <c r="B44" s="50"/>
    </row>
    <row r="45" spans="1:5" ht="15.5" x14ac:dyDescent="0.35">
      <c r="B45" s="50"/>
    </row>
    <row r="46" spans="1:5" ht="18.5" x14ac:dyDescent="0.35">
      <c r="A46" s="69"/>
    </row>
  </sheetData>
  <phoneticPr fontId="15" type="noConversion"/>
  <printOptions horizontalCentered="1"/>
  <pageMargins left="0.25" right="0.25" top="0.5" bottom="0.75" header="0.25" footer="0.25"/>
  <pageSetup scale="93" orientation="landscape" r:id="rId1"/>
  <headerFooter alignWithMargins="0">
    <oddFooter>&amp;L&amp;"Times New Roman,Regular"&amp;F&amp;C&amp;"Times New Roman,Regular"Page 1&amp;R&amp;"Times New Roman,Regular"&amp;A</oddFooter>
  </headerFooter>
  <colBreaks count="1" manualBreakCount="1">
    <brk id="5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2:I32"/>
  <sheetViews>
    <sheetView zoomScale="80" zoomScaleNormal="80" workbookViewId="0"/>
  </sheetViews>
  <sheetFormatPr defaultColWidth="8.54296875" defaultRowHeight="13" x14ac:dyDescent="0.3"/>
  <cols>
    <col min="1" max="1" width="5.54296875" style="1" customWidth="1"/>
    <col min="2" max="2" width="55.54296875" style="2" customWidth="1"/>
    <col min="3" max="5" width="20.54296875" style="1" customWidth="1"/>
    <col min="6" max="6" width="50.54296875" style="1" customWidth="1"/>
    <col min="7" max="7" width="5.54296875" style="1" customWidth="1"/>
    <col min="8" max="8" width="15.54296875" style="1" customWidth="1"/>
    <col min="9" max="9" width="15.54296875" style="179" customWidth="1"/>
    <col min="10" max="16384" width="8.54296875" style="1"/>
  </cols>
  <sheetData>
    <row r="2" spans="1:9" ht="15" x14ac:dyDescent="0.3">
      <c r="B2" s="5" t="s">
        <v>220</v>
      </c>
      <c r="C2" s="6"/>
      <c r="D2" s="6"/>
      <c r="E2" s="6"/>
      <c r="F2" s="6"/>
    </row>
    <row r="3" spans="1:9" ht="15" x14ac:dyDescent="0.3">
      <c r="B3" s="5" t="s">
        <v>1</v>
      </c>
      <c r="C3" s="6"/>
      <c r="D3" s="6"/>
      <c r="E3" s="6"/>
      <c r="F3" s="6"/>
    </row>
    <row r="4" spans="1:9" ht="15" x14ac:dyDescent="0.3">
      <c r="B4" s="5" t="str">
        <f>'Stmnt BK1 - TRBAA'!B4</f>
        <v>2024 - TRBAA Rate Filing</v>
      </c>
      <c r="C4" s="6"/>
      <c r="D4" s="6"/>
      <c r="E4" s="6"/>
      <c r="F4" s="6"/>
    </row>
    <row r="5" spans="1:9" ht="15" x14ac:dyDescent="0.3">
      <c r="B5" s="5" t="s">
        <v>528</v>
      </c>
      <c r="C5" s="6"/>
      <c r="D5" s="6"/>
      <c r="E5" s="6"/>
      <c r="F5" s="6"/>
    </row>
    <row r="6" spans="1:9" ht="15" x14ac:dyDescent="0.3">
      <c r="B6" s="5" t="s">
        <v>226</v>
      </c>
      <c r="C6" s="6"/>
      <c r="D6" s="6"/>
      <c r="E6" s="6"/>
      <c r="F6" s="6"/>
    </row>
    <row r="7" spans="1:9" ht="15.5" thickBot="1" x14ac:dyDescent="0.35">
      <c r="B7" s="5"/>
      <c r="C7" s="6"/>
      <c r="D7" s="6"/>
      <c r="E7" s="6"/>
      <c r="F7" s="6"/>
    </row>
    <row r="8" spans="1:9" ht="15" x14ac:dyDescent="0.3">
      <c r="A8" s="287"/>
      <c r="B8" s="589"/>
      <c r="C8" s="590" t="s">
        <v>3</v>
      </c>
      <c r="D8" s="591" t="s">
        <v>4</v>
      </c>
      <c r="E8" s="591" t="s">
        <v>195</v>
      </c>
      <c r="F8" s="592"/>
      <c r="G8" s="548"/>
    </row>
    <row r="9" spans="1:9" ht="15" x14ac:dyDescent="0.3">
      <c r="A9" s="551" t="s">
        <v>8</v>
      </c>
      <c r="B9" s="74"/>
      <c r="C9" s="585" t="s">
        <v>18</v>
      </c>
      <c r="D9" s="586" t="s">
        <v>18</v>
      </c>
      <c r="E9" s="586" t="s">
        <v>227</v>
      </c>
      <c r="F9" s="579"/>
      <c r="G9" s="552" t="s">
        <v>8</v>
      </c>
    </row>
    <row r="10" spans="1:9" ht="15" x14ac:dyDescent="0.3">
      <c r="A10" s="551" t="s">
        <v>11</v>
      </c>
      <c r="B10" s="75"/>
      <c r="C10" s="579" t="s">
        <v>228</v>
      </c>
      <c r="D10" s="587" t="s">
        <v>229</v>
      </c>
      <c r="E10" s="587" t="s">
        <v>230</v>
      </c>
      <c r="F10" s="579"/>
      <c r="G10" s="552" t="s">
        <v>11</v>
      </c>
    </row>
    <row r="11" spans="1:9" ht="15" x14ac:dyDescent="0.3">
      <c r="A11" s="595"/>
      <c r="B11" s="545" t="s">
        <v>173</v>
      </c>
      <c r="C11" s="580" t="s">
        <v>230</v>
      </c>
      <c r="D11" s="588" t="s">
        <v>230</v>
      </c>
      <c r="E11" s="588"/>
      <c r="F11" s="580" t="s">
        <v>231</v>
      </c>
      <c r="G11" s="596"/>
    </row>
    <row r="12" spans="1:9" ht="15.5" x14ac:dyDescent="0.35">
      <c r="A12" s="352"/>
      <c r="B12" s="8"/>
      <c r="C12" s="91"/>
      <c r="D12" s="17"/>
      <c r="E12" s="17"/>
      <c r="F12" s="60"/>
      <c r="G12" s="353"/>
    </row>
    <row r="13" spans="1:9" s="361" customFormat="1" ht="18" x14ac:dyDescent="0.25">
      <c r="A13" s="356">
        <v>1</v>
      </c>
      <c r="B13" s="481" t="s">
        <v>202</v>
      </c>
      <c r="C13" s="447">
        <f>'Stmnt BK2 - TRBAA'!C13</f>
        <v>493123808.49173576</v>
      </c>
      <c r="D13" s="378">
        <f>'Stmnt BK2 - TRBAA'!D13</f>
        <v>519226766.95865637</v>
      </c>
      <c r="E13" s="378">
        <f>C13+D13</f>
        <v>1012350575.4503921</v>
      </c>
      <c r="F13" s="379" t="s">
        <v>203</v>
      </c>
      <c r="G13" s="360">
        <v>1</v>
      </c>
      <c r="I13" s="972"/>
    </row>
    <row r="14" spans="1:9" ht="15.5" x14ac:dyDescent="0.35">
      <c r="A14" s="263">
        <f>A13+1</f>
        <v>2</v>
      </c>
      <c r="B14" s="11"/>
      <c r="C14" s="443"/>
      <c r="D14" s="16"/>
      <c r="E14" s="16"/>
      <c r="F14" s="71"/>
      <c r="G14" s="264">
        <f>G13+1</f>
        <v>2</v>
      </c>
    </row>
    <row r="15" spans="1:9" ht="18.5" x14ac:dyDescent="0.35">
      <c r="A15" s="263">
        <f t="shared" ref="A15:A23" si="0">A14+1</f>
        <v>3</v>
      </c>
      <c r="B15" s="11" t="s">
        <v>232</v>
      </c>
      <c r="C15" s="890">
        <f>'Stmnt BK2 - TRBAA'!C33</f>
        <v>-50218996.270262718</v>
      </c>
      <c r="D15" s="891">
        <f>'Stmnt BK2 - TRBAA'!D33</f>
        <v>814738.84563203598</v>
      </c>
      <c r="E15" s="891">
        <f>C15+D15</f>
        <v>-49404257.424630679</v>
      </c>
      <c r="F15" s="194" t="s">
        <v>233</v>
      </c>
      <c r="G15" s="264">
        <f t="shared" ref="G15:G23" si="1">G14+1</f>
        <v>3</v>
      </c>
    </row>
    <row r="16" spans="1:9" ht="15.5" x14ac:dyDescent="0.35">
      <c r="A16" s="263">
        <f t="shared" si="0"/>
        <v>4</v>
      </c>
      <c r="B16" s="11"/>
      <c r="C16" s="890"/>
      <c r="D16" s="891"/>
      <c r="E16" s="891"/>
      <c r="F16" s="71"/>
      <c r="G16" s="264">
        <f t="shared" si="1"/>
        <v>4</v>
      </c>
    </row>
    <row r="17" spans="1:7" ht="18.5" x14ac:dyDescent="0.35">
      <c r="A17" s="263">
        <f t="shared" si="0"/>
        <v>5</v>
      </c>
      <c r="B17" s="11" t="s">
        <v>234</v>
      </c>
      <c r="C17" s="892">
        <f>'Stmnt BK2 - TRBAA'!C35</f>
        <v>-7768634</v>
      </c>
      <c r="D17" s="893">
        <f>'Stmnt BK2 - TRBAA'!D35</f>
        <v>-8179858</v>
      </c>
      <c r="E17" s="893">
        <f>C17+D17</f>
        <v>-15948492</v>
      </c>
      <c r="F17" s="194" t="s">
        <v>235</v>
      </c>
      <c r="G17" s="264">
        <f t="shared" si="1"/>
        <v>5</v>
      </c>
    </row>
    <row r="18" spans="1:7" ht="15.5" x14ac:dyDescent="0.35">
      <c r="A18" s="263">
        <f t="shared" si="0"/>
        <v>6</v>
      </c>
      <c r="B18" s="17"/>
      <c r="C18" s="443"/>
      <c r="D18" s="16"/>
      <c r="E18" s="16"/>
      <c r="F18" s="86"/>
      <c r="G18" s="264">
        <f t="shared" si="1"/>
        <v>6</v>
      </c>
    </row>
    <row r="19" spans="1:7" ht="15.5" x14ac:dyDescent="0.35">
      <c r="A19" s="263">
        <f t="shared" si="0"/>
        <v>7</v>
      </c>
      <c r="B19" s="11" t="s">
        <v>236</v>
      </c>
      <c r="C19" s="240">
        <f>C13+C15+C17</f>
        <v>435136178.22147304</v>
      </c>
      <c r="D19" s="19">
        <f>D13+D15+D17</f>
        <v>511861647.80428839</v>
      </c>
      <c r="E19" s="19">
        <f>E13+E15+E17</f>
        <v>946997826.02576149</v>
      </c>
      <c r="F19" s="70" t="s">
        <v>237</v>
      </c>
      <c r="G19" s="264">
        <f t="shared" si="1"/>
        <v>7</v>
      </c>
    </row>
    <row r="20" spans="1:7" ht="15.5" x14ac:dyDescent="0.35">
      <c r="A20" s="263">
        <f t="shared" si="0"/>
        <v>8</v>
      </c>
      <c r="B20" s="11"/>
      <c r="C20" s="240"/>
      <c r="D20" s="19"/>
      <c r="E20" s="19"/>
      <c r="F20" s="195"/>
      <c r="G20" s="264">
        <f t="shared" si="1"/>
        <v>8</v>
      </c>
    </row>
    <row r="21" spans="1:7" ht="15.5" x14ac:dyDescent="0.35">
      <c r="A21" s="263">
        <f t="shared" si="0"/>
        <v>9</v>
      </c>
      <c r="B21" s="11" t="s">
        <v>238</v>
      </c>
      <c r="C21" s="894">
        <f>'Stmnt BD-Forecast MWH@Transm.'!$F40</f>
        <v>19042676.387198735</v>
      </c>
      <c r="D21" s="895">
        <f>'Stmnt BD-Forecast MWH@Transm.'!$F40</f>
        <v>19042676.387198735</v>
      </c>
      <c r="E21" s="895">
        <f>'Stmnt BD-Forecast MWH@Transm.'!$F40</f>
        <v>19042676.387198735</v>
      </c>
      <c r="F21" s="157" t="s">
        <v>484</v>
      </c>
      <c r="G21" s="264">
        <f t="shared" si="1"/>
        <v>9</v>
      </c>
    </row>
    <row r="22" spans="1:7" ht="15.5" x14ac:dyDescent="0.35">
      <c r="A22" s="263">
        <f t="shared" si="0"/>
        <v>10</v>
      </c>
      <c r="B22" s="11"/>
      <c r="C22" s="445"/>
      <c r="D22" s="15"/>
      <c r="E22" s="15"/>
      <c r="F22" s="196"/>
      <c r="G22" s="264">
        <f t="shared" si="1"/>
        <v>10</v>
      </c>
    </row>
    <row r="23" spans="1:7" ht="16" thickBot="1" x14ac:dyDescent="0.4">
      <c r="A23" s="263">
        <f t="shared" si="0"/>
        <v>11</v>
      </c>
      <c r="B23" s="11" t="s">
        <v>239</v>
      </c>
      <c r="C23" s="448">
        <f>C19/C21</f>
        <v>22.850578845838569</v>
      </c>
      <c r="D23" s="35">
        <f>D19/D21</f>
        <v>26.879711517251991</v>
      </c>
      <c r="E23" s="35">
        <f>E19/E21</f>
        <v>49.73029036309056</v>
      </c>
      <c r="F23" s="70" t="s">
        <v>240</v>
      </c>
      <c r="G23" s="264">
        <f t="shared" si="1"/>
        <v>11</v>
      </c>
    </row>
    <row r="24" spans="1:7" ht="16.5" thickTop="1" thickBot="1" x14ac:dyDescent="0.4">
      <c r="A24" s="576"/>
      <c r="B24" s="81"/>
      <c r="C24" s="556"/>
      <c r="D24" s="81"/>
      <c r="E24" s="81"/>
      <c r="F24" s="556"/>
      <c r="G24" s="407"/>
    </row>
    <row r="25" spans="1:7" x14ac:dyDescent="0.3">
      <c r="B25" s="1"/>
    </row>
    <row r="26" spans="1:7" ht="15.5" x14ac:dyDescent="0.35">
      <c r="A26" s="22"/>
      <c r="B26" s="156" t="s">
        <v>241</v>
      </c>
      <c r="C26" s="22"/>
      <c r="D26" s="22"/>
      <c r="E26" s="22"/>
      <c r="F26" s="22"/>
      <c r="G26" s="22"/>
    </row>
    <row r="27" spans="1:7" ht="18.5" x14ac:dyDescent="0.35">
      <c r="A27" s="83" t="s">
        <v>125</v>
      </c>
      <c r="B27" s="50" t="s">
        <v>527</v>
      </c>
      <c r="C27" s="22"/>
      <c r="D27" s="22"/>
      <c r="E27" s="22"/>
      <c r="F27" s="22"/>
      <c r="G27" s="22"/>
    </row>
    <row r="28" spans="1:7" ht="18.5" x14ac:dyDescent="0.35">
      <c r="A28" s="83">
        <v>2</v>
      </c>
      <c r="B28" s="50" t="s">
        <v>242</v>
      </c>
    </row>
    <row r="29" spans="1:7" ht="18.5" x14ac:dyDescent="0.35">
      <c r="A29" s="83">
        <v>3</v>
      </c>
      <c r="B29" s="50" t="s">
        <v>532</v>
      </c>
      <c r="C29" s="22"/>
      <c r="D29" s="22"/>
      <c r="E29" s="22"/>
      <c r="F29" s="22"/>
      <c r="G29" s="22"/>
    </row>
    <row r="30" spans="1:7" ht="15.5" x14ac:dyDescent="0.35">
      <c r="B30" s="50"/>
      <c r="C30" s="22"/>
      <c r="D30" s="22"/>
      <c r="E30" s="22"/>
      <c r="F30" s="22"/>
      <c r="G30" s="22"/>
    </row>
    <row r="31" spans="1:7" ht="15.5" x14ac:dyDescent="0.35">
      <c r="B31" s="50"/>
    </row>
    <row r="32" spans="1:7" ht="15.5" x14ac:dyDescent="0.35">
      <c r="B32" s="50"/>
    </row>
  </sheetData>
  <phoneticPr fontId="0" type="noConversion"/>
  <printOptions horizontalCentered="1"/>
  <pageMargins left="0.25" right="0.25" top="0.5" bottom="0.5" header="0.25" footer="0.25"/>
  <pageSetup scale="76" orientation="landscape" r:id="rId1"/>
  <headerFooter scaleWithDoc="0" alignWithMargins="0">
    <oddFooter>&amp;L&amp;"Times New Roman,Regular"&amp;11&amp;F&amp;C&amp;"Times New Roman,Regular"&amp;11Page 1&amp;R&amp;"Times New Roman,Regular"&amp;11&amp;A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R49"/>
  <sheetViews>
    <sheetView zoomScale="80" zoomScaleNormal="80" workbookViewId="0"/>
  </sheetViews>
  <sheetFormatPr defaultColWidth="9.453125" defaultRowHeight="17.5" x14ac:dyDescent="0.35"/>
  <cols>
    <col min="1" max="1" width="5.54296875" style="180" customWidth="1"/>
    <col min="2" max="2" width="53.54296875" style="180" bestFit="1" customWidth="1"/>
    <col min="3" max="14" width="15.54296875" style="180" customWidth="1"/>
    <col min="15" max="15" width="18.453125" style="180" bestFit="1" customWidth="1"/>
    <col min="16" max="16" width="5.54296875" style="180" customWidth="1"/>
    <col min="17" max="17" width="3.81640625" style="180" bestFit="1" customWidth="1"/>
    <col min="18" max="18" width="5.54296875" style="180" bestFit="1" customWidth="1"/>
    <col min="19" max="16384" width="9.453125" style="180"/>
  </cols>
  <sheetData>
    <row r="1" spans="1:17" ht="18" thickBot="1" x14ac:dyDescent="0.4"/>
    <row r="2" spans="1:17" ht="25" x14ac:dyDescent="0.5">
      <c r="A2" s="597" t="s">
        <v>8</v>
      </c>
      <c r="B2" s="979" t="s">
        <v>243</v>
      </c>
      <c r="C2" s="980"/>
      <c r="D2" s="980"/>
      <c r="E2" s="980"/>
      <c r="F2" s="980"/>
      <c r="G2" s="980"/>
      <c r="H2" s="980"/>
      <c r="I2" s="980"/>
      <c r="J2" s="980"/>
      <c r="K2" s="980"/>
      <c r="L2" s="980"/>
      <c r="M2" s="980"/>
      <c r="N2" s="980"/>
      <c r="O2" s="981"/>
      <c r="P2" s="597" t="s">
        <v>8</v>
      </c>
    </row>
    <row r="3" spans="1:17" ht="25.5" thickBot="1" x14ac:dyDescent="0.55000000000000004">
      <c r="A3" s="181" t="s">
        <v>11</v>
      </c>
      <c r="B3" s="982" t="s">
        <v>490</v>
      </c>
      <c r="C3" s="983"/>
      <c r="D3" s="983"/>
      <c r="E3" s="983"/>
      <c r="F3" s="983"/>
      <c r="G3" s="983"/>
      <c r="H3" s="983"/>
      <c r="I3" s="983"/>
      <c r="J3" s="983"/>
      <c r="K3" s="983"/>
      <c r="L3" s="983"/>
      <c r="M3" s="983"/>
      <c r="N3" s="983"/>
      <c r="O3" s="984"/>
      <c r="P3" s="181" t="s">
        <v>11</v>
      </c>
    </row>
    <row r="4" spans="1:17" x14ac:dyDescent="0.35">
      <c r="A4" s="120">
        <v>1</v>
      </c>
      <c r="B4" s="182" t="s">
        <v>244</v>
      </c>
      <c r="C4" s="821"/>
      <c r="D4" s="183"/>
      <c r="E4" s="183"/>
      <c r="F4" s="602"/>
      <c r="G4" s="183"/>
      <c r="H4" s="183"/>
      <c r="I4" s="183"/>
      <c r="J4" s="183"/>
      <c r="K4" s="183"/>
      <c r="L4" s="183"/>
      <c r="M4" s="183"/>
      <c r="N4" s="183"/>
      <c r="O4" s="122"/>
      <c r="P4" s="120">
        <v>1</v>
      </c>
    </row>
    <row r="5" spans="1:17" x14ac:dyDescent="0.35">
      <c r="A5" s="120">
        <f>A4+1</f>
        <v>2</v>
      </c>
      <c r="B5" s="184" t="s">
        <v>245</v>
      </c>
      <c r="C5" s="216">
        <v>44835</v>
      </c>
      <c r="D5" s="217">
        <v>44866</v>
      </c>
      <c r="E5" s="217">
        <v>44896</v>
      </c>
      <c r="F5" s="217">
        <v>44927</v>
      </c>
      <c r="G5" s="217">
        <v>44958</v>
      </c>
      <c r="H5" s="217">
        <v>44986</v>
      </c>
      <c r="I5" s="217">
        <v>45017</v>
      </c>
      <c r="J5" s="217">
        <v>45047</v>
      </c>
      <c r="K5" s="217">
        <v>45078</v>
      </c>
      <c r="L5" s="217">
        <v>45108</v>
      </c>
      <c r="M5" s="217">
        <v>45139</v>
      </c>
      <c r="N5" s="217">
        <v>45170</v>
      </c>
      <c r="O5" s="185" t="s">
        <v>18</v>
      </c>
      <c r="P5" s="120">
        <f>P4+1</f>
        <v>2</v>
      </c>
    </row>
    <row r="6" spans="1:17" x14ac:dyDescent="0.35">
      <c r="A6" s="120">
        <f>A5+1</f>
        <v>3</v>
      </c>
      <c r="B6" s="149" t="s">
        <v>246</v>
      </c>
      <c r="C6" s="117">
        <v>564290.31900000002</v>
      </c>
      <c r="D6" s="93">
        <v>436534.77299999999</v>
      </c>
      <c r="E6" s="93">
        <v>489201.40100000001</v>
      </c>
      <c r="F6" s="197">
        <v>589151.78599999996</v>
      </c>
      <c r="G6" s="197">
        <v>449429.092</v>
      </c>
      <c r="H6" s="197">
        <v>512385.33600000001</v>
      </c>
      <c r="I6" s="197">
        <v>333549.82199999999</v>
      </c>
      <c r="J6" s="197">
        <v>323562.35700000002</v>
      </c>
      <c r="K6" s="197">
        <v>368545.92700000003</v>
      </c>
      <c r="L6" s="197">
        <v>330249.05300000001</v>
      </c>
      <c r="M6" s="197">
        <v>600776.674</v>
      </c>
      <c r="N6" s="197">
        <v>545941.70900000003</v>
      </c>
      <c r="O6" s="199">
        <f>SUM(C6:N6)</f>
        <v>5543618.2489999998</v>
      </c>
      <c r="P6" s="120">
        <f>P5+1</f>
        <v>3</v>
      </c>
    </row>
    <row r="7" spans="1:17" x14ac:dyDescent="0.35">
      <c r="A7" s="120">
        <f t="shared" ref="A7:A23" si="0">A6+1</f>
        <v>4</v>
      </c>
      <c r="B7" s="149" t="s">
        <v>247</v>
      </c>
      <c r="C7" s="117">
        <v>218980.06099999999</v>
      </c>
      <c r="D7" s="93">
        <v>188792.94899999999</v>
      </c>
      <c r="E7" s="93">
        <v>189221.40900000001</v>
      </c>
      <c r="F7" s="197">
        <v>189482.144</v>
      </c>
      <c r="G7" s="197">
        <v>173419.791</v>
      </c>
      <c r="H7" s="197">
        <v>208487.45</v>
      </c>
      <c r="I7" s="197">
        <v>167964.54399999999</v>
      </c>
      <c r="J7" s="197">
        <v>186147.981</v>
      </c>
      <c r="K7" s="197">
        <v>199186.614</v>
      </c>
      <c r="L7" s="197">
        <v>192630.139</v>
      </c>
      <c r="M7" s="197">
        <v>250032.00099999999</v>
      </c>
      <c r="N7" s="197">
        <v>222304.27900000001</v>
      </c>
      <c r="O7" s="199">
        <f>SUM(C7:N7)</f>
        <v>2386649.3620000002</v>
      </c>
      <c r="P7" s="120">
        <f t="shared" ref="P7:P23" si="1">P6+1</f>
        <v>4</v>
      </c>
    </row>
    <row r="8" spans="1:17" x14ac:dyDescent="0.35">
      <c r="A8" s="120">
        <f t="shared" si="0"/>
        <v>5</v>
      </c>
      <c r="B8" s="149" t="s">
        <v>248</v>
      </c>
      <c r="C8" s="913">
        <v>873155.18900000001</v>
      </c>
      <c r="D8" s="914">
        <v>742357.56199999992</v>
      </c>
      <c r="E8" s="914">
        <v>659648.88400000008</v>
      </c>
      <c r="F8" s="914">
        <v>796558.80999999994</v>
      </c>
      <c r="G8" s="914">
        <v>613788.89800000004</v>
      </c>
      <c r="H8" s="914">
        <v>732101.54399999999</v>
      </c>
      <c r="I8" s="914">
        <v>632705.39999999991</v>
      </c>
      <c r="J8" s="914">
        <v>684031.29700000002</v>
      </c>
      <c r="K8" s="914">
        <v>749327.19299999997</v>
      </c>
      <c r="L8" s="914">
        <v>679529.49700000009</v>
      </c>
      <c r="M8" s="914">
        <v>870279.14300000004</v>
      </c>
      <c r="N8" s="914">
        <v>760841.16</v>
      </c>
      <c r="O8" s="199">
        <f>SUM(C8:N8)</f>
        <v>8794324.5770000014</v>
      </c>
      <c r="P8" s="120">
        <f t="shared" si="1"/>
        <v>5</v>
      </c>
    </row>
    <row r="9" spans="1:17" x14ac:dyDescent="0.35">
      <c r="A9" s="120">
        <f t="shared" si="0"/>
        <v>6</v>
      </c>
      <c r="B9" s="202" t="s">
        <v>477</v>
      </c>
      <c r="C9" s="913">
        <v>328.24799999999999</v>
      </c>
      <c r="D9" s="914">
        <v>280.41000000000003</v>
      </c>
      <c r="E9" s="914">
        <v>632.89200000000005</v>
      </c>
      <c r="F9" s="914">
        <v>595.71600000000001</v>
      </c>
      <c r="G9" s="914">
        <v>724.428</v>
      </c>
      <c r="H9" s="914">
        <v>727.404</v>
      </c>
      <c r="I9" s="914">
        <v>931.38</v>
      </c>
      <c r="J9" s="914">
        <v>258.38400000000001</v>
      </c>
      <c r="K9" s="914">
        <v>110.628</v>
      </c>
      <c r="L9" s="914">
        <v>125.904</v>
      </c>
      <c r="M9" s="914">
        <v>48</v>
      </c>
      <c r="N9" s="914">
        <v>40.380000000000003</v>
      </c>
      <c r="O9" s="199">
        <f t="shared" ref="O9:O10" si="2">SUM(C9:N9)</f>
        <v>4803.7740000000003</v>
      </c>
      <c r="P9" s="120">
        <f t="shared" si="1"/>
        <v>6</v>
      </c>
    </row>
    <row r="10" spans="1:17" x14ac:dyDescent="0.35">
      <c r="A10" s="120">
        <f t="shared" si="0"/>
        <v>7</v>
      </c>
      <c r="B10" s="202" t="s">
        <v>249</v>
      </c>
      <c r="C10" s="913">
        <v>14714.400000000001</v>
      </c>
      <c r="D10" s="914">
        <v>23202.469999999998</v>
      </c>
      <c r="E10" s="914">
        <v>24012.131999999998</v>
      </c>
      <c r="F10" s="914">
        <v>8083.125</v>
      </c>
      <c r="G10" s="914">
        <v>6942.1459999999988</v>
      </c>
      <c r="H10" s="914">
        <v>6152.7460000000001</v>
      </c>
      <c r="I10" s="914">
        <v>5508.9980000000005</v>
      </c>
      <c r="J10" s="914">
        <v>8806.005000000001</v>
      </c>
      <c r="K10" s="914">
        <v>12034.980000000003</v>
      </c>
      <c r="L10" s="914">
        <v>11712.666000000001</v>
      </c>
      <c r="M10" s="914">
        <v>15220.636</v>
      </c>
      <c r="N10" s="914">
        <v>13661.597</v>
      </c>
      <c r="O10" s="199">
        <f t="shared" si="2"/>
        <v>150051.90100000001</v>
      </c>
      <c r="P10" s="120">
        <f t="shared" si="1"/>
        <v>7</v>
      </c>
    </row>
    <row r="11" spans="1:17" x14ac:dyDescent="0.35">
      <c r="A11" s="120">
        <f t="shared" si="0"/>
        <v>8</v>
      </c>
      <c r="B11" s="202" t="s">
        <v>105</v>
      </c>
      <c r="C11" s="913">
        <v>21708.86</v>
      </c>
      <c r="D11" s="914">
        <v>6520.9170000000004</v>
      </c>
      <c r="E11" s="914">
        <v>5544.3090000000002</v>
      </c>
      <c r="F11" s="914">
        <v>16558.645</v>
      </c>
      <c r="G11" s="914">
        <v>14604.025</v>
      </c>
      <c r="H11" s="914">
        <v>-2558.701</v>
      </c>
      <c r="I11" s="914">
        <v>8047.6660000000002</v>
      </c>
      <c r="J11" s="914">
        <v>5631.0219999999999</v>
      </c>
      <c r="K11" s="914">
        <v>57712.203000000001</v>
      </c>
      <c r="L11" s="914">
        <v>24259.198</v>
      </c>
      <c r="M11" s="914">
        <v>-2936.6779999999999</v>
      </c>
      <c r="N11" s="914">
        <v>14618.333000000001</v>
      </c>
      <c r="O11" s="970">
        <f t="shared" ref="O11:O13" si="3">SUM(C11:N11)</f>
        <v>169709.79900000003</v>
      </c>
      <c r="P11" s="120">
        <f t="shared" si="1"/>
        <v>8</v>
      </c>
    </row>
    <row r="12" spans="1:17" x14ac:dyDescent="0.35">
      <c r="A12" s="120">
        <f t="shared" si="0"/>
        <v>9</v>
      </c>
      <c r="B12" s="149" t="s">
        <v>250</v>
      </c>
      <c r="C12" s="913">
        <v>5612.3010000000004</v>
      </c>
      <c r="D12" s="914">
        <v>5670.424</v>
      </c>
      <c r="E12" s="914">
        <v>9186.625</v>
      </c>
      <c r="F12" s="914">
        <v>5101.0720000000001</v>
      </c>
      <c r="G12" s="914">
        <v>6106.4430000000002</v>
      </c>
      <c r="H12" s="914">
        <v>1212.6610000000001</v>
      </c>
      <c r="I12" s="914">
        <v>9752.2559999999994</v>
      </c>
      <c r="J12" s="914">
        <v>-9389.1769999999997</v>
      </c>
      <c r="K12" s="914">
        <v>25032.324000000001</v>
      </c>
      <c r="L12" s="914">
        <v>3976.4720000000002</v>
      </c>
      <c r="M12" s="914">
        <v>8806.3289999999997</v>
      </c>
      <c r="N12" s="914">
        <v>6335.91</v>
      </c>
      <c r="O12" s="199">
        <f t="shared" si="3"/>
        <v>77403.64</v>
      </c>
      <c r="P12" s="120">
        <f t="shared" si="1"/>
        <v>9</v>
      </c>
    </row>
    <row r="13" spans="1:17" x14ac:dyDescent="0.35">
      <c r="A13" s="120">
        <f t="shared" si="0"/>
        <v>10</v>
      </c>
      <c r="B13" s="203" t="s">
        <v>7</v>
      </c>
      <c r="C13" s="967">
        <v>8.8260000000000005</v>
      </c>
      <c r="D13" s="968">
        <v>8.4420000000000002</v>
      </c>
      <c r="E13" s="969">
        <v>5.2789999999999999</v>
      </c>
      <c r="F13" s="969">
        <v>5.3209999999999997</v>
      </c>
      <c r="G13" s="969">
        <v>-94.253</v>
      </c>
      <c r="H13" s="969">
        <v>105.11499999999999</v>
      </c>
      <c r="I13" s="969">
        <v>5.0129999999999999</v>
      </c>
      <c r="J13" s="969">
        <v>0</v>
      </c>
      <c r="K13" s="969">
        <v>13.89</v>
      </c>
      <c r="L13" s="969">
        <v>7.7439999999999998</v>
      </c>
      <c r="M13" s="969">
        <v>9.6129999999999995</v>
      </c>
      <c r="N13" s="969">
        <v>9.6349999999999998</v>
      </c>
      <c r="O13" s="973">
        <f t="shared" si="3"/>
        <v>84.625000000000014</v>
      </c>
      <c r="P13" s="120">
        <f t="shared" si="1"/>
        <v>10</v>
      </c>
      <c r="Q13" s="766"/>
    </row>
    <row r="14" spans="1:17" ht="18" thickBot="1" x14ac:dyDescent="0.4">
      <c r="A14" s="120">
        <f t="shared" si="0"/>
        <v>11</v>
      </c>
      <c r="B14" s="204" t="s">
        <v>251</v>
      </c>
      <c r="C14" s="205">
        <f>SUM(C6:C13)</f>
        <v>1698798.2039999999</v>
      </c>
      <c r="D14" s="210">
        <f t="shared" ref="D14:N14" si="4">SUM(D6:D13)</f>
        <v>1403367.9469999999</v>
      </c>
      <c r="E14" s="206">
        <f t="shared" si="4"/>
        <v>1377452.9310000001</v>
      </c>
      <c r="F14" s="206">
        <f t="shared" si="4"/>
        <v>1605536.6189999997</v>
      </c>
      <c r="G14" s="206">
        <f t="shared" si="4"/>
        <v>1264920.5699999998</v>
      </c>
      <c r="H14" s="206">
        <f t="shared" si="4"/>
        <v>1458613.5550000004</v>
      </c>
      <c r="I14" s="206">
        <f t="shared" si="4"/>
        <v>1158465.0789999997</v>
      </c>
      <c r="J14" s="206">
        <f t="shared" si="4"/>
        <v>1199047.8690000002</v>
      </c>
      <c r="K14" s="206">
        <f t="shared" si="4"/>
        <v>1411963.7589999998</v>
      </c>
      <c r="L14" s="206">
        <f t="shared" si="4"/>
        <v>1242490.6730000004</v>
      </c>
      <c r="M14" s="935">
        <f t="shared" si="4"/>
        <v>1742235.7179999996</v>
      </c>
      <c r="N14" s="935">
        <f t="shared" si="4"/>
        <v>1563753.003</v>
      </c>
      <c r="O14" s="207">
        <f>SUM(O6:O13)</f>
        <v>17126645.927000001</v>
      </c>
      <c r="P14" s="120">
        <f t="shared" si="1"/>
        <v>11</v>
      </c>
      <c r="Q14" s="766"/>
    </row>
    <row r="15" spans="1:17" ht="18" thickTop="1" x14ac:dyDescent="0.35">
      <c r="A15" s="120">
        <f t="shared" si="0"/>
        <v>12</v>
      </c>
      <c r="B15" s="208"/>
      <c r="C15" s="822"/>
      <c r="D15" s="201"/>
      <c r="E15" s="201"/>
      <c r="F15" s="201"/>
      <c r="G15" s="201"/>
      <c r="H15" s="201"/>
      <c r="I15" s="201"/>
      <c r="J15" s="201"/>
      <c r="K15" s="201"/>
      <c r="L15" s="201"/>
      <c r="M15" s="934"/>
      <c r="N15" s="934"/>
      <c r="O15" s="199"/>
      <c r="P15" s="120">
        <f t="shared" si="1"/>
        <v>12</v>
      </c>
    </row>
    <row r="16" spans="1:17" ht="18" thickBot="1" x14ac:dyDescent="0.4">
      <c r="A16" s="120">
        <f t="shared" si="0"/>
        <v>13</v>
      </c>
      <c r="B16" s="204" t="s">
        <v>252</v>
      </c>
      <c r="C16" s="209">
        <f>SUM(C6:C12)</f>
        <v>1698789.378</v>
      </c>
      <c r="D16" s="210">
        <f>SUM(D6:D12)</f>
        <v>1403359.5049999999</v>
      </c>
      <c r="E16" s="210">
        <f t="shared" ref="E16:O16" si="5">SUM(E6:E12)</f>
        <v>1377447.652</v>
      </c>
      <c r="F16" s="210">
        <f t="shared" si="5"/>
        <v>1605531.2979999997</v>
      </c>
      <c r="G16" s="210">
        <f t="shared" si="5"/>
        <v>1265014.8229999999</v>
      </c>
      <c r="H16" s="210">
        <f t="shared" si="5"/>
        <v>1458508.4400000004</v>
      </c>
      <c r="I16" s="210">
        <f t="shared" si="5"/>
        <v>1158460.0659999996</v>
      </c>
      <c r="J16" s="210">
        <f t="shared" si="5"/>
        <v>1199047.8690000002</v>
      </c>
      <c r="K16" s="210">
        <f t="shared" si="5"/>
        <v>1411949.8689999999</v>
      </c>
      <c r="L16" s="210">
        <f t="shared" si="5"/>
        <v>1242482.9290000005</v>
      </c>
      <c r="M16" s="936">
        <f t="shared" si="5"/>
        <v>1742226.1049999997</v>
      </c>
      <c r="N16" s="936">
        <f t="shared" si="5"/>
        <v>1563743.368</v>
      </c>
      <c r="O16" s="211">
        <f t="shared" si="5"/>
        <v>17126561.302000001</v>
      </c>
      <c r="P16" s="120">
        <f t="shared" si="1"/>
        <v>13</v>
      </c>
      <c r="Q16" s="766"/>
    </row>
    <row r="17" spans="1:16" ht="18.5" thickTop="1" thickBot="1" x14ac:dyDescent="0.4">
      <c r="A17" s="120">
        <f t="shared" si="0"/>
        <v>14</v>
      </c>
      <c r="B17" s="212"/>
      <c r="C17" s="823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213"/>
      <c r="O17" s="214"/>
      <c r="P17" s="120">
        <f t="shared" si="1"/>
        <v>14</v>
      </c>
    </row>
    <row r="18" spans="1:16" x14ac:dyDescent="0.35">
      <c r="A18" s="120">
        <f t="shared" si="0"/>
        <v>15</v>
      </c>
      <c r="B18" s="215" t="s">
        <v>253</v>
      </c>
      <c r="C18" s="216">
        <f>C5</f>
        <v>44835</v>
      </c>
      <c r="D18" s="217">
        <f t="shared" ref="D18:O18" si="6">D5</f>
        <v>44866</v>
      </c>
      <c r="E18" s="217">
        <f t="shared" si="6"/>
        <v>44896</v>
      </c>
      <c r="F18" s="217">
        <f t="shared" si="6"/>
        <v>44927</v>
      </c>
      <c r="G18" s="217">
        <f t="shared" si="6"/>
        <v>44958</v>
      </c>
      <c r="H18" s="217">
        <f t="shared" si="6"/>
        <v>44986</v>
      </c>
      <c r="I18" s="217">
        <f t="shared" si="6"/>
        <v>45017</v>
      </c>
      <c r="J18" s="217">
        <f t="shared" si="6"/>
        <v>45047</v>
      </c>
      <c r="K18" s="217">
        <f t="shared" si="6"/>
        <v>45078</v>
      </c>
      <c r="L18" s="217">
        <f t="shared" si="6"/>
        <v>45108</v>
      </c>
      <c r="M18" s="217">
        <f t="shared" si="6"/>
        <v>45139</v>
      </c>
      <c r="N18" s="217">
        <f t="shared" si="6"/>
        <v>45170</v>
      </c>
      <c r="O18" s="185" t="str">
        <f t="shared" si="6"/>
        <v>Total</v>
      </c>
      <c r="P18" s="120">
        <f t="shared" si="1"/>
        <v>15</v>
      </c>
    </row>
    <row r="19" spans="1:16" x14ac:dyDescent="0.35">
      <c r="A19" s="120">
        <f t="shared" si="0"/>
        <v>16</v>
      </c>
      <c r="B19" s="218" t="s">
        <v>254</v>
      </c>
      <c r="C19" s="219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123"/>
      <c r="P19" s="120">
        <f t="shared" si="1"/>
        <v>16</v>
      </c>
    </row>
    <row r="20" spans="1:16" x14ac:dyDescent="0.35">
      <c r="A20" s="120">
        <f t="shared" si="0"/>
        <v>17</v>
      </c>
      <c r="B20" s="125" t="s">
        <v>255</v>
      </c>
      <c r="C20" s="117">
        <v>0</v>
      </c>
      <c r="D20" s="93">
        <v>0</v>
      </c>
      <c r="E20" s="93">
        <v>0</v>
      </c>
      <c r="F20" s="93">
        <v>0</v>
      </c>
      <c r="G20" s="93">
        <v>0</v>
      </c>
      <c r="H20" s="93">
        <v>0</v>
      </c>
      <c r="I20" s="93">
        <v>0</v>
      </c>
      <c r="J20" s="93">
        <v>0</v>
      </c>
      <c r="K20" s="93">
        <v>0</v>
      </c>
      <c r="L20" s="93">
        <v>0</v>
      </c>
      <c r="M20" s="93">
        <v>0</v>
      </c>
      <c r="N20" s="93">
        <v>0</v>
      </c>
      <c r="O20" s="855">
        <f>SUM(C20:N20)</f>
        <v>0</v>
      </c>
      <c r="P20" s="120">
        <f t="shared" si="1"/>
        <v>17</v>
      </c>
    </row>
    <row r="21" spans="1:16" x14ac:dyDescent="0.35">
      <c r="A21" s="120">
        <f t="shared" si="0"/>
        <v>18</v>
      </c>
      <c r="B21" s="125" t="s">
        <v>256</v>
      </c>
      <c r="C21" s="117">
        <v>873155.18900000001</v>
      </c>
      <c r="D21" s="93">
        <v>742357.56199999992</v>
      </c>
      <c r="E21" s="93">
        <v>659648.88400000008</v>
      </c>
      <c r="F21" s="93">
        <v>796558.80999999994</v>
      </c>
      <c r="G21" s="93">
        <v>613788.89800000004</v>
      </c>
      <c r="H21" s="93">
        <v>732101.54399999999</v>
      </c>
      <c r="I21" s="93">
        <v>632705.39999999991</v>
      </c>
      <c r="J21" s="93">
        <v>684031.29700000002</v>
      </c>
      <c r="K21" s="93">
        <v>749327.19299999997</v>
      </c>
      <c r="L21" s="93">
        <v>679529.49700000009</v>
      </c>
      <c r="M21" s="93">
        <v>870279.14300000004</v>
      </c>
      <c r="N21" s="93">
        <v>760841.16</v>
      </c>
      <c r="O21" s="199">
        <f>SUM(C21:N21)</f>
        <v>8794324.5770000014</v>
      </c>
      <c r="P21" s="120">
        <f t="shared" si="1"/>
        <v>18</v>
      </c>
    </row>
    <row r="22" spans="1:16" x14ac:dyDescent="0.35">
      <c r="A22" s="120">
        <f t="shared" si="0"/>
        <v>19</v>
      </c>
      <c r="B22" s="125" t="s">
        <v>257</v>
      </c>
      <c r="C22" s="117">
        <v>0</v>
      </c>
      <c r="D22" s="482">
        <v>0</v>
      </c>
      <c r="E22" s="93">
        <v>0</v>
      </c>
      <c r="F22" s="93">
        <v>0</v>
      </c>
      <c r="G22" s="93">
        <v>0</v>
      </c>
      <c r="H22" s="93">
        <v>0</v>
      </c>
      <c r="I22" s="93">
        <v>0</v>
      </c>
      <c r="J22" s="93">
        <v>0</v>
      </c>
      <c r="K22" s="93">
        <v>0</v>
      </c>
      <c r="L22" s="93">
        <v>0</v>
      </c>
      <c r="M22" s="93">
        <v>0</v>
      </c>
      <c r="N22" s="93">
        <v>0</v>
      </c>
      <c r="O22" s="930">
        <f>SUM(C22:N22)</f>
        <v>0</v>
      </c>
      <c r="P22" s="120">
        <f t="shared" si="1"/>
        <v>19</v>
      </c>
    </row>
    <row r="23" spans="1:16" ht="18" thickBot="1" x14ac:dyDescent="0.4">
      <c r="A23" s="120">
        <f t="shared" si="0"/>
        <v>20</v>
      </c>
      <c r="B23" s="120" t="s">
        <v>18</v>
      </c>
      <c r="C23" s="221">
        <f>SUM(C20:C22)</f>
        <v>873155.18900000001</v>
      </c>
      <c r="D23" s="439">
        <f t="shared" ref="D23:O23" si="7">SUM(D20:D22)</f>
        <v>742357.56199999992</v>
      </c>
      <c r="E23" s="222">
        <f t="shared" si="7"/>
        <v>659648.88400000008</v>
      </c>
      <c r="F23" s="222">
        <f t="shared" si="7"/>
        <v>796558.80999999994</v>
      </c>
      <c r="G23" s="222">
        <f t="shared" si="7"/>
        <v>613788.89800000004</v>
      </c>
      <c r="H23" s="222">
        <f t="shared" si="7"/>
        <v>732101.54399999999</v>
      </c>
      <c r="I23" s="222">
        <f t="shared" si="7"/>
        <v>632705.39999999991</v>
      </c>
      <c r="J23" s="222">
        <f t="shared" si="7"/>
        <v>684031.29700000002</v>
      </c>
      <c r="K23" s="222">
        <f t="shared" si="7"/>
        <v>749327.19299999997</v>
      </c>
      <c r="L23" s="222">
        <f t="shared" si="7"/>
        <v>679529.49700000009</v>
      </c>
      <c r="M23" s="937">
        <f t="shared" si="7"/>
        <v>870279.14300000004</v>
      </c>
      <c r="N23" s="937">
        <f t="shared" si="7"/>
        <v>760841.16</v>
      </c>
      <c r="O23" s="223">
        <f t="shared" si="7"/>
        <v>8794324.5770000014</v>
      </c>
      <c r="P23" s="120">
        <f t="shared" si="1"/>
        <v>20</v>
      </c>
    </row>
    <row r="24" spans="1:16" ht="18.5" thickTop="1" thickBot="1" x14ac:dyDescent="0.4">
      <c r="A24" s="121">
        <f>A23+1</f>
        <v>21</v>
      </c>
      <c r="B24" s="126"/>
      <c r="C24" s="212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124"/>
      <c r="P24" s="121">
        <f>P23+1</f>
        <v>21</v>
      </c>
    </row>
    <row r="26" spans="1:16" ht="18" thickBot="1" x14ac:dyDescent="0.4"/>
    <row r="27" spans="1:16" x14ac:dyDescent="0.35">
      <c r="A27" s="150" t="s">
        <v>8</v>
      </c>
      <c r="B27" s="985" t="s">
        <v>258</v>
      </c>
      <c r="C27" s="986"/>
      <c r="D27" s="986"/>
      <c r="E27" s="986"/>
      <c r="F27" s="986"/>
      <c r="G27" s="986"/>
      <c r="H27" s="986"/>
      <c r="I27" s="986"/>
      <c r="J27" s="986"/>
      <c r="K27" s="986"/>
      <c r="L27" s="986"/>
      <c r="M27" s="986"/>
      <c r="N27" s="986"/>
      <c r="O27" s="987"/>
      <c r="P27" s="150" t="s">
        <v>8</v>
      </c>
    </row>
    <row r="28" spans="1:16" ht="18" thickBot="1" x14ac:dyDescent="0.4">
      <c r="A28" s="121" t="s">
        <v>11</v>
      </c>
      <c r="B28" s="988" t="str">
        <f>B3</f>
        <v>Recorded Billing Determinants for the 12-Month Period: October 2022 - September 2023</v>
      </c>
      <c r="C28" s="989"/>
      <c r="D28" s="989"/>
      <c r="E28" s="989"/>
      <c r="F28" s="989"/>
      <c r="G28" s="989"/>
      <c r="H28" s="989"/>
      <c r="I28" s="989"/>
      <c r="J28" s="989"/>
      <c r="K28" s="989"/>
      <c r="L28" s="989"/>
      <c r="M28" s="989"/>
      <c r="N28" s="989"/>
      <c r="O28" s="990"/>
      <c r="P28" s="121" t="s">
        <v>11</v>
      </c>
    </row>
    <row r="29" spans="1:16" x14ac:dyDescent="0.35">
      <c r="A29" s="120">
        <f>A24+1</f>
        <v>22</v>
      </c>
      <c r="B29" s="182" t="s">
        <v>244</v>
      </c>
      <c r="C29" s="224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22"/>
      <c r="P29" s="120">
        <f>P24+1</f>
        <v>22</v>
      </c>
    </row>
    <row r="30" spans="1:16" x14ac:dyDescent="0.35">
      <c r="A30" s="120">
        <f>A29+1</f>
        <v>23</v>
      </c>
      <c r="B30" s="184" t="s">
        <v>259</v>
      </c>
      <c r="C30" s="216">
        <f t="shared" ref="C30:N30" si="8">C5</f>
        <v>44835</v>
      </c>
      <c r="D30" s="217">
        <f t="shared" si="8"/>
        <v>44866</v>
      </c>
      <c r="E30" s="217">
        <f t="shared" si="8"/>
        <v>44896</v>
      </c>
      <c r="F30" s="217">
        <f t="shared" si="8"/>
        <v>44927</v>
      </c>
      <c r="G30" s="217">
        <f t="shared" si="8"/>
        <v>44958</v>
      </c>
      <c r="H30" s="217">
        <f t="shared" si="8"/>
        <v>44986</v>
      </c>
      <c r="I30" s="217">
        <f t="shared" si="8"/>
        <v>45017</v>
      </c>
      <c r="J30" s="217">
        <f t="shared" si="8"/>
        <v>45047</v>
      </c>
      <c r="K30" s="217">
        <f t="shared" si="8"/>
        <v>45078</v>
      </c>
      <c r="L30" s="217">
        <f t="shared" si="8"/>
        <v>45108</v>
      </c>
      <c r="M30" s="217">
        <f t="shared" si="8"/>
        <v>45139</v>
      </c>
      <c r="N30" s="217">
        <f t="shared" si="8"/>
        <v>45170</v>
      </c>
      <c r="O30" s="185" t="s">
        <v>18</v>
      </c>
      <c r="P30" s="120">
        <f>P29+1</f>
        <v>23</v>
      </c>
    </row>
    <row r="31" spans="1:16" x14ac:dyDescent="0.35">
      <c r="A31" s="120">
        <f>A30+1</f>
        <v>24</v>
      </c>
      <c r="B31" s="149" t="s">
        <v>246</v>
      </c>
      <c r="C31" s="117">
        <f t="shared" ref="C31:N31" si="9">C6*1000</f>
        <v>564290319</v>
      </c>
      <c r="D31" s="197">
        <f t="shared" si="9"/>
        <v>436534773</v>
      </c>
      <c r="E31" s="197">
        <f t="shared" si="9"/>
        <v>489201401</v>
      </c>
      <c r="F31" s="197">
        <f t="shared" si="9"/>
        <v>589151786</v>
      </c>
      <c r="G31" s="197">
        <f t="shared" si="9"/>
        <v>449429092</v>
      </c>
      <c r="H31" s="197">
        <f t="shared" si="9"/>
        <v>512385336</v>
      </c>
      <c r="I31" s="197">
        <f t="shared" si="9"/>
        <v>333549822</v>
      </c>
      <c r="J31" s="197">
        <f t="shared" si="9"/>
        <v>323562357</v>
      </c>
      <c r="K31" s="197">
        <f t="shared" si="9"/>
        <v>368545927</v>
      </c>
      <c r="L31" s="197">
        <f t="shared" si="9"/>
        <v>330249053</v>
      </c>
      <c r="M31" s="197">
        <f t="shared" si="9"/>
        <v>600776674</v>
      </c>
      <c r="N31" s="197">
        <f t="shared" si="9"/>
        <v>545941709</v>
      </c>
      <c r="O31" s="855">
        <f>SUM(C31:N31)</f>
        <v>5543618249</v>
      </c>
      <c r="P31" s="120">
        <f>P30+1</f>
        <v>24</v>
      </c>
    </row>
    <row r="32" spans="1:16" x14ac:dyDescent="0.35">
      <c r="A32" s="120">
        <f t="shared" ref="A32:A48" si="10">A31+1</f>
        <v>25</v>
      </c>
      <c r="B32" s="149" t="s">
        <v>247</v>
      </c>
      <c r="C32" s="117">
        <f t="shared" ref="C32:N32" si="11">C7*1000</f>
        <v>218980061</v>
      </c>
      <c r="D32" s="197">
        <f t="shared" si="11"/>
        <v>188792949</v>
      </c>
      <c r="E32" s="197">
        <f t="shared" si="11"/>
        <v>189221409</v>
      </c>
      <c r="F32" s="197">
        <f t="shared" si="11"/>
        <v>189482144</v>
      </c>
      <c r="G32" s="197">
        <f t="shared" si="11"/>
        <v>173419791</v>
      </c>
      <c r="H32" s="197">
        <f t="shared" si="11"/>
        <v>208487450</v>
      </c>
      <c r="I32" s="197">
        <f t="shared" si="11"/>
        <v>167964544</v>
      </c>
      <c r="J32" s="197">
        <f t="shared" si="11"/>
        <v>186147981</v>
      </c>
      <c r="K32" s="197">
        <f t="shared" si="11"/>
        <v>199186614</v>
      </c>
      <c r="L32" s="197">
        <f t="shared" si="11"/>
        <v>192630139</v>
      </c>
      <c r="M32" s="197">
        <f t="shared" si="11"/>
        <v>250032001</v>
      </c>
      <c r="N32" s="197">
        <f t="shared" si="11"/>
        <v>222304279</v>
      </c>
      <c r="O32" s="855">
        <f>SUM(C32:N32)</f>
        <v>2386649362</v>
      </c>
      <c r="P32" s="120">
        <f t="shared" ref="P32:P48" si="12">P31+1</f>
        <v>25</v>
      </c>
    </row>
    <row r="33" spans="1:18" x14ac:dyDescent="0.35">
      <c r="A33" s="120">
        <f t="shared" si="10"/>
        <v>26</v>
      </c>
      <c r="B33" s="149" t="s">
        <v>248</v>
      </c>
      <c r="C33" s="913">
        <f>C48</f>
        <v>873155189</v>
      </c>
      <c r="D33" s="914">
        <f>D48</f>
        <v>742357561.99999988</v>
      </c>
      <c r="E33" s="914">
        <f t="shared" ref="E33:N33" si="13">E48</f>
        <v>659648884.00000012</v>
      </c>
      <c r="F33" s="914">
        <f t="shared" si="13"/>
        <v>796558809.99999988</v>
      </c>
      <c r="G33" s="914">
        <f t="shared" si="13"/>
        <v>613788898</v>
      </c>
      <c r="H33" s="914">
        <f t="shared" si="13"/>
        <v>732101544</v>
      </c>
      <c r="I33" s="914">
        <f t="shared" si="13"/>
        <v>632705399.99999988</v>
      </c>
      <c r="J33" s="914">
        <f t="shared" si="13"/>
        <v>684031297</v>
      </c>
      <c r="K33" s="914">
        <f t="shared" si="13"/>
        <v>749327193</v>
      </c>
      <c r="L33" s="914">
        <f t="shared" si="13"/>
        <v>679529497.00000012</v>
      </c>
      <c r="M33" s="914">
        <f t="shared" si="13"/>
        <v>870279143</v>
      </c>
      <c r="N33" s="914">
        <f t="shared" si="13"/>
        <v>760841160</v>
      </c>
      <c r="O33" s="855">
        <f>SUM(C33:N33)</f>
        <v>8794324577</v>
      </c>
      <c r="P33" s="120">
        <f t="shared" si="12"/>
        <v>26</v>
      </c>
    </row>
    <row r="34" spans="1:18" x14ac:dyDescent="0.35">
      <c r="A34" s="120">
        <f t="shared" si="10"/>
        <v>27</v>
      </c>
      <c r="B34" s="202" t="s">
        <v>477</v>
      </c>
      <c r="C34" s="913">
        <f>C9*1000</f>
        <v>328248</v>
      </c>
      <c r="D34" s="914">
        <f t="shared" ref="D34:N34" si="14">D9*1000</f>
        <v>280410</v>
      </c>
      <c r="E34" s="914">
        <f t="shared" si="14"/>
        <v>632892</v>
      </c>
      <c r="F34" s="914">
        <f t="shared" si="14"/>
        <v>595716</v>
      </c>
      <c r="G34" s="914">
        <f t="shared" si="14"/>
        <v>724428</v>
      </c>
      <c r="H34" s="914">
        <f t="shared" si="14"/>
        <v>727404</v>
      </c>
      <c r="I34" s="914">
        <f t="shared" si="14"/>
        <v>931380</v>
      </c>
      <c r="J34" s="914">
        <f t="shared" si="14"/>
        <v>258384</v>
      </c>
      <c r="K34" s="914">
        <f t="shared" si="14"/>
        <v>110628</v>
      </c>
      <c r="L34" s="914">
        <f t="shared" si="14"/>
        <v>125904</v>
      </c>
      <c r="M34" s="914">
        <f t="shared" si="14"/>
        <v>48000</v>
      </c>
      <c r="N34" s="914">
        <f t="shared" si="14"/>
        <v>40380</v>
      </c>
      <c r="O34" s="855">
        <f t="shared" ref="O34:O35" si="15">SUM(C34:N34)</f>
        <v>4803774</v>
      </c>
      <c r="P34" s="120">
        <f t="shared" si="12"/>
        <v>27</v>
      </c>
    </row>
    <row r="35" spans="1:18" x14ac:dyDescent="0.35">
      <c r="A35" s="120">
        <f t="shared" si="10"/>
        <v>28</v>
      </c>
      <c r="B35" s="202" t="s">
        <v>249</v>
      </c>
      <c r="C35" s="117">
        <f t="shared" ref="C35:N35" si="16">C10*1000</f>
        <v>14714400.000000002</v>
      </c>
      <c r="D35" s="197">
        <f t="shared" si="16"/>
        <v>23202469.999999996</v>
      </c>
      <c r="E35" s="197">
        <f t="shared" si="16"/>
        <v>24012131.999999996</v>
      </c>
      <c r="F35" s="197">
        <f t="shared" si="16"/>
        <v>8083125</v>
      </c>
      <c r="G35" s="197">
        <f t="shared" si="16"/>
        <v>6942145.9999999991</v>
      </c>
      <c r="H35" s="197">
        <f t="shared" si="16"/>
        <v>6152746</v>
      </c>
      <c r="I35" s="197">
        <f t="shared" si="16"/>
        <v>5508998.0000000009</v>
      </c>
      <c r="J35" s="197">
        <f t="shared" si="16"/>
        <v>8806005.0000000019</v>
      </c>
      <c r="K35" s="197">
        <f t="shared" si="16"/>
        <v>12034980.000000004</v>
      </c>
      <c r="L35" s="197">
        <f t="shared" si="16"/>
        <v>11712666.000000002</v>
      </c>
      <c r="M35" s="197">
        <f t="shared" si="16"/>
        <v>15220636</v>
      </c>
      <c r="N35" s="197">
        <f t="shared" si="16"/>
        <v>13661597</v>
      </c>
      <c r="O35" s="855">
        <f t="shared" si="15"/>
        <v>150051901</v>
      </c>
      <c r="P35" s="120">
        <f t="shared" si="12"/>
        <v>28</v>
      </c>
    </row>
    <row r="36" spans="1:18" x14ac:dyDescent="0.35">
      <c r="A36" s="120">
        <f t="shared" si="10"/>
        <v>29</v>
      </c>
      <c r="B36" s="202" t="s">
        <v>105</v>
      </c>
      <c r="C36" s="117">
        <f t="shared" ref="C36:N36" si="17">C11*1000</f>
        <v>21708860</v>
      </c>
      <c r="D36" s="197">
        <f t="shared" si="17"/>
        <v>6520917</v>
      </c>
      <c r="E36" s="197">
        <f t="shared" si="17"/>
        <v>5544309</v>
      </c>
      <c r="F36" s="197">
        <f t="shared" si="17"/>
        <v>16558645</v>
      </c>
      <c r="G36" s="197">
        <f t="shared" si="17"/>
        <v>14604025</v>
      </c>
      <c r="H36" s="197">
        <f t="shared" si="17"/>
        <v>-2558701</v>
      </c>
      <c r="I36" s="197">
        <f t="shared" si="17"/>
        <v>8047666</v>
      </c>
      <c r="J36" s="197">
        <f t="shared" si="17"/>
        <v>5631022</v>
      </c>
      <c r="K36" s="197">
        <f t="shared" si="17"/>
        <v>57712203</v>
      </c>
      <c r="L36" s="197">
        <f t="shared" si="17"/>
        <v>24259198</v>
      </c>
      <c r="M36" s="197">
        <f t="shared" si="17"/>
        <v>-2936678</v>
      </c>
      <c r="N36" s="197">
        <f t="shared" si="17"/>
        <v>14618333</v>
      </c>
      <c r="O36" s="855">
        <f t="shared" ref="O36" si="18">SUM(C36:N36)</f>
        <v>169709799</v>
      </c>
      <c r="P36" s="120">
        <f t="shared" si="12"/>
        <v>29</v>
      </c>
    </row>
    <row r="37" spans="1:18" x14ac:dyDescent="0.35">
      <c r="A37" s="120">
        <f t="shared" si="10"/>
        <v>30</v>
      </c>
      <c r="B37" s="149" t="s">
        <v>250</v>
      </c>
      <c r="C37" s="117">
        <f t="shared" ref="C37:N37" si="19">C12*1000</f>
        <v>5612301</v>
      </c>
      <c r="D37" s="197">
        <f t="shared" si="19"/>
        <v>5670424</v>
      </c>
      <c r="E37" s="197">
        <f t="shared" si="19"/>
        <v>9186625</v>
      </c>
      <c r="F37" s="197">
        <f t="shared" si="19"/>
        <v>5101072</v>
      </c>
      <c r="G37" s="197">
        <f t="shared" si="19"/>
        <v>6106443</v>
      </c>
      <c r="H37" s="197">
        <f t="shared" si="19"/>
        <v>1212661</v>
      </c>
      <c r="I37" s="197">
        <f t="shared" si="19"/>
        <v>9752256</v>
      </c>
      <c r="J37" s="197">
        <f t="shared" si="19"/>
        <v>-9389177</v>
      </c>
      <c r="K37" s="197">
        <f t="shared" si="19"/>
        <v>25032324</v>
      </c>
      <c r="L37" s="197">
        <f t="shared" si="19"/>
        <v>3976472</v>
      </c>
      <c r="M37" s="197">
        <f t="shared" si="19"/>
        <v>8806329</v>
      </c>
      <c r="N37" s="197">
        <f t="shared" si="19"/>
        <v>6335910</v>
      </c>
      <c r="O37" s="855">
        <f>SUM(C37:N37)</f>
        <v>77403640</v>
      </c>
      <c r="P37" s="120">
        <f t="shared" si="12"/>
        <v>30</v>
      </c>
    </row>
    <row r="38" spans="1:18" x14ac:dyDescent="0.35">
      <c r="A38" s="120">
        <f t="shared" si="10"/>
        <v>31</v>
      </c>
      <c r="B38" s="203" t="s">
        <v>7</v>
      </c>
      <c r="C38" s="117">
        <f t="shared" ref="C38:N38" si="20">C13*1000</f>
        <v>8826</v>
      </c>
      <c r="D38" s="197">
        <f t="shared" si="20"/>
        <v>8442</v>
      </c>
      <c r="E38" s="197">
        <f t="shared" si="20"/>
        <v>5279</v>
      </c>
      <c r="F38" s="197">
        <f t="shared" si="20"/>
        <v>5321</v>
      </c>
      <c r="G38" s="197">
        <f t="shared" si="20"/>
        <v>-94253</v>
      </c>
      <c r="H38" s="197">
        <f t="shared" si="20"/>
        <v>105115</v>
      </c>
      <c r="I38" s="197">
        <f t="shared" si="20"/>
        <v>5013</v>
      </c>
      <c r="J38" s="197">
        <f t="shared" si="20"/>
        <v>0</v>
      </c>
      <c r="K38" s="197">
        <f t="shared" si="20"/>
        <v>13890</v>
      </c>
      <c r="L38" s="197">
        <f t="shared" si="20"/>
        <v>7744</v>
      </c>
      <c r="M38" s="197">
        <f t="shared" si="20"/>
        <v>9613</v>
      </c>
      <c r="N38" s="197">
        <f t="shared" si="20"/>
        <v>9635</v>
      </c>
      <c r="O38" s="855">
        <f>SUM(C38:N38)</f>
        <v>84625</v>
      </c>
      <c r="P38" s="120">
        <f t="shared" si="12"/>
        <v>31</v>
      </c>
      <c r="Q38" s="766"/>
    </row>
    <row r="39" spans="1:18" ht="18" thickBot="1" x14ac:dyDescent="0.4">
      <c r="A39" s="120">
        <f t="shared" si="10"/>
        <v>32</v>
      </c>
      <c r="B39" s="204" t="s">
        <v>251</v>
      </c>
      <c r="C39" s="205">
        <f>SUM(C31:C38)</f>
        <v>1698798204</v>
      </c>
      <c r="D39" s="206">
        <f t="shared" ref="D39:N39" si="21">SUM(D31:D38)</f>
        <v>1403367947</v>
      </c>
      <c r="E39" s="206">
        <f t="shared" si="21"/>
        <v>1377452931</v>
      </c>
      <c r="F39" s="206">
        <f t="shared" si="21"/>
        <v>1605536619</v>
      </c>
      <c r="G39" s="206">
        <f t="shared" si="21"/>
        <v>1264920570</v>
      </c>
      <c r="H39" s="206">
        <f t="shared" si="21"/>
        <v>1458613555</v>
      </c>
      <c r="I39" s="206">
        <f t="shared" si="21"/>
        <v>1158465079</v>
      </c>
      <c r="J39" s="206">
        <f t="shared" si="21"/>
        <v>1199047869</v>
      </c>
      <c r="K39" s="206">
        <f t="shared" si="21"/>
        <v>1411963759</v>
      </c>
      <c r="L39" s="206">
        <f t="shared" si="21"/>
        <v>1242490673</v>
      </c>
      <c r="M39" s="935">
        <f t="shared" si="21"/>
        <v>1742235718</v>
      </c>
      <c r="N39" s="935">
        <f t="shared" si="21"/>
        <v>1563753003</v>
      </c>
      <c r="O39" s="207">
        <f>SUM(O31:O38)</f>
        <v>17126645927</v>
      </c>
      <c r="P39" s="120">
        <f t="shared" si="12"/>
        <v>32</v>
      </c>
      <c r="Q39" s="766"/>
    </row>
    <row r="40" spans="1:18" ht="18" thickTop="1" x14ac:dyDescent="0.35">
      <c r="A40" s="120">
        <f t="shared" si="10"/>
        <v>33</v>
      </c>
      <c r="B40" s="208"/>
      <c r="C40" s="822"/>
      <c r="D40" s="201"/>
      <c r="E40" s="201"/>
      <c r="F40" s="201"/>
      <c r="G40" s="201"/>
      <c r="H40" s="201"/>
      <c r="I40" s="201"/>
      <c r="J40" s="201"/>
      <c r="K40" s="201"/>
      <c r="L40" s="201"/>
      <c r="M40" s="934"/>
      <c r="N40" s="938"/>
      <c r="O40" s="199"/>
      <c r="P40" s="120">
        <f t="shared" si="12"/>
        <v>33</v>
      </c>
    </row>
    <row r="41" spans="1:18" ht="18" thickBot="1" x14ac:dyDescent="0.4">
      <c r="A41" s="120">
        <f t="shared" si="10"/>
        <v>34</v>
      </c>
      <c r="B41" s="204" t="s">
        <v>252</v>
      </c>
      <c r="C41" s="209">
        <f>SUM(C31:C37)</f>
        <v>1698789378</v>
      </c>
      <c r="D41" s="210">
        <f>SUM(D31:D37)</f>
        <v>1403359505</v>
      </c>
      <c r="E41" s="210">
        <f t="shared" ref="E41:O41" si="22">SUM(E31:E37)</f>
        <v>1377447652</v>
      </c>
      <c r="F41" s="210">
        <f t="shared" si="22"/>
        <v>1605531298</v>
      </c>
      <c r="G41" s="210">
        <f t="shared" si="22"/>
        <v>1265014823</v>
      </c>
      <c r="H41" s="210">
        <f t="shared" si="22"/>
        <v>1458508440</v>
      </c>
      <c r="I41" s="210">
        <f t="shared" si="22"/>
        <v>1158460066</v>
      </c>
      <c r="J41" s="210">
        <f t="shared" si="22"/>
        <v>1199047869</v>
      </c>
      <c r="K41" s="210">
        <f t="shared" si="22"/>
        <v>1411949869</v>
      </c>
      <c r="L41" s="210">
        <f t="shared" si="22"/>
        <v>1242482929</v>
      </c>
      <c r="M41" s="936">
        <f t="shared" si="22"/>
        <v>1742226105</v>
      </c>
      <c r="N41" s="936">
        <f t="shared" si="22"/>
        <v>1563743368</v>
      </c>
      <c r="O41" s="211">
        <f t="shared" si="22"/>
        <v>17126561302</v>
      </c>
      <c r="P41" s="120">
        <f t="shared" si="12"/>
        <v>34</v>
      </c>
      <c r="Q41" s="766"/>
    </row>
    <row r="42" spans="1:18" ht="18.5" thickTop="1" thickBot="1" x14ac:dyDescent="0.4">
      <c r="A42" s="120">
        <f t="shared" si="10"/>
        <v>35</v>
      </c>
      <c r="B42" s="212"/>
      <c r="C42" s="212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213"/>
      <c r="O42" s="362"/>
      <c r="P42" s="120">
        <f t="shared" si="12"/>
        <v>35</v>
      </c>
      <c r="Q42" s="243"/>
      <c r="R42" s="888">
        <f>O41-'Stmnt BD - Recorded KWH'!E26</f>
        <v>0</v>
      </c>
    </row>
    <row r="43" spans="1:18" x14ac:dyDescent="0.35">
      <c r="A43" s="120">
        <f t="shared" si="10"/>
        <v>36</v>
      </c>
      <c r="B43" s="215" t="str">
        <f>B18</f>
        <v>INPUT FROM RECORDED SALES FILE:</v>
      </c>
      <c r="C43" s="216">
        <f>C30</f>
        <v>44835</v>
      </c>
      <c r="D43" s="217">
        <f t="shared" ref="D43:O43" si="23">D30</f>
        <v>44866</v>
      </c>
      <c r="E43" s="217">
        <f t="shared" si="23"/>
        <v>44896</v>
      </c>
      <c r="F43" s="217">
        <f t="shared" si="23"/>
        <v>44927</v>
      </c>
      <c r="G43" s="217">
        <f t="shared" si="23"/>
        <v>44958</v>
      </c>
      <c r="H43" s="217">
        <f t="shared" si="23"/>
        <v>44986</v>
      </c>
      <c r="I43" s="217">
        <f t="shared" si="23"/>
        <v>45017</v>
      </c>
      <c r="J43" s="217">
        <f t="shared" si="23"/>
        <v>45047</v>
      </c>
      <c r="K43" s="217">
        <f t="shared" si="23"/>
        <v>45078</v>
      </c>
      <c r="L43" s="217">
        <f t="shared" si="23"/>
        <v>45108</v>
      </c>
      <c r="M43" s="217">
        <f t="shared" si="23"/>
        <v>45139</v>
      </c>
      <c r="N43" s="217">
        <f t="shared" si="23"/>
        <v>45170</v>
      </c>
      <c r="O43" s="185" t="str">
        <f t="shared" si="23"/>
        <v>Total</v>
      </c>
      <c r="P43" s="120">
        <f t="shared" si="12"/>
        <v>36</v>
      </c>
    </row>
    <row r="44" spans="1:18" x14ac:dyDescent="0.35">
      <c r="A44" s="120">
        <f t="shared" si="10"/>
        <v>37</v>
      </c>
      <c r="B44" s="218" t="s">
        <v>260</v>
      </c>
      <c r="C44" s="219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123"/>
      <c r="P44" s="120">
        <f t="shared" si="12"/>
        <v>37</v>
      </c>
    </row>
    <row r="45" spans="1:18" x14ac:dyDescent="0.35">
      <c r="A45" s="120">
        <f t="shared" si="10"/>
        <v>38</v>
      </c>
      <c r="B45" s="125" t="s">
        <v>255</v>
      </c>
      <c r="C45" s="117">
        <f t="shared" ref="C45:N45" si="24">C20*1000</f>
        <v>0</v>
      </c>
      <c r="D45" s="197">
        <f t="shared" si="24"/>
        <v>0</v>
      </c>
      <c r="E45" s="197">
        <f t="shared" si="24"/>
        <v>0</v>
      </c>
      <c r="F45" s="197">
        <f t="shared" si="24"/>
        <v>0</v>
      </c>
      <c r="G45" s="197">
        <f t="shared" si="24"/>
        <v>0</v>
      </c>
      <c r="H45" s="197">
        <f t="shared" si="24"/>
        <v>0</v>
      </c>
      <c r="I45" s="197">
        <f t="shared" si="24"/>
        <v>0</v>
      </c>
      <c r="J45" s="197">
        <f t="shared" si="24"/>
        <v>0</v>
      </c>
      <c r="K45" s="197">
        <f t="shared" si="24"/>
        <v>0</v>
      </c>
      <c r="L45" s="197">
        <f t="shared" si="24"/>
        <v>0</v>
      </c>
      <c r="M45" s="197">
        <f t="shared" si="24"/>
        <v>0</v>
      </c>
      <c r="N45" s="197">
        <f t="shared" si="24"/>
        <v>0</v>
      </c>
      <c r="O45" s="855">
        <f>SUM(C45:N45)</f>
        <v>0</v>
      </c>
      <c r="P45" s="120">
        <f t="shared" si="12"/>
        <v>38</v>
      </c>
    </row>
    <row r="46" spans="1:18" x14ac:dyDescent="0.35">
      <c r="A46" s="120">
        <f t="shared" si="10"/>
        <v>39</v>
      </c>
      <c r="B46" s="125" t="s">
        <v>256</v>
      </c>
      <c r="C46" s="117">
        <f t="shared" ref="C46:N46" si="25">C21*1000</f>
        <v>873155189</v>
      </c>
      <c r="D46" s="197">
        <f t="shared" si="25"/>
        <v>742357561.99999988</v>
      </c>
      <c r="E46" s="197">
        <f t="shared" si="25"/>
        <v>659648884.00000012</v>
      </c>
      <c r="F46" s="197">
        <f t="shared" si="25"/>
        <v>796558809.99999988</v>
      </c>
      <c r="G46" s="197">
        <f t="shared" si="25"/>
        <v>613788898</v>
      </c>
      <c r="H46" s="197">
        <f t="shared" si="25"/>
        <v>732101544</v>
      </c>
      <c r="I46" s="197">
        <f t="shared" si="25"/>
        <v>632705399.99999988</v>
      </c>
      <c r="J46" s="197">
        <f t="shared" si="25"/>
        <v>684031297</v>
      </c>
      <c r="K46" s="197">
        <f t="shared" si="25"/>
        <v>749327193</v>
      </c>
      <c r="L46" s="197">
        <f t="shared" si="25"/>
        <v>679529497.00000012</v>
      </c>
      <c r="M46" s="197">
        <f t="shared" si="25"/>
        <v>870279143</v>
      </c>
      <c r="N46" s="197">
        <f t="shared" si="25"/>
        <v>760841160</v>
      </c>
      <c r="O46" s="199">
        <f>SUM(C46:N46)</f>
        <v>8794324577</v>
      </c>
      <c r="P46" s="120">
        <f t="shared" si="12"/>
        <v>39</v>
      </c>
    </row>
    <row r="47" spans="1:18" x14ac:dyDescent="0.35">
      <c r="A47" s="120">
        <f t="shared" si="10"/>
        <v>40</v>
      </c>
      <c r="B47" s="125" t="s">
        <v>257</v>
      </c>
      <c r="C47" s="117">
        <f t="shared" ref="C47:N47" si="26">C22*1000</f>
        <v>0</v>
      </c>
      <c r="D47" s="197">
        <f t="shared" si="26"/>
        <v>0</v>
      </c>
      <c r="E47" s="197">
        <f t="shared" si="26"/>
        <v>0</v>
      </c>
      <c r="F47" s="197">
        <f t="shared" si="26"/>
        <v>0</v>
      </c>
      <c r="G47" s="197">
        <f t="shared" si="26"/>
        <v>0</v>
      </c>
      <c r="H47" s="197">
        <f t="shared" si="26"/>
        <v>0</v>
      </c>
      <c r="I47" s="197">
        <f t="shared" si="26"/>
        <v>0</v>
      </c>
      <c r="J47" s="197">
        <f t="shared" si="26"/>
        <v>0</v>
      </c>
      <c r="K47" s="197">
        <f t="shared" si="26"/>
        <v>0</v>
      </c>
      <c r="L47" s="197">
        <f t="shared" si="26"/>
        <v>0</v>
      </c>
      <c r="M47" s="197">
        <f t="shared" si="26"/>
        <v>0</v>
      </c>
      <c r="N47" s="197">
        <f t="shared" si="26"/>
        <v>0</v>
      </c>
      <c r="O47" s="930">
        <f>SUM(C47:N47)</f>
        <v>0</v>
      </c>
      <c r="P47" s="120">
        <f t="shared" si="12"/>
        <v>40</v>
      </c>
    </row>
    <row r="48" spans="1:18" ht="18" thickBot="1" x14ac:dyDescent="0.4">
      <c r="A48" s="120">
        <f t="shared" si="10"/>
        <v>41</v>
      </c>
      <c r="B48" s="120" t="s">
        <v>18</v>
      </c>
      <c r="C48" s="221">
        <f>SUM(C45:C47)</f>
        <v>873155189</v>
      </c>
      <c r="D48" s="222">
        <f t="shared" ref="D48:O48" si="27">SUM(D45:D47)</f>
        <v>742357561.99999988</v>
      </c>
      <c r="E48" s="222">
        <f t="shared" si="27"/>
        <v>659648884.00000012</v>
      </c>
      <c r="F48" s="222">
        <f t="shared" si="27"/>
        <v>796558809.99999988</v>
      </c>
      <c r="G48" s="222">
        <f t="shared" si="27"/>
        <v>613788898</v>
      </c>
      <c r="H48" s="222">
        <f t="shared" si="27"/>
        <v>732101544</v>
      </c>
      <c r="I48" s="222">
        <f t="shared" si="27"/>
        <v>632705399.99999988</v>
      </c>
      <c r="J48" s="222">
        <f t="shared" si="27"/>
        <v>684031297</v>
      </c>
      <c r="K48" s="222">
        <f t="shared" si="27"/>
        <v>749327193</v>
      </c>
      <c r="L48" s="222">
        <f t="shared" si="27"/>
        <v>679529497.00000012</v>
      </c>
      <c r="M48" s="937">
        <f t="shared" si="27"/>
        <v>870279143</v>
      </c>
      <c r="N48" s="937">
        <f t="shared" si="27"/>
        <v>760841160</v>
      </c>
      <c r="O48" s="223">
        <f t="shared" si="27"/>
        <v>8794324577</v>
      </c>
      <c r="P48" s="120">
        <f t="shared" si="12"/>
        <v>41</v>
      </c>
    </row>
    <row r="49" spans="1:16" ht="18.5" thickTop="1" thickBot="1" x14ac:dyDescent="0.4">
      <c r="A49" s="121">
        <f>A48+1</f>
        <v>42</v>
      </c>
      <c r="B49" s="126"/>
      <c r="C49" s="212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124"/>
      <c r="P49" s="121">
        <f>P48+1</f>
        <v>42</v>
      </c>
    </row>
  </sheetData>
  <mergeCells count="4">
    <mergeCell ref="B2:O2"/>
    <mergeCell ref="B3:O3"/>
    <mergeCell ref="B27:O27"/>
    <mergeCell ref="B28:O28"/>
  </mergeCells>
  <printOptions horizontalCentered="1"/>
  <pageMargins left="0.25" right="0.25" top="0.5" bottom="0.5" header="0.25" footer="0.25"/>
  <pageSetup scale="50" orientation="landscape" r:id="rId1"/>
  <headerFooter scaleWithDoc="0" alignWithMargins="0">
    <oddFooter>&amp;L&amp;"Times New Roman,Regular"&amp;11&amp;F&amp;C&amp;"Times New Roman,Regular"&amp;11Page 1.1&amp;R&amp;"Times New Roman,Regular"&amp;11&amp;A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R49"/>
  <sheetViews>
    <sheetView zoomScale="80" zoomScaleNormal="80" workbookViewId="0"/>
  </sheetViews>
  <sheetFormatPr defaultColWidth="9.453125" defaultRowHeight="17.5" x14ac:dyDescent="0.35"/>
  <cols>
    <col min="1" max="1" width="5.54296875" style="180" customWidth="1"/>
    <col min="2" max="2" width="50.54296875" style="180" customWidth="1"/>
    <col min="3" max="3" width="14.54296875" style="180" customWidth="1"/>
    <col min="4" max="15" width="15.54296875" style="180" customWidth="1"/>
    <col min="16" max="16" width="5.54296875" style="180" customWidth="1"/>
    <col min="17" max="17" width="3.81640625" style="180" bestFit="1" customWidth="1"/>
    <col min="18" max="18" width="5.54296875" style="180" bestFit="1" customWidth="1"/>
    <col min="19" max="16384" width="9.453125" style="180"/>
  </cols>
  <sheetData>
    <row r="1" spans="1:16" ht="18" thickBot="1" x14ac:dyDescent="0.4"/>
    <row r="2" spans="1:16" ht="25" x14ac:dyDescent="0.5">
      <c r="A2" s="597" t="s">
        <v>8</v>
      </c>
      <c r="B2" s="979" t="s">
        <v>243</v>
      </c>
      <c r="C2" s="980"/>
      <c r="D2" s="980"/>
      <c r="E2" s="980"/>
      <c r="F2" s="980"/>
      <c r="G2" s="980"/>
      <c r="H2" s="980"/>
      <c r="I2" s="980"/>
      <c r="J2" s="980"/>
      <c r="K2" s="980"/>
      <c r="L2" s="980"/>
      <c r="M2" s="980"/>
      <c r="N2" s="980"/>
      <c r="O2" s="981"/>
      <c r="P2" s="597" t="s">
        <v>8</v>
      </c>
    </row>
    <row r="3" spans="1:16" ht="25.5" thickBot="1" x14ac:dyDescent="0.55000000000000004">
      <c r="A3" s="181" t="s">
        <v>11</v>
      </c>
      <c r="B3" s="982" t="s">
        <v>491</v>
      </c>
      <c r="C3" s="983"/>
      <c r="D3" s="983"/>
      <c r="E3" s="983"/>
      <c r="F3" s="983"/>
      <c r="G3" s="983"/>
      <c r="H3" s="983"/>
      <c r="I3" s="983"/>
      <c r="J3" s="983"/>
      <c r="K3" s="983"/>
      <c r="L3" s="983"/>
      <c r="M3" s="983"/>
      <c r="N3" s="983"/>
      <c r="O3" s="984"/>
      <c r="P3" s="181" t="s">
        <v>11</v>
      </c>
    </row>
    <row r="4" spans="1:16" x14ac:dyDescent="0.35">
      <c r="A4" s="120">
        <v>1</v>
      </c>
      <c r="B4" s="417" t="s">
        <v>244</v>
      </c>
      <c r="C4" s="602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22"/>
      <c r="P4" s="120">
        <v>1</v>
      </c>
    </row>
    <row r="5" spans="1:16" x14ac:dyDescent="0.35">
      <c r="A5" s="120">
        <f>A4+1</f>
        <v>2</v>
      </c>
      <c r="B5" s="184" t="s">
        <v>245</v>
      </c>
      <c r="C5" s="217">
        <v>45292</v>
      </c>
      <c r="D5" s="217">
        <v>45323</v>
      </c>
      <c r="E5" s="217">
        <v>45352</v>
      </c>
      <c r="F5" s="217">
        <v>45383</v>
      </c>
      <c r="G5" s="217">
        <v>45413</v>
      </c>
      <c r="H5" s="217">
        <v>45444</v>
      </c>
      <c r="I5" s="217">
        <v>45474</v>
      </c>
      <c r="J5" s="217">
        <v>45505</v>
      </c>
      <c r="K5" s="217">
        <v>45536</v>
      </c>
      <c r="L5" s="217">
        <v>45566</v>
      </c>
      <c r="M5" s="217">
        <v>45597</v>
      </c>
      <c r="N5" s="217">
        <v>45627</v>
      </c>
      <c r="O5" s="185" t="s">
        <v>18</v>
      </c>
      <c r="P5" s="120">
        <f>P4+1</f>
        <v>2</v>
      </c>
    </row>
    <row r="6" spans="1:16" x14ac:dyDescent="0.35">
      <c r="A6" s="120">
        <f>A5+1</f>
        <v>3</v>
      </c>
      <c r="B6" s="149" t="s">
        <v>246</v>
      </c>
      <c r="C6" s="93">
        <v>600956.18237166747</v>
      </c>
      <c r="D6" s="93">
        <v>501221.88844971184</v>
      </c>
      <c r="E6" s="93">
        <v>446282.37127663539</v>
      </c>
      <c r="F6" s="93">
        <v>392460.31375987304</v>
      </c>
      <c r="G6" s="93">
        <v>377100.20370278507</v>
      </c>
      <c r="H6" s="93">
        <v>416762.79360261565</v>
      </c>
      <c r="I6" s="93">
        <v>525656.34260944219</v>
      </c>
      <c r="J6" s="93">
        <v>620628.55452142877</v>
      </c>
      <c r="K6" s="93">
        <v>656306.60467005835</v>
      </c>
      <c r="L6" s="93">
        <v>525369.75879172341</v>
      </c>
      <c r="M6" s="93">
        <v>464778.38315024244</v>
      </c>
      <c r="N6" s="93">
        <v>531636.87953145429</v>
      </c>
      <c r="O6" s="855">
        <f>SUM(C6:N6)</f>
        <v>6059160.2764376374</v>
      </c>
      <c r="P6" s="120">
        <f>P5+1</f>
        <v>3</v>
      </c>
    </row>
    <row r="7" spans="1:16" x14ac:dyDescent="0.35">
      <c r="A7" s="120">
        <f t="shared" ref="A7:A23" si="0">A6+1</f>
        <v>4</v>
      </c>
      <c r="B7" s="149" t="s">
        <v>247</v>
      </c>
      <c r="C7" s="93">
        <v>181530.13084879759</v>
      </c>
      <c r="D7" s="93">
        <v>175691.81102968781</v>
      </c>
      <c r="E7" s="93">
        <v>171138.42308957211</v>
      </c>
      <c r="F7" s="93">
        <v>172875.74979857507</v>
      </c>
      <c r="G7" s="93">
        <v>171358.76967227325</v>
      </c>
      <c r="H7" s="93">
        <v>183426.78690204414</v>
      </c>
      <c r="I7" s="93">
        <v>203198.30434812797</v>
      </c>
      <c r="J7" s="93">
        <v>213885.65447013555</v>
      </c>
      <c r="K7" s="93">
        <v>221965.11821144944</v>
      </c>
      <c r="L7" s="93">
        <v>200473.01337395006</v>
      </c>
      <c r="M7" s="93">
        <v>185572.67227053156</v>
      </c>
      <c r="N7" s="93">
        <v>182348.36292665175</v>
      </c>
      <c r="O7" s="855">
        <f>SUM(C7:N7)</f>
        <v>2263464.7969417963</v>
      </c>
      <c r="P7" s="120">
        <f t="shared" ref="P7:P23" si="1">P6+1</f>
        <v>4</v>
      </c>
    </row>
    <row r="8" spans="1:16" x14ac:dyDescent="0.35">
      <c r="A8" s="120">
        <f t="shared" si="0"/>
        <v>5</v>
      </c>
      <c r="B8" s="149" t="s">
        <v>261</v>
      </c>
      <c r="C8" s="914">
        <v>751591.53321340005</v>
      </c>
      <c r="D8" s="914">
        <v>722773.00762930687</v>
      </c>
      <c r="E8" s="914">
        <v>706780.23477768397</v>
      </c>
      <c r="F8" s="914">
        <v>749057.48070808977</v>
      </c>
      <c r="G8" s="914">
        <v>745902.53514588217</v>
      </c>
      <c r="H8" s="914">
        <v>799490.96410594741</v>
      </c>
      <c r="I8" s="914">
        <v>868622.18535209261</v>
      </c>
      <c r="J8" s="914">
        <v>899164.50350116857</v>
      </c>
      <c r="K8" s="914">
        <v>910364.93426935654</v>
      </c>
      <c r="L8" s="914">
        <v>841167.65161303466</v>
      </c>
      <c r="M8" s="914">
        <v>793347.754765508</v>
      </c>
      <c r="N8" s="914">
        <v>755699.4808439808</v>
      </c>
      <c r="O8" s="855">
        <f>SUM(C8:N8)</f>
        <v>9543962.2659254521</v>
      </c>
      <c r="P8" s="120">
        <f t="shared" si="1"/>
        <v>5</v>
      </c>
    </row>
    <row r="9" spans="1:16" x14ac:dyDescent="0.35">
      <c r="A9" s="120">
        <f t="shared" si="0"/>
        <v>6</v>
      </c>
      <c r="B9" s="149" t="s">
        <v>477</v>
      </c>
      <c r="C9" s="914">
        <v>595.71600000000001</v>
      </c>
      <c r="D9" s="914">
        <v>724.428</v>
      </c>
      <c r="E9" s="914">
        <v>727.404</v>
      </c>
      <c r="F9" s="914">
        <v>713.14400000000001</v>
      </c>
      <c r="G9" s="914">
        <v>167.49600000000001</v>
      </c>
      <c r="H9" s="914">
        <v>400</v>
      </c>
      <c r="I9" s="914">
        <v>0</v>
      </c>
      <c r="J9" s="914">
        <v>0</v>
      </c>
      <c r="K9" s="914">
        <v>28.404</v>
      </c>
      <c r="L9" s="914">
        <v>328.24799999999999</v>
      </c>
      <c r="M9" s="914">
        <v>280.14</v>
      </c>
      <c r="N9" s="914">
        <v>632.89200000000005</v>
      </c>
      <c r="O9" s="855">
        <f>SUM(C9:N9)</f>
        <v>4597.8720000000003</v>
      </c>
      <c r="P9" s="120">
        <f t="shared" si="1"/>
        <v>6</v>
      </c>
    </row>
    <row r="10" spans="1:16" x14ac:dyDescent="0.35">
      <c r="A10" s="120">
        <f t="shared" si="0"/>
        <v>7</v>
      </c>
      <c r="B10" s="149" t="s">
        <v>249</v>
      </c>
      <c r="C10" s="914">
        <v>5941.6381450993567</v>
      </c>
      <c r="D10" s="914">
        <v>8249.3507242515698</v>
      </c>
      <c r="E10" s="914">
        <v>7290.7393192606824</v>
      </c>
      <c r="F10" s="914">
        <v>8401.1044688614129</v>
      </c>
      <c r="G10" s="914">
        <v>10667.586054941035</v>
      </c>
      <c r="H10" s="914">
        <v>11706.633601816562</v>
      </c>
      <c r="I10" s="914">
        <v>12604.14801685533</v>
      </c>
      <c r="J10" s="914">
        <v>12994.441563162851</v>
      </c>
      <c r="K10" s="914">
        <v>13239.169105003502</v>
      </c>
      <c r="L10" s="914">
        <v>11464.926458473155</v>
      </c>
      <c r="M10" s="914">
        <v>8767.886215416278</v>
      </c>
      <c r="N10" s="914">
        <v>8434.7732657557917</v>
      </c>
      <c r="O10" s="855">
        <f t="shared" ref="O10:O12" si="2">SUM(C10:N10)</f>
        <v>119762.39693889754</v>
      </c>
      <c r="P10" s="120">
        <f t="shared" si="1"/>
        <v>7</v>
      </c>
    </row>
    <row r="11" spans="1:16" x14ac:dyDescent="0.35">
      <c r="A11" s="120">
        <f t="shared" si="0"/>
        <v>8</v>
      </c>
      <c r="B11" s="149" t="s">
        <v>105</v>
      </c>
      <c r="C11" s="914">
        <v>14566.080967748552</v>
      </c>
      <c r="D11" s="914">
        <v>15384.762175613916</v>
      </c>
      <c r="E11" s="914">
        <v>14626.906471273895</v>
      </c>
      <c r="F11" s="914">
        <v>16841.653317148572</v>
      </c>
      <c r="G11" s="914">
        <v>18251.444699619253</v>
      </c>
      <c r="H11" s="914">
        <v>19802.348096367004</v>
      </c>
      <c r="I11" s="914">
        <v>22410.225208110835</v>
      </c>
      <c r="J11" s="914">
        <v>21856.569408463038</v>
      </c>
      <c r="K11" s="914">
        <v>22291.279209385033</v>
      </c>
      <c r="L11" s="914">
        <v>20085.383000222249</v>
      </c>
      <c r="M11" s="914">
        <v>18856.389930052501</v>
      </c>
      <c r="N11" s="914">
        <v>16967.494891915543</v>
      </c>
      <c r="O11" s="855">
        <f t="shared" si="2"/>
        <v>221940.53737592039</v>
      </c>
      <c r="P11" s="120">
        <f t="shared" si="1"/>
        <v>8</v>
      </c>
    </row>
    <row r="12" spans="1:16" x14ac:dyDescent="0.35">
      <c r="A12" s="120">
        <f t="shared" si="0"/>
        <v>9</v>
      </c>
      <c r="B12" s="149" t="s">
        <v>250</v>
      </c>
      <c r="C12" s="914">
        <v>6456.7053676387386</v>
      </c>
      <c r="D12" s="914">
        <v>6444.0132872733566</v>
      </c>
      <c r="E12" s="914">
        <v>6498.4761106686701</v>
      </c>
      <c r="F12" s="914">
        <v>6930.0780189573406</v>
      </c>
      <c r="G12" s="914">
        <v>6341.4251395615383</v>
      </c>
      <c r="H12" s="914">
        <v>6363.7477890571663</v>
      </c>
      <c r="I12" s="914">
        <v>6440.2893659817628</v>
      </c>
      <c r="J12" s="914">
        <v>6262.4759203543799</v>
      </c>
      <c r="K12" s="914">
        <v>6518.0342895418707</v>
      </c>
      <c r="L12" s="914">
        <v>6381.7363028395666</v>
      </c>
      <c r="M12" s="914">
        <v>6425.3832416884288</v>
      </c>
      <c r="N12" s="914">
        <v>6493.2071985863777</v>
      </c>
      <c r="O12" s="855">
        <f t="shared" si="2"/>
        <v>77555.572032149197</v>
      </c>
      <c r="P12" s="120">
        <f t="shared" si="1"/>
        <v>9</v>
      </c>
    </row>
    <row r="13" spans="1:16" x14ac:dyDescent="0.35">
      <c r="A13" s="120">
        <f t="shared" si="0"/>
        <v>10</v>
      </c>
      <c r="B13" s="759" t="s">
        <v>7</v>
      </c>
      <c r="C13" s="913">
        <v>7.7248333333333328</v>
      </c>
      <c r="D13" s="914">
        <v>7.7248333333333328</v>
      </c>
      <c r="E13" s="914">
        <v>7.7248333333333328</v>
      </c>
      <c r="F13" s="914">
        <v>7.7248333333333328</v>
      </c>
      <c r="G13" s="914">
        <v>7.7248333333333328</v>
      </c>
      <c r="H13" s="914">
        <v>7.7248333333333328</v>
      </c>
      <c r="I13" s="914">
        <v>7.7248333333333328</v>
      </c>
      <c r="J13" s="914">
        <v>7.7248333333333328</v>
      </c>
      <c r="K13" s="914">
        <v>7.7248333333333328</v>
      </c>
      <c r="L13" s="914">
        <v>7.7248333333333328</v>
      </c>
      <c r="M13" s="914">
        <v>7.7248333333333328</v>
      </c>
      <c r="N13" s="914">
        <v>7.7248333333333328</v>
      </c>
      <c r="O13" s="914">
        <f>SUM(C13:N13)</f>
        <v>92.698000000000022</v>
      </c>
      <c r="P13" s="120">
        <f t="shared" si="1"/>
        <v>10</v>
      </c>
    </row>
    <row r="14" spans="1:16" ht="18" thickBot="1" x14ac:dyDescent="0.4">
      <c r="A14" s="120">
        <f t="shared" si="0"/>
        <v>11</v>
      </c>
      <c r="B14" s="204" t="s">
        <v>251</v>
      </c>
      <c r="C14" s="205">
        <f t="shared" ref="C14:O14" si="3">SUM(C6:C13)</f>
        <v>1561645.7117476852</v>
      </c>
      <c r="D14" s="206">
        <f t="shared" si="3"/>
        <v>1430496.9861291791</v>
      </c>
      <c r="E14" s="206">
        <f t="shared" si="3"/>
        <v>1353352.279878428</v>
      </c>
      <c r="F14" s="206">
        <f t="shared" si="3"/>
        <v>1347287.2489048385</v>
      </c>
      <c r="G14" s="206">
        <f t="shared" si="3"/>
        <v>1329797.1852483954</v>
      </c>
      <c r="H14" s="206">
        <f t="shared" si="3"/>
        <v>1437960.9989311814</v>
      </c>
      <c r="I14" s="206">
        <f t="shared" si="3"/>
        <v>1638939.2197339442</v>
      </c>
      <c r="J14" s="206">
        <f t="shared" si="3"/>
        <v>1774799.9242180467</v>
      </c>
      <c r="K14" s="206">
        <f t="shared" si="3"/>
        <v>1830721.2685881283</v>
      </c>
      <c r="L14" s="206">
        <f t="shared" si="3"/>
        <v>1605278.4423735763</v>
      </c>
      <c r="M14" s="206">
        <f t="shared" si="3"/>
        <v>1478036.3344067724</v>
      </c>
      <c r="N14" s="206">
        <f t="shared" si="3"/>
        <v>1502220.8154916777</v>
      </c>
      <c r="O14" s="207">
        <f t="shared" si="3"/>
        <v>18290536.415651854</v>
      </c>
      <c r="P14" s="120">
        <f t="shared" si="1"/>
        <v>11</v>
      </c>
    </row>
    <row r="15" spans="1:16" ht="18" thickTop="1" x14ac:dyDescent="0.35">
      <c r="A15" s="120">
        <f t="shared" si="0"/>
        <v>12</v>
      </c>
      <c r="B15" s="204"/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199"/>
      <c r="P15" s="120">
        <f t="shared" si="1"/>
        <v>12</v>
      </c>
    </row>
    <row r="16" spans="1:16" ht="18" thickBot="1" x14ac:dyDescent="0.4">
      <c r="A16" s="120">
        <f t="shared" si="0"/>
        <v>13</v>
      </c>
      <c r="B16" s="204" t="s">
        <v>252</v>
      </c>
      <c r="C16" s="210">
        <f t="shared" ref="C16:O16" si="4">SUM(C6:C12)</f>
        <v>1561637.9869143518</v>
      </c>
      <c r="D16" s="210">
        <f t="shared" si="4"/>
        <v>1430489.2612958457</v>
      </c>
      <c r="E16" s="210">
        <f t="shared" si="4"/>
        <v>1353344.5550450946</v>
      </c>
      <c r="F16" s="210">
        <f t="shared" si="4"/>
        <v>1347279.5240715051</v>
      </c>
      <c r="G16" s="210">
        <f t="shared" si="4"/>
        <v>1329789.460415062</v>
      </c>
      <c r="H16" s="210">
        <f t="shared" si="4"/>
        <v>1437953.274097848</v>
      </c>
      <c r="I16" s="210">
        <f t="shared" si="4"/>
        <v>1638931.4949006108</v>
      </c>
      <c r="J16" s="210">
        <f t="shared" si="4"/>
        <v>1774792.1993847133</v>
      </c>
      <c r="K16" s="210">
        <f t="shared" si="4"/>
        <v>1830713.5437547949</v>
      </c>
      <c r="L16" s="210">
        <f t="shared" si="4"/>
        <v>1605270.7175402429</v>
      </c>
      <c r="M16" s="210">
        <f t="shared" si="4"/>
        <v>1478028.609573439</v>
      </c>
      <c r="N16" s="210">
        <f t="shared" si="4"/>
        <v>1502213.0906583443</v>
      </c>
      <c r="O16" s="211">
        <f t="shared" si="4"/>
        <v>18290443.717651855</v>
      </c>
      <c r="P16" s="120">
        <f t="shared" si="1"/>
        <v>13</v>
      </c>
    </row>
    <row r="17" spans="1:18" ht="18.5" thickTop="1" thickBot="1" x14ac:dyDescent="0.4">
      <c r="A17" s="120">
        <f t="shared" si="0"/>
        <v>14</v>
      </c>
      <c r="B17" s="126"/>
      <c r="C17" s="31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213"/>
      <c r="O17" s="214"/>
      <c r="P17" s="120">
        <f t="shared" si="1"/>
        <v>14</v>
      </c>
    </row>
    <row r="18" spans="1:18" x14ac:dyDescent="0.35">
      <c r="A18" s="120">
        <f t="shared" si="0"/>
        <v>15</v>
      </c>
      <c r="B18" s="215" t="s">
        <v>262</v>
      </c>
      <c r="C18" s="216">
        <f t="shared" ref="C18:O18" si="5">C5</f>
        <v>45292</v>
      </c>
      <c r="D18" s="217">
        <f t="shared" si="5"/>
        <v>45323</v>
      </c>
      <c r="E18" s="217">
        <f t="shared" si="5"/>
        <v>45352</v>
      </c>
      <c r="F18" s="217">
        <f t="shared" si="5"/>
        <v>45383</v>
      </c>
      <c r="G18" s="217">
        <f t="shared" si="5"/>
        <v>45413</v>
      </c>
      <c r="H18" s="217">
        <f t="shared" si="5"/>
        <v>45444</v>
      </c>
      <c r="I18" s="217">
        <f t="shared" si="5"/>
        <v>45474</v>
      </c>
      <c r="J18" s="217">
        <f t="shared" si="5"/>
        <v>45505</v>
      </c>
      <c r="K18" s="217">
        <f t="shared" si="5"/>
        <v>45536</v>
      </c>
      <c r="L18" s="217">
        <f t="shared" si="5"/>
        <v>45566</v>
      </c>
      <c r="M18" s="217">
        <f t="shared" si="5"/>
        <v>45597</v>
      </c>
      <c r="N18" s="217">
        <f t="shared" si="5"/>
        <v>45627</v>
      </c>
      <c r="O18" s="185" t="str">
        <f t="shared" si="5"/>
        <v>Total</v>
      </c>
      <c r="P18" s="120">
        <f t="shared" si="1"/>
        <v>15</v>
      </c>
    </row>
    <row r="19" spans="1:18" x14ac:dyDescent="0.35">
      <c r="A19" s="120">
        <f t="shared" si="0"/>
        <v>16</v>
      </c>
      <c r="B19" s="218" t="s">
        <v>254</v>
      </c>
      <c r="C19" s="219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123"/>
      <c r="P19" s="120">
        <f t="shared" si="1"/>
        <v>16</v>
      </c>
    </row>
    <row r="20" spans="1:18" x14ac:dyDescent="0.35">
      <c r="A20" s="120">
        <f t="shared" si="0"/>
        <v>17</v>
      </c>
      <c r="B20" s="125" t="s">
        <v>255</v>
      </c>
      <c r="C20" s="117">
        <v>0</v>
      </c>
      <c r="D20" s="93">
        <v>0</v>
      </c>
      <c r="E20" s="93">
        <v>0</v>
      </c>
      <c r="F20" s="93">
        <v>0</v>
      </c>
      <c r="G20" s="93">
        <v>0</v>
      </c>
      <c r="H20" s="93">
        <v>0</v>
      </c>
      <c r="I20" s="93">
        <v>0</v>
      </c>
      <c r="J20" s="93">
        <v>0</v>
      </c>
      <c r="K20" s="93">
        <v>0</v>
      </c>
      <c r="L20" s="93">
        <v>0</v>
      </c>
      <c r="M20" s="93">
        <v>0</v>
      </c>
      <c r="N20" s="93">
        <v>0</v>
      </c>
      <c r="O20" s="915">
        <f>SUM(C20:N20)</f>
        <v>0</v>
      </c>
      <c r="P20" s="120">
        <f t="shared" si="1"/>
        <v>17</v>
      </c>
    </row>
    <row r="21" spans="1:18" x14ac:dyDescent="0.35">
      <c r="A21" s="120">
        <f t="shared" si="0"/>
        <v>18</v>
      </c>
      <c r="B21" s="125" t="s">
        <v>256</v>
      </c>
      <c r="C21" s="117">
        <v>644806.99998048425</v>
      </c>
      <c r="D21" s="93">
        <v>628209.56395226612</v>
      </c>
      <c r="E21" s="93">
        <v>606239.10958392429</v>
      </c>
      <c r="F21" s="93">
        <v>641954.72219670436</v>
      </c>
      <c r="G21" s="93">
        <v>644149.65931696002</v>
      </c>
      <c r="H21" s="93">
        <v>700411.38047939178</v>
      </c>
      <c r="I21" s="93">
        <v>755801.86219317862</v>
      </c>
      <c r="J21" s="93">
        <v>781416.78340140195</v>
      </c>
      <c r="K21" s="93">
        <v>819513.9112937554</v>
      </c>
      <c r="L21" s="93">
        <v>753953.72490554093</v>
      </c>
      <c r="M21" s="93">
        <v>702521.71708867373</v>
      </c>
      <c r="N21" s="93">
        <v>673496.14438843436</v>
      </c>
      <c r="O21" s="199">
        <f>SUM(C21:N21)</f>
        <v>8352475.5787807154</v>
      </c>
      <c r="P21" s="120">
        <f t="shared" si="1"/>
        <v>18</v>
      </c>
    </row>
    <row r="22" spans="1:18" x14ac:dyDescent="0.35">
      <c r="A22" s="120">
        <f t="shared" si="0"/>
        <v>19</v>
      </c>
      <c r="B22" s="125" t="s">
        <v>257</v>
      </c>
      <c r="C22" s="117">
        <v>106784.53323291574</v>
      </c>
      <c r="D22" s="482">
        <v>94563.443677040777</v>
      </c>
      <c r="E22" s="482">
        <v>100541.1251937597</v>
      </c>
      <c r="F22" s="482">
        <v>107102.75851138537</v>
      </c>
      <c r="G22" s="482">
        <v>101752.87582892216</v>
      </c>
      <c r="H22" s="482">
        <v>99079.583626555599</v>
      </c>
      <c r="I22" s="482">
        <v>112820.32315891403</v>
      </c>
      <c r="J22" s="482">
        <v>117747.72009976661</v>
      </c>
      <c r="K22" s="482">
        <v>90851.022975601081</v>
      </c>
      <c r="L22" s="482">
        <v>87213.926707493723</v>
      </c>
      <c r="M22" s="482">
        <v>90826.037676834254</v>
      </c>
      <c r="N22" s="482">
        <v>82203.33645554645</v>
      </c>
      <c r="O22" s="199">
        <f>SUM(C22:N22)</f>
        <v>1191486.6871447354</v>
      </c>
      <c r="P22" s="120">
        <f t="shared" si="1"/>
        <v>19</v>
      </c>
    </row>
    <row r="23" spans="1:18" x14ac:dyDescent="0.35">
      <c r="A23" s="120">
        <f t="shared" si="0"/>
        <v>20</v>
      </c>
      <c r="B23" s="120" t="s">
        <v>18</v>
      </c>
      <c r="C23" s="225">
        <f>SUM(C20:C22)</f>
        <v>751591.53321340005</v>
      </c>
      <c r="D23" s="220">
        <f t="shared" ref="D23:O23" si="6">SUM(D20:D22)</f>
        <v>722773.00762930687</v>
      </c>
      <c r="E23" s="220">
        <f t="shared" si="6"/>
        <v>706780.23477768397</v>
      </c>
      <c r="F23" s="220">
        <f t="shared" si="6"/>
        <v>749057.48070808977</v>
      </c>
      <c r="G23" s="220">
        <f t="shared" si="6"/>
        <v>745902.53514588217</v>
      </c>
      <c r="H23" s="220">
        <f t="shared" si="6"/>
        <v>799490.96410594741</v>
      </c>
      <c r="I23" s="220">
        <f t="shared" si="6"/>
        <v>868622.18535209261</v>
      </c>
      <c r="J23" s="220">
        <f t="shared" si="6"/>
        <v>899164.50350116857</v>
      </c>
      <c r="K23" s="220">
        <f t="shared" si="6"/>
        <v>910364.93426935654</v>
      </c>
      <c r="L23" s="220">
        <f t="shared" si="6"/>
        <v>841167.65161303466</v>
      </c>
      <c r="M23" s="220">
        <f t="shared" si="6"/>
        <v>793347.754765508</v>
      </c>
      <c r="N23" s="220">
        <f t="shared" si="6"/>
        <v>755699.4808439808</v>
      </c>
      <c r="O23" s="226">
        <f t="shared" si="6"/>
        <v>9543962.2659254503</v>
      </c>
      <c r="P23" s="120">
        <f t="shared" si="1"/>
        <v>20</v>
      </c>
    </row>
    <row r="24" spans="1:18" ht="18" thickBot="1" x14ac:dyDescent="0.4">
      <c r="A24" s="121">
        <f>A23+1</f>
        <v>21</v>
      </c>
      <c r="B24" s="126"/>
      <c r="C24" s="212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124"/>
      <c r="P24" s="121">
        <f>P23+1</f>
        <v>21</v>
      </c>
    </row>
    <row r="26" spans="1:18" ht="18" thickBot="1" x14ac:dyDescent="0.4"/>
    <row r="27" spans="1:18" x14ac:dyDescent="0.35">
      <c r="A27" s="150" t="s">
        <v>8</v>
      </c>
      <c r="B27" s="985" t="s">
        <v>258</v>
      </c>
      <c r="C27" s="986"/>
      <c r="D27" s="986"/>
      <c r="E27" s="986"/>
      <c r="F27" s="986"/>
      <c r="G27" s="986"/>
      <c r="H27" s="986"/>
      <c r="I27" s="986"/>
      <c r="J27" s="986"/>
      <c r="K27" s="986"/>
      <c r="L27" s="986"/>
      <c r="M27" s="986"/>
      <c r="N27" s="986"/>
      <c r="O27" s="987"/>
      <c r="P27" s="150" t="s">
        <v>8</v>
      </c>
    </row>
    <row r="28" spans="1:18" ht="18" thickBot="1" x14ac:dyDescent="0.4">
      <c r="A28" s="121" t="s">
        <v>11</v>
      </c>
      <c r="B28" s="988" t="str">
        <f>B3</f>
        <v>Forecast Billing Determinants for the 12-Month Period: January 2024- December 2024</v>
      </c>
      <c r="C28" s="989"/>
      <c r="D28" s="989"/>
      <c r="E28" s="989"/>
      <c r="F28" s="989"/>
      <c r="G28" s="989"/>
      <c r="H28" s="989"/>
      <c r="I28" s="989"/>
      <c r="J28" s="989"/>
      <c r="K28" s="989"/>
      <c r="L28" s="989"/>
      <c r="M28" s="989"/>
      <c r="N28" s="989"/>
      <c r="O28" s="990"/>
      <c r="P28" s="121" t="s">
        <v>11</v>
      </c>
    </row>
    <row r="29" spans="1:18" x14ac:dyDescent="0.35">
      <c r="A29" s="120">
        <f>A24+1</f>
        <v>22</v>
      </c>
      <c r="B29" s="182" t="s">
        <v>244</v>
      </c>
      <c r="C29" s="224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22"/>
      <c r="P29" s="120">
        <f>P24+1</f>
        <v>22</v>
      </c>
    </row>
    <row r="30" spans="1:18" x14ac:dyDescent="0.35">
      <c r="A30" s="120">
        <f>A29+1</f>
        <v>23</v>
      </c>
      <c r="B30" s="184" t="s">
        <v>259</v>
      </c>
      <c r="C30" s="216">
        <f t="shared" ref="C30:N30" si="7">C5</f>
        <v>45292</v>
      </c>
      <c r="D30" s="217">
        <f t="shared" si="7"/>
        <v>45323</v>
      </c>
      <c r="E30" s="217">
        <f t="shared" si="7"/>
        <v>45352</v>
      </c>
      <c r="F30" s="217">
        <f t="shared" si="7"/>
        <v>45383</v>
      </c>
      <c r="G30" s="217">
        <f t="shared" si="7"/>
        <v>45413</v>
      </c>
      <c r="H30" s="217">
        <f t="shared" si="7"/>
        <v>45444</v>
      </c>
      <c r="I30" s="217">
        <f t="shared" si="7"/>
        <v>45474</v>
      </c>
      <c r="J30" s="217">
        <f t="shared" si="7"/>
        <v>45505</v>
      </c>
      <c r="K30" s="217">
        <f t="shared" si="7"/>
        <v>45536</v>
      </c>
      <c r="L30" s="217">
        <f t="shared" si="7"/>
        <v>45566</v>
      </c>
      <c r="M30" s="217">
        <f t="shared" si="7"/>
        <v>45597</v>
      </c>
      <c r="N30" s="217">
        <f t="shared" si="7"/>
        <v>45627</v>
      </c>
      <c r="O30" s="185" t="s">
        <v>18</v>
      </c>
      <c r="P30" s="120">
        <f>P29+1</f>
        <v>23</v>
      </c>
      <c r="Q30" s="765"/>
    </row>
    <row r="31" spans="1:18" x14ac:dyDescent="0.35">
      <c r="A31" s="120">
        <f>A30+1</f>
        <v>24</v>
      </c>
      <c r="B31" s="149" t="s">
        <v>246</v>
      </c>
      <c r="C31" s="198">
        <f t="shared" ref="C31:N31" si="8">C6*1000</f>
        <v>600956182.3716675</v>
      </c>
      <c r="D31" s="177">
        <f t="shared" si="8"/>
        <v>501221888.44971186</v>
      </c>
      <c r="E31" s="177">
        <f t="shared" si="8"/>
        <v>446282371.27663541</v>
      </c>
      <c r="F31" s="177">
        <f t="shared" si="8"/>
        <v>392460313.75987303</v>
      </c>
      <c r="G31" s="177">
        <f t="shared" si="8"/>
        <v>377100203.70278507</v>
      </c>
      <c r="H31" s="177">
        <f t="shared" si="8"/>
        <v>416762793.60261565</v>
      </c>
      <c r="I31" s="177">
        <f t="shared" si="8"/>
        <v>525656342.60944217</v>
      </c>
      <c r="J31" s="177">
        <f t="shared" si="8"/>
        <v>620628554.52142882</v>
      </c>
      <c r="K31" s="177">
        <f t="shared" si="8"/>
        <v>656306604.67005837</v>
      </c>
      <c r="L31" s="177">
        <f t="shared" si="8"/>
        <v>525369758.79172343</v>
      </c>
      <c r="M31" s="177">
        <f t="shared" si="8"/>
        <v>464778383.15024245</v>
      </c>
      <c r="N31" s="177">
        <f t="shared" si="8"/>
        <v>531636879.53145432</v>
      </c>
      <c r="O31" s="199">
        <f>SUM(C31:N31)</f>
        <v>6059160276.4376383</v>
      </c>
      <c r="P31" s="120">
        <f>P30+1</f>
        <v>24</v>
      </c>
      <c r="Q31" s="765"/>
      <c r="R31" s="766"/>
    </row>
    <row r="32" spans="1:18" x14ac:dyDescent="0.35">
      <c r="A32" s="120">
        <f t="shared" ref="A32:A48" si="9">A31+1</f>
        <v>25</v>
      </c>
      <c r="B32" s="149" t="s">
        <v>247</v>
      </c>
      <c r="C32" s="198">
        <f t="shared" ref="C32:N32" si="10">C7*1000</f>
        <v>181530130.84879759</v>
      </c>
      <c r="D32" s="177">
        <f t="shared" si="10"/>
        <v>175691811.02968782</v>
      </c>
      <c r="E32" s="177">
        <f t="shared" si="10"/>
        <v>171138423.0895721</v>
      </c>
      <c r="F32" s="177">
        <f t="shared" si="10"/>
        <v>172875749.79857507</v>
      </c>
      <c r="G32" s="177">
        <f t="shared" si="10"/>
        <v>171358769.67227325</v>
      </c>
      <c r="H32" s="177">
        <f t="shared" si="10"/>
        <v>183426786.90204415</v>
      </c>
      <c r="I32" s="177">
        <f t="shared" si="10"/>
        <v>203198304.34812796</v>
      </c>
      <c r="J32" s="177">
        <f t="shared" si="10"/>
        <v>213885654.47013554</v>
      </c>
      <c r="K32" s="177">
        <f t="shared" si="10"/>
        <v>221965118.21144944</v>
      </c>
      <c r="L32" s="177">
        <f t="shared" si="10"/>
        <v>200473013.37395006</v>
      </c>
      <c r="M32" s="177">
        <f t="shared" si="10"/>
        <v>185572672.27053156</v>
      </c>
      <c r="N32" s="177">
        <f t="shared" si="10"/>
        <v>182348362.92665175</v>
      </c>
      <c r="O32" s="199">
        <f>SUM(C32:N32)</f>
        <v>2263464796.9417963</v>
      </c>
      <c r="P32" s="120">
        <f t="shared" ref="P32:P48" si="11">P31+1</f>
        <v>25</v>
      </c>
    </row>
    <row r="33" spans="1:18" x14ac:dyDescent="0.35">
      <c r="A33" s="120">
        <f t="shared" si="9"/>
        <v>26</v>
      </c>
      <c r="B33" s="149" t="s">
        <v>248</v>
      </c>
      <c r="C33" s="200">
        <f>C48</f>
        <v>751591533.21340001</v>
      </c>
      <c r="D33" s="201">
        <f>D48</f>
        <v>722773007.62930691</v>
      </c>
      <c r="E33" s="201">
        <f t="shared" ref="E33:N33" si="12">E48</f>
        <v>706780234.77768397</v>
      </c>
      <c r="F33" s="201">
        <f t="shared" si="12"/>
        <v>749057480.70808971</v>
      </c>
      <c r="G33" s="201">
        <f t="shared" si="12"/>
        <v>745902535.14588213</v>
      </c>
      <c r="H33" s="201">
        <f t="shared" si="12"/>
        <v>799490964.10594738</v>
      </c>
      <c r="I33" s="201">
        <f t="shared" si="12"/>
        <v>868622185.35209274</v>
      </c>
      <c r="J33" s="201">
        <f t="shared" si="12"/>
        <v>899164503.50116861</v>
      </c>
      <c r="K33" s="201">
        <f t="shared" si="12"/>
        <v>910364934.26935649</v>
      </c>
      <c r="L33" s="201">
        <f t="shared" si="12"/>
        <v>841167651.61303473</v>
      </c>
      <c r="M33" s="201">
        <f t="shared" si="12"/>
        <v>793347754.76550794</v>
      </c>
      <c r="N33" s="201">
        <f t="shared" si="12"/>
        <v>755699480.84398091</v>
      </c>
      <c r="O33" s="199">
        <f>SUM(C33:N33)</f>
        <v>9543962265.9254513</v>
      </c>
      <c r="P33" s="120">
        <f t="shared" si="11"/>
        <v>26</v>
      </c>
    </row>
    <row r="34" spans="1:18" x14ac:dyDescent="0.35">
      <c r="A34" s="120">
        <f t="shared" si="9"/>
        <v>27</v>
      </c>
      <c r="B34" s="202" t="s">
        <v>477</v>
      </c>
      <c r="C34" s="198">
        <f t="shared" ref="C34:N35" si="13">C9*1000</f>
        <v>595716</v>
      </c>
      <c r="D34" s="201">
        <f t="shared" si="13"/>
        <v>724428</v>
      </c>
      <c r="E34" s="201">
        <f t="shared" si="13"/>
        <v>727404</v>
      </c>
      <c r="F34" s="201">
        <f t="shared" si="13"/>
        <v>713144</v>
      </c>
      <c r="G34" s="201">
        <f t="shared" si="13"/>
        <v>167496</v>
      </c>
      <c r="H34" s="201">
        <f t="shared" si="13"/>
        <v>400000</v>
      </c>
      <c r="I34" s="934">
        <f t="shared" si="13"/>
        <v>0</v>
      </c>
      <c r="J34" s="934">
        <f t="shared" si="13"/>
        <v>0</v>
      </c>
      <c r="K34" s="934">
        <f t="shared" si="13"/>
        <v>28404</v>
      </c>
      <c r="L34" s="934">
        <f t="shared" si="13"/>
        <v>328248</v>
      </c>
      <c r="M34" s="934">
        <f t="shared" si="13"/>
        <v>280140</v>
      </c>
      <c r="N34" s="934">
        <f t="shared" si="13"/>
        <v>632892</v>
      </c>
      <c r="O34" s="199">
        <f>SUM(C34:N34)</f>
        <v>4597872</v>
      </c>
      <c r="P34" s="120">
        <f t="shared" si="11"/>
        <v>27</v>
      </c>
    </row>
    <row r="35" spans="1:18" x14ac:dyDescent="0.35">
      <c r="A35" s="120">
        <f t="shared" si="9"/>
        <v>28</v>
      </c>
      <c r="B35" s="202" t="s">
        <v>249</v>
      </c>
      <c r="C35" s="198">
        <f t="shared" si="13"/>
        <v>5941638.1450993568</v>
      </c>
      <c r="D35" s="177">
        <f t="shared" si="13"/>
        <v>8249350.7242515702</v>
      </c>
      <c r="E35" s="177">
        <f t="shared" si="13"/>
        <v>7290739.319260682</v>
      </c>
      <c r="F35" s="177">
        <f t="shared" si="13"/>
        <v>8401104.4688614123</v>
      </c>
      <c r="G35" s="177">
        <f t="shared" si="13"/>
        <v>10667586.054941036</v>
      </c>
      <c r="H35" s="177">
        <f t="shared" si="13"/>
        <v>11706633.601816563</v>
      </c>
      <c r="I35" s="177">
        <f t="shared" si="13"/>
        <v>12604148.016855329</v>
      </c>
      <c r="J35" s="177">
        <f t="shared" si="13"/>
        <v>12994441.56316285</v>
      </c>
      <c r="K35" s="177">
        <f t="shared" si="13"/>
        <v>13239169.105003502</v>
      </c>
      <c r="L35" s="177">
        <f t="shared" si="13"/>
        <v>11464926.458473155</v>
      </c>
      <c r="M35" s="177">
        <f t="shared" si="13"/>
        <v>8767886.2154162787</v>
      </c>
      <c r="N35" s="177">
        <f t="shared" si="13"/>
        <v>8434773.2657557912</v>
      </c>
      <c r="O35" s="199">
        <f t="shared" ref="O35:O36" si="14">SUM(C35:N35)</f>
        <v>119762396.93889754</v>
      </c>
      <c r="P35" s="120">
        <f t="shared" si="11"/>
        <v>28</v>
      </c>
    </row>
    <row r="36" spans="1:18" x14ac:dyDescent="0.35">
      <c r="A36" s="120">
        <f t="shared" si="9"/>
        <v>29</v>
      </c>
      <c r="B36" s="202" t="s">
        <v>105</v>
      </c>
      <c r="C36" s="198">
        <f t="shared" ref="C36:N36" si="15">C11*1000</f>
        <v>14566080.967748553</v>
      </c>
      <c r="D36" s="177">
        <f t="shared" si="15"/>
        <v>15384762.175613916</v>
      </c>
      <c r="E36" s="177">
        <f t="shared" si="15"/>
        <v>14626906.471273895</v>
      </c>
      <c r="F36" s="177">
        <f t="shared" si="15"/>
        <v>16841653.31714857</v>
      </c>
      <c r="G36" s="177">
        <f t="shared" si="15"/>
        <v>18251444.699619252</v>
      </c>
      <c r="H36" s="177">
        <f t="shared" si="15"/>
        <v>19802348.096367005</v>
      </c>
      <c r="I36" s="177">
        <f t="shared" si="15"/>
        <v>22410225.208110835</v>
      </c>
      <c r="J36" s="177">
        <f t="shared" si="15"/>
        <v>21856569.408463039</v>
      </c>
      <c r="K36" s="177">
        <f t="shared" si="15"/>
        <v>22291279.209385034</v>
      </c>
      <c r="L36" s="177">
        <f t="shared" si="15"/>
        <v>20085383.000222251</v>
      </c>
      <c r="M36" s="177">
        <f t="shared" si="15"/>
        <v>18856389.9300525</v>
      </c>
      <c r="N36" s="177">
        <f t="shared" si="15"/>
        <v>16967494.891915545</v>
      </c>
      <c r="O36" s="199">
        <f t="shared" si="14"/>
        <v>221940537.37592036</v>
      </c>
      <c r="P36" s="120">
        <f t="shared" si="11"/>
        <v>29</v>
      </c>
    </row>
    <row r="37" spans="1:18" x14ac:dyDescent="0.35">
      <c r="A37" s="120">
        <f t="shared" si="9"/>
        <v>30</v>
      </c>
      <c r="B37" s="149" t="s">
        <v>250</v>
      </c>
      <c r="C37" s="198">
        <f t="shared" ref="C37:N37" si="16">C12*1000</f>
        <v>6456705.3676387388</v>
      </c>
      <c r="D37" s="177">
        <f t="shared" si="16"/>
        <v>6444013.2872733567</v>
      </c>
      <c r="E37" s="177">
        <f t="shared" si="16"/>
        <v>6498476.1106686704</v>
      </c>
      <c r="F37" s="177">
        <f t="shared" si="16"/>
        <v>6930078.0189573411</v>
      </c>
      <c r="G37" s="177">
        <f t="shared" si="16"/>
        <v>6341425.1395615386</v>
      </c>
      <c r="H37" s="177">
        <f t="shared" si="16"/>
        <v>6363747.7890571663</v>
      </c>
      <c r="I37" s="177">
        <f t="shared" si="16"/>
        <v>6440289.3659817632</v>
      </c>
      <c r="J37" s="177">
        <f t="shared" si="16"/>
        <v>6262475.9203543803</v>
      </c>
      <c r="K37" s="177">
        <f t="shared" si="16"/>
        <v>6518034.2895418704</v>
      </c>
      <c r="L37" s="177">
        <f t="shared" si="16"/>
        <v>6381736.302839567</v>
      </c>
      <c r="M37" s="177">
        <f t="shared" si="16"/>
        <v>6425383.2416884284</v>
      </c>
      <c r="N37" s="177">
        <f t="shared" si="16"/>
        <v>6493207.1985863773</v>
      </c>
      <c r="O37" s="199">
        <f>SUM(C37:N37)</f>
        <v>77555572.032149196</v>
      </c>
      <c r="P37" s="120">
        <f t="shared" si="11"/>
        <v>30</v>
      </c>
    </row>
    <row r="38" spans="1:18" x14ac:dyDescent="0.35">
      <c r="A38" s="120">
        <f t="shared" si="9"/>
        <v>31</v>
      </c>
      <c r="B38" s="203" t="s">
        <v>7</v>
      </c>
      <c r="C38" s="198">
        <f t="shared" ref="C38:N38" si="17">C13*1000</f>
        <v>7724.833333333333</v>
      </c>
      <c r="D38" s="177">
        <f t="shared" si="17"/>
        <v>7724.833333333333</v>
      </c>
      <c r="E38" s="177">
        <f t="shared" si="17"/>
        <v>7724.833333333333</v>
      </c>
      <c r="F38" s="177">
        <f t="shared" si="17"/>
        <v>7724.833333333333</v>
      </c>
      <c r="G38" s="177">
        <f t="shared" si="17"/>
        <v>7724.833333333333</v>
      </c>
      <c r="H38" s="177">
        <f t="shared" si="17"/>
        <v>7724.833333333333</v>
      </c>
      <c r="I38" s="177">
        <f t="shared" si="17"/>
        <v>7724.833333333333</v>
      </c>
      <c r="J38" s="177">
        <f t="shared" si="17"/>
        <v>7724.833333333333</v>
      </c>
      <c r="K38" s="177">
        <f t="shared" si="17"/>
        <v>7724.833333333333</v>
      </c>
      <c r="L38" s="177">
        <f t="shared" si="17"/>
        <v>7724.833333333333</v>
      </c>
      <c r="M38" s="177">
        <f t="shared" si="17"/>
        <v>7724.833333333333</v>
      </c>
      <c r="N38" s="177">
        <f t="shared" si="17"/>
        <v>7724.833333333333</v>
      </c>
      <c r="O38" s="199">
        <f>SUM(C38:N38)</f>
        <v>92697.999999999985</v>
      </c>
      <c r="P38" s="120">
        <f t="shared" si="11"/>
        <v>31</v>
      </c>
      <c r="Q38" s="767"/>
    </row>
    <row r="39" spans="1:18" ht="18" thickBot="1" x14ac:dyDescent="0.4">
      <c r="A39" s="120">
        <f t="shared" si="9"/>
        <v>32</v>
      </c>
      <c r="B39" s="204" t="s">
        <v>251</v>
      </c>
      <c r="C39" s="205">
        <f>SUM(C31:C38)</f>
        <v>1561645711.7476852</v>
      </c>
      <c r="D39" s="206">
        <f t="shared" ref="D39:N39" si="18">SUM(D31:D38)</f>
        <v>1430496986.1291785</v>
      </c>
      <c r="E39" s="206">
        <f t="shared" si="18"/>
        <v>1353352279.8784277</v>
      </c>
      <c r="F39" s="206">
        <f t="shared" si="18"/>
        <v>1347287248.9048383</v>
      </c>
      <c r="G39" s="206">
        <f t="shared" si="18"/>
        <v>1329797185.2483954</v>
      </c>
      <c r="H39" s="206">
        <f t="shared" si="18"/>
        <v>1437960998.9311814</v>
      </c>
      <c r="I39" s="206">
        <f t="shared" si="18"/>
        <v>1638939219.7339439</v>
      </c>
      <c r="J39" s="206">
        <f t="shared" si="18"/>
        <v>1774799924.2180464</v>
      </c>
      <c r="K39" s="206">
        <f t="shared" si="18"/>
        <v>1830721268.5881281</v>
      </c>
      <c r="L39" s="206">
        <f t="shared" si="18"/>
        <v>1605278442.3735764</v>
      </c>
      <c r="M39" s="206">
        <f t="shared" si="18"/>
        <v>1478036334.4067724</v>
      </c>
      <c r="N39" s="206">
        <f t="shared" si="18"/>
        <v>1502220815.491678</v>
      </c>
      <c r="O39" s="207">
        <f>SUM(O31:O38)</f>
        <v>18290536415.651852</v>
      </c>
      <c r="P39" s="120">
        <f t="shared" si="11"/>
        <v>32</v>
      </c>
      <c r="Q39" s="767"/>
    </row>
    <row r="40" spans="1:18" ht="18" thickTop="1" x14ac:dyDescent="0.35">
      <c r="A40" s="120">
        <f t="shared" si="9"/>
        <v>33</v>
      </c>
      <c r="B40" s="208"/>
      <c r="C40" s="200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199"/>
      <c r="P40" s="120">
        <f t="shared" si="11"/>
        <v>33</v>
      </c>
      <c r="Q40" s="453"/>
    </row>
    <row r="41" spans="1:18" ht="18" thickBot="1" x14ac:dyDescent="0.4">
      <c r="A41" s="120">
        <f t="shared" si="9"/>
        <v>34</v>
      </c>
      <c r="B41" s="204" t="s">
        <v>252</v>
      </c>
      <c r="C41" s="209">
        <f>SUM(C31:C37)</f>
        <v>1561637986.9143519</v>
      </c>
      <c r="D41" s="210">
        <f>SUM(D31:D37)</f>
        <v>1430489261.2958453</v>
      </c>
      <c r="E41" s="210">
        <f t="shared" ref="E41:O41" si="19">SUM(E31:E37)</f>
        <v>1353344555.0450945</v>
      </c>
      <c r="F41" s="210">
        <f t="shared" si="19"/>
        <v>1347279524.0715051</v>
      </c>
      <c r="G41" s="210">
        <f t="shared" si="19"/>
        <v>1329789460.4150622</v>
      </c>
      <c r="H41" s="210">
        <f t="shared" si="19"/>
        <v>1437953274.0978482</v>
      </c>
      <c r="I41" s="210">
        <f t="shared" si="19"/>
        <v>1638931494.9006107</v>
      </c>
      <c r="J41" s="210">
        <f t="shared" si="19"/>
        <v>1774792199.3847132</v>
      </c>
      <c r="K41" s="210">
        <f t="shared" si="19"/>
        <v>1830713543.7547948</v>
      </c>
      <c r="L41" s="210">
        <f t="shared" si="19"/>
        <v>1605270717.5402431</v>
      </c>
      <c r="M41" s="210">
        <f t="shared" si="19"/>
        <v>1478028609.5734391</v>
      </c>
      <c r="N41" s="210">
        <f t="shared" si="19"/>
        <v>1502213090.6583447</v>
      </c>
      <c r="O41" s="211">
        <f t="shared" si="19"/>
        <v>18290443717.651852</v>
      </c>
      <c r="P41" s="120">
        <f t="shared" si="11"/>
        <v>34</v>
      </c>
      <c r="Q41" s="767"/>
    </row>
    <row r="42" spans="1:18" ht="18.5" thickTop="1" thickBot="1" x14ac:dyDescent="0.4">
      <c r="A42" s="120">
        <f t="shared" si="9"/>
        <v>35</v>
      </c>
      <c r="B42" s="212"/>
      <c r="C42" s="212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213"/>
      <c r="O42" s="362"/>
      <c r="P42" s="120">
        <f t="shared" si="11"/>
        <v>35</v>
      </c>
      <c r="Q42" s="243"/>
      <c r="R42" s="888">
        <f>O41-'Stmnt BD - Forecast KWH'!E26</f>
        <v>0</v>
      </c>
    </row>
    <row r="43" spans="1:18" x14ac:dyDescent="0.35">
      <c r="A43" s="120">
        <f t="shared" si="9"/>
        <v>36</v>
      </c>
      <c r="B43" s="215" t="s">
        <v>262</v>
      </c>
      <c r="C43" s="216">
        <f>C30</f>
        <v>45292</v>
      </c>
      <c r="D43" s="217">
        <f t="shared" ref="D43:O43" si="20">D30</f>
        <v>45323</v>
      </c>
      <c r="E43" s="217">
        <f t="shared" si="20"/>
        <v>45352</v>
      </c>
      <c r="F43" s="217">
        <f t="shared" si="20"/>
        <v>45383</v>
      </c>
      <c r="G43" s="217">
        <f t="shared" si="20"/>
        <v>45413</v>
      </c>
      <c r="H43" s="217">
        <f t="shared" si="20"/>
        <v>45444</v>
      </c>
      <c r="I43" s="217">
        <f t="shared" si="20"/>
        <v>45474</v>
      </c>
      <c r="J43" s="217">
        <f t="shared" si="20"/>
        <v>45505</v>
      </c>
      <c r="K43" s="217">
        <f t="shared" si="20"/>
        <v>45536</v>
      </c>
      <c r="L43" s="217">
        <f t="shared" si="20"/>
        <v>45566</v>
      </c>
      <c r="M43" s="217">
        <f t="shared" si="20"/>
        <v>45597</v>
      </c>
      <c r="N43" s="217">
        <f t="shared" si="20"/>
        <v>45627</v>
      </c>
      <c r="O43" s="185" t="str">
        <f t="shared" si="20"/>
        <v>Total</v>
      </c>
      <c r="P43" s="120">
        <f t="shared" si="11"/>
        <v>36</v>
      </c>
    </row>
    <row r="44" spans="1:18" x14ac:dyDescent="0.35">
      <c r="A44" s="120">
        <f t="shared" si="9"/>
        <v>37</v>
      </c>
      <c r="B44" s="218" t="s">
        <v>260</v>
      </c>
      <c r="C44" s="219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123"/>
      <c r="P44" s="120">
        <f t="shared" si="11"/>
        <v>37</v>
      </c>
    </row>
    <row r="45" spans="1:18" x14ac:dyDescent="0.35">
      <c r="A45" s="120">
        <f t="shared" si="9"/>
        <v>38</v>
      </c>
      <c r="B45" s="125" t="s">
        <v>255</v>
      </c>
      <c r="C45" s="117">
        <f t="shared" ref="C45:N45" si="21">C20*1000</f>
        <v>0</v>
      </c>
      <c r="D45" s="197">
        <f t="shared" si="21"/>
        <v>0</v>
      </c>
      <c r="E45" s="197">
        <f t="shared" si="21"/>
        <v>0</v>
      </c>
      <c r="F45" s="197">
        <f t="shared" si="21"/>
        <v>0</v>
      </c>
      <c r="G45" s="197">
        <f t="shared" si="21"/>
        <v>0</v>
      </c>
      <c r="H45" s="197">
        <f t="shared" si="21"/>
        <v>0</v>
      </c>
      <c r="I45" s="197">
        <f t="shared" si="21"/>
        <v>0</v>
      </c>
      <c r="J45" s="197">
        <f t="shared" si="21"/>
        <v>0</v>
      </c>
      <c r="K45" s="197">
        <f t="shared" si="21"/>
        <v>0</v>
      </c>
      <c r="L45" s="197">
        <f t="shared" si="21"/>
        <v>0</v>
      </c>
      <c r="M45" s="197">
        <f t="shared" si="21"/>
        <v>0</v>
      </c>
      <c r="N45" s="197">
        <f t="shared" si="21"/>
        <v>0</v>
      </c>
      <c r="O45" s="855">
        <f>SUM(C45:N45)</f>
        <v>0</v>
      </c>
      <c r="P45" s="120">
        <f t="shared" si="11"/>
        <v>38</v>
      </c>
    </row>
    <row r="46" spans="1:18" x14ac:dyDescent="0.35">
      <c r="A46" s="120">
        <f t="shared" si="9"/>
        <v>39</v>
      </c>
      <c r="B46" s="125" t="s">
        <v>256</v>
      </c>
      <c r="C46" s="117">
        <f t="shared" ref="C46:N46" si="22">C21*1000</f>
        <v>644806999.98048425</v>
      </c>
      <c r="D46" s="197">
        <f t="shared" si="22"/>
        <v>628209563.9522661</v>
      </c>
      <c r="E46" s="197">
        <f t="shared" si="22"/>
        <v>606239109.58392429</v>
      </c>
      <c r="F46" s="197">
        <f t="shared" si="22"/>
        <v>641954722.19670439</v>
      </c>
      <c r="G46" s="197">
        <f t="shared" si="22"/>
        <v>644149659.31695998</v>
      </c>
      <c r="H46" s="197">
        <f t="shared" si="22"/>
        <v>700411380.47939181</v>
      </c>
      <c r="I46" s="197">
        <f t="shared" si="22"/>
        <v>755801862.19317865</v>
      </c>
      <c r="J46" s="197">
        <f t="shared" si="22"/>
        <v>781416783.401402</v>
      </c>
      <c r="K46" s="197">
        <f t="shared" si="22"/>
        <v>819513911.29375541</v>
      </c>
      <c r="L46" s="197">
        <f t="shared" si="22"/>
        <v>753953724.90554094</v>
      </c>
      <c r="M46" s="197">
        <f t="shared" si="22"/>
        <v>702521717.08867371</v>
      </c>
      <c r="N46" s="197">
        <f t="shared" si="22"/>
        <v>673496144.38843441</v>
      </c>
      <c r="O46" s="855">
        <f>SUM(C46:N46)</f>
        <v>8352475578.7807159</v>
      </c>
      <c r="P46" s="120">
        <f t="shared" si="11"/>
        <v>39</v>
      </c>
    </row>
    <row r="47" spans="1:18" x14ac:dyDescent="0.35">
      <c r="A47" s="120">
        <f t="shared" si="9"/>
        <v>40</v>
      </c>
      <c r="B47" s="125" t="s">
        <v>257</v>
      </c>
      <c r="C47" s="117">
        <f t="shared" ref="C47:N47" si="23">C22*1000</f>
        <v>106784533.23291574</v>
      </c>
      <c r="D47" s="197">
        <f t="shared" si="23"/>
        <v>94563443.677040771</v>
      </c>
      <c r="E47" s="197">
        <f t="shared" si="23"/>
        <v>100541125.19375969</v>
      </c>
      <c r="F47" s="197">
        <f t="shared" si="23"/>
        <v>107102758.51138537</v>
      </c>
      <c r="G47" s="197">
        <f t="shared" si="23"/>
        <v>101752875.82892215</v>
      </c>
      <c r="H47" s="197">
        <f t="shared" si="23"/>
        <v>99079583.626555592</v>
      </c>
      <c r="I47" s="197">
        <f t="shared" si="23"/>
        <v>112820323.15891403</v>
      </c>
      <c r="J47" s="197">
        <f t="shared" si="23"/>
        <v>117747720.09976661</v>
      </c>
      <c r="K47" s="197">
        <f t="shared" si="23"/>
        <v>90851022.975601077</v>
      </c>
      <c r="L47" s="197">
        <f t="shared" si="23"/>
        <v>87213926.707493722</v>
      </c>
      <c r="M47" s="197">
        <f t="shared" si="23"/>
        <v>90826037.676834255</v>
      </c>
      <c r="N47" s="197">
        <f t="shared" si="23"/>
        <v>82203336.455546454</v>
      </c>
      <c r="O47" s="855">
        <f>SUM(C47:N47)</f>
        <v>1191486687.1447356</v>
      </c>
      <c r="P47" s="120">
        <f t="shared" si="11"/>
        <v>40</v>
      </c>
    </row>
    <row r="48" spans="1:18" ht="18" thickBot="1" x14ac:dyDescent="0.4">
      <c r="A48" s="120">
        <f t="shared" si="9"/>
        <v>41</v>
      </c>
      <c r="B48" s="120" t="s">
        <v>18</v>
      </c>
      <c r="C48" s="221">
        <f>SUM(C45:C47)</f>
        <v>751591533.21340001</v>
      </c>
      <c r="D48" s="222">
        <f t="shared" ref="D48:O48" si="24">SUM(D45:D47)</f>
        <v>722773007.62930691</v>
      </c>
      <c r="E48" s="222">
        <f t="shared" si="24"/>
        <v>706780234.77768397</v>
      </c>
      <c r="F48" s="222">
        <f t="shared" si="24"/>
        <v>749057480.70808971</v>
      </c>
      <c r="G48" s="222">
        <f t="shared" si="24"/>
        <v>745902535.14588213</v>
      </c>
      <c r="H48" s="222">
        <f t="shared" si="24"/>
        <v>799490964.10594738</v>
      </c>
      <c r="I48" s="222">
        <f t="shared" si="24"/>
        <v>868622185.35209274</v>
      </c>
      <c r="J48" s="222">
        <f t="shared" si="24"/>
        <v>899164503.50116861</v>
      </c>
      <c r="K48" s="222">
        <f t="shared" si="24"/>
        <v>910364934.26935649</v>
      </c>
      <c r="L48" s="222">
        <f t="shared" si="24"/>
        <v>841167651.61303473</v>
      </c>
      <c r="M48" s="222">
        <f t="shared" si="24"/>
        <v>793347754.76550794</v>
      </c>
      <c r="N48" s="222">
        <f t="shared" si="24"/>
        <v>755699480.84398091</v>
      </c>
      <c r="O48" s="223">
        <f t="shared" si="24"/>
        <v>9543962265.9254513</v>
      </c>
      <c r="P48" s="120">
        <f t="shared" si="11"/>
        <v>41</v>
      </c>
    </row>
    <row r="49" spans="1:16" ht="18.5" thickTop="1" thickBot="1" x14ac:dyDescent="0.4">
      <c r="A49" s="121">
        <f>A48+1</f>
        <v>42</v>
      </c>
      <c r="B49" s="126"/>
      <c r="C49" s="212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124"/>
      <c r="P49" s="121">
        <f>P48+1</f>
        <v>42</v>
      </c>
    </row>
  </sheetData>
  <mergeCells count="4">
    <mergeCell ref="B2:O2"/>
    <mergeCell ref="B3:O3"/>
    <mergeCell ref="B27:O27"/>
    <mergeCell ref="B28:O28"/>
  </mergeCells>
  <printOptions horizontalCentered="1"/>
  <pageMargins left="0.25" right="0.25" top="0.5" bottom="0.5" header="0.25" footer="0.25"/>
  <pageSetup scale="52" orientation="landscape" r:id="rId1"/>
  <headerFooter scaleWithDoc="0" alignWithMargins="0">
    <oddFooter>&amp;L&amp;"Times New Roman,Regular"&amp;11&amp;F&amp;C&amp;"Times New Roman,Regular"&amp;11Page 1.2&amp;R&amp;"Times New Roman,Regular"&amp;11&amp;A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H29"/>
  <sheetViews>
    <sheetView zoomScale="80" zoomScaleNormal="80" zoomScaleSheetLayoutView="100" workbookViewId="0"/>
  </sheetViews>
  <sheetFormatPr defaultColWidth="8.54296875" defaultRowHeight="13" x14ac:dyDescent="0.3"/>
  <cols>
    <col min="1" max="1" width="5.54296875" style="1" customWidth="1"/>
    <col min="2" max="2" width="52.54296875" style="2" customWidth="1"/>
    <col min="3" max="3" width="18.54296875" style="2" customWidth="1"/>
    <col min="4" max="4" width="21.453125" style="1" bestFit="1" customWidth="1"/>
    <col min="5" max="5" width="20.54296875" style="1" bestFit="1" customWidth="1"/>
    <col min="6" max="6" width="18.54296875" style="1" customWidth="1"/>
    <col min="7" max="7" width="36.1796875" style="1" customWidth="1"/>
    <col min="8" max="8" width="5.54296875" style="1" customWidth="1"/>
    <col min="9" max="10" width="15.54296875" style="1" customWidth="1"/>
    <col min="11" max="16384" width="8.54296875" style="1"/>
  </cols>
  <sheetData>
    <row r="1" spans="1:8" ht="15" x14ac:dyDescent="0.3">
      <c r="B1" s="5"/>
      <c r="C1" s="5"/>
      <c r="D1" s="6"/>
      <c r="E1" s="6"/>
      <c r="F1" s="6"/>
      <c r="G1" s="6"/>
    </row>
    <row r="2" spans="1:8" ht="15" x14ac:dyDescent="0.3">
      <c r="B2" s="5" t="s">
        <v>1</v>
      </c>
      <c r="C2" s="5"/>
      <c r="D2" s="6"/>
      <c r="E2" s="6"/>
      <c r="F2" s="6"/>
      <c r="G2" s="6"/>
    </row>
    <row r="3" spans="1:8" ht="15.75" customHeight="1" x14ac:dyDescent="0.3">
      <c r="B3" s="976" t="str">
        <f>'Stmnt BD - Recorded KWH'!A4</f>
        <v>2024 - TRBAA Rate Filing</v>
      </c>
      <c r="C3" s="976"/>
      <c r="D3" s="976"/>
      <c r="E3" s="976"/>
      <c r="F3" s="976"/>
      <c r="G3" s="976"/>
    </row>
    <row r="4" spans="1:8" ht="15" x14ac:dyDescent="0.3">
      <c r="B4" s="5" t="s">
        <v>263</v>
      </c>
      <c r="C4" s="5"/>
      <c r="D4" s="6"/>
      <c r="E4" s="6"/>
      <c r="F4" s="6"/>
      <c r="G4" s="6"/>
    </row>
    <row r="5" spans="1:8" ht="15.5" thickBot="1" x14ac:dyDescent="0.35">
      <c r="B5" s="5"/>
      <c r="C5" s="5"/>
      <c r="D5" s="6"/>
      <c r="E5" s="6"/>
      <c r="F5" s="6"/>
      <c r="G5" s="6"/>
    </row>
    <row r="6" spans="1:8" ht="15" x14ac:dyDescent="0.3">
      <c r="A6" s="287"/>
      <c r="B6" s="589"/>
      <c r="C6" s="547" t="s">
        <v>3</v>
      </c>
      <c r="D6" s="547" t="s">
        <v>4</v>
      </c>
      <c r="E6" s="547" t="s">
        <v>113</v>
      </c>
      <c r="F6" s="547" t="s">
        <v>114</v>
      </c>
      <c r="G6" s="456"/>
      <c r="H6" s="548"/>
    </row>
    <row r="7" spans="1:8" ht="15" x14ac:dyDescent="0.3">
      <c r="A7" s="551" t="s">
        <v>8</v>
      </c>
      <c r="B7" s="75"/>
      <c r="C7" s="75" t="s">
        <v>264</v>
      </c>
      <c r="D7" s="587" t="s">
        <v>228</v>
      </c>
      <c r="E7" s="587" t="s">
        <v>229</v>
      </c>
      <c r="F7" s="75"/>
      <c r="G7" s="587"/>
      <c r="H7" s="552" t="s">
        <v>8</v>
      </c>
    </row>
    <row r="8" spans="1:8" ht="15.5" thickBot="1" x14ac:dyDescent="0.35">
      <c r="A8" s="569" t="s">
        <v>11</v>
      </c>
      <c r="B8" s="153" t="s">
        <v>173</v>
      </c>
      <c r="C8" s="153" t="s">
        <v>265</v>
      </c>
      <c r="D8" s="593" t="s">
        <v>266</v>
      </c>
      <c r="E8" s="593" t="s">
        <v>266</v>
      </c>
      <c r="F8" s="153" t="s">
        <v>18</v>
      </c>
      <c r="G8" s="593" t="s">
        <v>16</v>
      </c>
      <c r="H8" s="570" t="s">
        <v>11</v>
      </c>
    </row>
    <row r="9" spans="1:8" ht="15.5" x14ac:dyDescent="0.35">
      <c r="A9" s="333"/>
      <c r="B9" s="10"/>
      <c r="C9" s="75"/>
      <c r="D9" s="19"/>
      <c r="E9" s="19"/>
      <c r="F9" s="10"/>
      <c r="G9" s="23"/>
      <c r="H9" s="349"/>
    </row>
    <row r="10" spans="1:8" ht="16" thickBot="1" x14ac:dyDescent="0.4">
      <c r="A10" s="263">
        <v>1</v>
      </c>
      <c r="B10" s="18" t="s">
        <v>506</v>
      </c>
      <c r="C10" s="42">
        <f>'WP 4 Monthly TRBAA '!O38</f>
        <v>-13199641.107211234</v>
      </c>
      <c r="D10" s="19"/>
      <c r="E10" s="19"/>
      <c r="F10" s="24"/>
      <c r="G10" s="23" t="s">
        <v>175</v>
      </c>
      <c r="H10" s="264">
        <v>1</v>
      </c>
    </row>
    <row r="11" spans="1:8" ht="16" thickTop="1" x14ac:dyDescent="0.35">
      <c r="A11" s="263">
        <f t="shared" ref="A11:A24" si="0">A10+1</f>
        <v>2</v>
      </c>
      <c r="B11" s="18"/>
      <c r="C11" s="18"/>
      <c r="D11" s="19"/>
      <c r="E11" s="19"/>
      <c r="F11" s="24"/>
      <c r="G11" s="23"/>
      <c r="H11" s="264">
        <f t="shared" ref="H11:H22" si="1">H10+1</f>
        <v>2</v>
      </c>
    </row>
    <row r="12" spans="1:8" ht="15.5" x14ac:dyDescent="0.35">
      <c r="A12" s="263">
        <f t="shared" si="0"/>
        <v>3</v>
      </c>
      <c r="B12" s="18" t="s">
        <v>267</v>
      </c>
      <c r="C12" s="819"/>
      <c r="D12" s="44">
        <f>'WP 6 HV LV Alloc Summary'!C26</f>
        <v>-36715216.289999999</v>
      </c>
      <c r="E12" s="44">
        <f>'WP 6 HV LV Alloc Summary'!D26</f>
        <v>0</v>
      </c>
      <c r="F12" s="399">
        <f>SUM(D12:E12)</f>
        <v>-36715216.289999999</v>
      </c>
      <c r="G12" s="743" t="s">
        <v>206</v>
      </c>
      <c r="H12" s="264">
        <f t="shared" si="1"/>
        <v>3</v>
      </c>
    </row>
    <row r="13" spans="1:8" ht="15.5" x14ac:dyDescent="0.35">
      <c r="A13" s="263">
        <f t="shared" si="0"/>
        <v>4</v>
      </c>
      <c r="B13" s="18"/>
      <c r="C13" s="819"/>
      <c r="D13" s="31"/>
      <c r="E13" s="31"/>
      <c r="F13" s="39"/>
      <c r="G13" s="23"/>
      <c r="H13" s="264">
        <f t="shared" si="1"/>
        <v>4</v>
      </c>
    </row>
    <row r="14" spans="1:8" ht="15.5" x14ac:dyDescent="0.35">
      <c r="A14" s="263">
        <f t="shared" si="0"/>
        <v>5</v>
      </c>
      <c r="B14" s="18" t="s">
        <v>268</v>
      </c>
      <c r="C14" s="819"/>
      <c r="D14" s="31">
        <f>'WP 6 HV LV Alloc Summary'!C33</f>
        <v>8845.2000000000007</v>
      </c>
      <c r="E14" s="31">
        <f>'WP 6 HV LV Alloc Summary'!D33</f>
        <v>9154.8000000000011</v>
      </c>
      <c r="F14" s="39">
        <f>SUM(D14:E14)</f>
        <v>18000</v>
      </c>
      <c r="G14" s="23" t="s">
        <v>208</v>
      </c>
      <c r="H14" s="264">
        <f t="shared" si="1"/>
        <v>5</v>
      </c>
    </row>
    <row r="15" spans="1:8" ht="15.5" x14ac:dyDescent="0.35">
      <c r="A15" s="263">
        <f t="shared" si="0"/>
        <v>6</v>
      </c>
      <c r="B15" s="65"/>
      <c r="C15" s="819"/>
      <c r="D15" s="31"/>
      <c r="E15" s="31"/>
      <c r="F15" s="238"/>
      <c r="G15" s="61"/>
      <c r="H15" s="264">
        <f t="shared" si="1"/>
        <v>6</v>
      </c>
    </row>
    <row r="16" spans="1:8" ht="15.5" x14ac:dyDescent="0.35">
      <c r="A16" s="263">
        <f t="shared" si="0"/>
        <v>7</v>
      </c>
      <c r="B16" s="65" t="s">
        <v>269</v>
      </c>
      <c r="C16" s="819"/>
      <c r="D16" s="31">
        <f>'WP 6 HV LV Alloc Summary'!C39</f>
        <v>1042652.9519848262</v>
      </c>
      <c r="E16" s="31">
        <f>'WP 6 HV LV Alloc Summary'!D39</f>
        <v>1079147.9271051744</v>
      </c>
      <c r="F16" s="238">
        <f>SUM(D16:E16)</f>
        <v>2121800.8790900009</v>
      </c>
      <c r="G16" s="61" t="s">
        <v>210</v>
      </c>
      <c r="H16" s="264">
        <f t="shared" si="1"/>
        <v>7</v>
      </c>
    </row>
    <row r="17" spans="1:8" ht="15.5" x14ac:dyDescent="0.35">
      <c r="A17" s="263">
        <f t="shared" si="0"/>
        <v>8</v>
      </c>
      <c r="B17" s="65"/>
      <c r="C17" s="820"/>
      <c r="D17" s="31"/>
      <c r="E17" s="31"/>
      <c r="F17" s="238"/>
      <c r="G17" s="61"/>
      <c r="H17" s="264">
        <f t="shared" si="1"/>
        <v>8</v>
      </c>
    </row>
    <row r="18" spans="1:8" ht="15.5" x14ac:dyDescent="0.35">
      <c r="A18" s="263">
        <f t="shared" si="0"/>
        <v>9</v>
      </c>
      <c r="B18" s="65" t="s">
        <v>270</v>
      </c>
      <c r="C18" s="820"/>
      <c r="D18" s="38">
        <f>'WP 6 HV LV Alloc Summary'!C49</f>
        <v>-630551.93239882612</v>
      </c>
      <c r="E18" s="38">
        <f>'WP 6 HV LV Alloc Summary'!D49</f>
        <v>-499474.89669117413</v>
      </c>
      <c r="F18" s="40">
        <f>SUM(D18:E18)</f>
        <v>-1130026.8290900001</v>
      </c>
      <c r="G18" s="61" t="s">
        <v>211</v>
      </c>
      <c r="H18" s="264">
        <f t="shared" si="1"/>
        <v>9</v>
      </c>
    </row>
    <row r="19" spans="1:8" ht="15.5" x14ac:dyDescent="0.35">
      <c r="A19" s="263">
        <f t="shared" si="0"/>
        <v>10</v>
      </c>
      <c r="B19" s="18"/>
      <c r="C19" s="18"/>
      <c r="D19" s="19"/>
      <c r="E19" s="19"/>
      <c r="F19" s="19"/>
      <c r="G19" s="23"/>
      <c r="H19" s="264">
        <f t="shared" si="1"/>
        <v>10</v>
      </c>
    </row>
    <row r="20" spans="1:8" ht="15.5" x14ac:dyDescent="0.35">
      <c r="A20" s="263">
        <f t="shared" si="0"/>
        <v>11</v>
      </c>
      <c r="B20" s="18" t="s">
        <v>507</v>
      </c>
      <c r="C20" s="18"/>
      <c r="D20" s="14">
        <f>SUM(D12:D18)</f>
        <v>-36294270.070413999</v>
      </c>
      <c r="E20" s="14">
        <f>SUM(E12:E18)</f>
        <v>588827.83041400032</v>
      </c>
      <c r="F20" s="14">
        <f>SUM(F12:F18)</f>
        <v>-35705442.239999995</v>
      </c>
      <c r="G20" s="23" t="s">
        <v>271</v>
      </c>
      <c r="H20" s="264">
        <f t="shared" si="1"/>
        <v>11</v>
      </c>
    </row>
    <row r="21" spans="1:8" ht="15.5" x14ac:dyDescent="0.35">
      <c r="A21" s="263">
        <f t="shared" si="0"/>
        <v>12</v>
      </c>
      <c r="B21" s="11"/>
      <c r="C21" s="11"/>
      <c r="D21" s="16"/>
      <c r="E21" s="16"/>
      <c r="F21" s="17"/>
      <c r="G21" s="10"/>
      <c r="H21" s="264">
        <f t="shared" si="1"/>
        <v>12</v>
      </c>
    </row>
    <row r="22" spans="1:8" ht="15.5" x14ac:dyDescent="0.35">
      <c r="A22" s="263">
        <f t="shared" si="0"/>
        <v>13</v>
      </c>
      <c r="B22" s="18" t="s">
        <v>272</v>
      </c>
      <c r="C22" s="18"/>
      <c r="D22" s="25">
        <f>D20/$F20</f>
        <v>1.0164912627732239</v>
      </c>
      <c r="E22" s="25">
        <f>E20/$F20</f>
        <v>-1.6491262773223683E-2</v>
      </c>
      <c r="F22" s="30">
        <f>SUM(D22:E22)</f>
        <v>1.0000000000000002</v>
      </c>
      <c r="G22" s="23" t="s">
        <v>273</v>
      </c>
      <c r="H22" s="264">
        <f t="shared" si="1"/>
        <v>13</v>
      </c>
    </row>
    <row r="23" spans="1:8" ht="15.5" x14ac:dyDescent="0.35">
      <c r="A23" s="263">
        <f t="shared" si="0"/>
        <v>14</v>
      </c>
      <c r="B23" s="18"/>
      <c r="C23" s="18"/>
      <c r="D23" s="21"/>
      <c r="E23" s="21"/>
      <c r="F23" s="21"/>
      <c r="G23" s="23"/>
      <c r="H23" s="264">
        <f>H22+1</f>
        <v>14</v>
      </c>
    </row>
    <row r="24" spans="1:8" ht="19" thickBot="1" x14ac:dyDescent="0.4">
      <c r="A24" s="263">
        <f t="shared" si="0"/>
        <v>15</v>
      </c>
      <c r="B24" s="11" t="s">
        <v>274</v>
      </c>
      <c r="C24" s="11"/>
      <c r="D24" s="232">
        <f>ROUND($C10*D22,0)</f>
        <v>-13417320</v>
      </c>
      <c r="E24" s="232">
        <f>ROUND($C10*E22,0)</f>
        <v>217679</v>
      </c>
      <c r="F24" s="232">
        <f>SUM(D24:E24)</f>
        <v>-13199641</v>
      </c>
      <c r="G24" s="23" t="s">
        <v>275</v>
      </c>
      <c r="H24" s="264">
        <f>H23+1</f>
        <v>15</v>
      </c>
    </row>
    <row r="25" spans="1:8" ht="16.5" thickTop="1" thickBot="1" x14ac:dyDescent="0.4">
      <c r="A25" s="576"/>
      <c r="B25" s="81"/>
      <c r="C25" s="81"/>
      <c r="D25" s="472"/>
      <c r="E25" s="81"/>
      <c r="F25" s="81"/>
      <c r="G25" s="81"/>
      <c r="H25" s="407"/>
    </row>
    <row r="26" spans="1:8" ht="15.5" x14ac:dyDescent="0.35">
      <c r="A26" s="22"/>
      <c r="B26" s="22"/>
      <c r="C26" s="22"/>
      <c r="D26" s="22"/>
      <c r="E26" s="22"/>
      <c r="F26" s="22"/>
      <c r="G26" s="22"/>
      <c r="H26" s="22"/>
    </row>
    <row r="27" spans="1:8" ht="18.5" x14ac:dyDescent="0.35">
      <c r="A27" s="83">
        <v>1</v>
      </c>
      <c r="B27" s="22" t="s">
        <v>276</v>
      </c>
      <c r="C27" s="22"/>
      <c r="D27" s="22"/>
      <c r="E27" s="22"/>
      <c r="F27" s="22"/>
      <c r="G27" s="22"/>
      <c r="H27" s="22"/>
    </row>
    <row r="28" spans="1:8" ht="18.5" x14ac:dyDescent="0.35">
      <c r="A28" s="83"/>
      <c r="B28" s="22"/>
      <c r="C28" s="22"/>
      <c r="D28" s="22"/>
      <c r="E28" s="22"/>
      <c r="F28" s="22"/>
      <c r="G28" s="22"/>
      <c r="H28" s="22"/>
    </row>
    <row r="29" spans="1:8" ht="18.5" x14ac:dyDescent="0.35">
      <c r="A29" s="83"/>
      <c r="B29" s="22"/>
      <c r="C29" s="22"/>
      <c r="D29" s="22"/>
      <c r="E29" s="22"/>
      <c r="F29" s="22"/>
      <c r="G29" s="22"/>
      <c r="H29" s="22"/>
    </row>
  </sheetData>
  <mergeCells count="1">
    <mergeCell ref="B3:G3"/>
  </mergeCells>
  <phoneticPr fontId="0" type="noConversion"/>
  <printOptions horizontalCentered="1"/>
  <pageMargins left="0.5" right="0.5" top="0.5" bottom="0.5" header="0.25" footer="0.25"/>
  <pageSetup scale="72" orientation="landscape" r:id="rId1"/>
  <headerFooter scaleWithDoc="0" alignWithMargins="0">
    <oddFooter>&amp;L&amp;"Times New Roman,Regular"&amp;11&amp;F&amp;C&amp;"Times New Roman,Regular"&amp;11Page 2.1&amp;R&amp;"Times New Roman,Regular"&amp;11&amp;A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J60"/>
  <sheetViews>
    <sheetView zoomScale="80" zoomScaleNormal="80" workbookViewId="0"/>
  </sheetViews>
  <sheetFormatPr defaultColWidth="8.54296875" defaultRowHeight="13" x14ac:dyDescent="0.3"/>
  <cols>
    <col min="1" max="1" width="5.54296875" style="1" customWidth="1"/>
    <col min="2" max="4" width="20.54296875" style="1" customWidth="1"/>
    <col min="5" max="5" width="22.1796875" style="1" bestFit="1" customWidth="1"/>
    <col min="6" max="6" width="40.54296875" style="1" customWidth="1"/>
    <col min="7" max="7" width="5.54296875" style="1" customWidth="1"/>
    <col min="8" max="8" width="8.54296875" style="1" customWidth="1"/>
    <col min="9" max="9" width="12.54296875" style="1" customWidth="1"/>
    <col min="10" max="10" width="8.453125" style="1" customWidth="1"/>
    <col min="11" max="16384" width="8.54296875" style="1"/>
  </cols>
  <sheetData>
    <row r="2" spans="1:10" s="3" customFormat="1" ht="18" customHeight="1" x14ac:dyDescent="0.3">
      <c r="A2" s="5" t="s">
        <v>0</v>
      </c>
      <c r="B2" s="5"/>
      <c r="C2" s="5"/>
      <c r="D2" s="5"/>
      <c r="E2" s="5"/>
      <c r="F2" s="5"/>
      <c r="G2" s="41"/>
      <c r="H2" s="1"/>
      <c r="I2" s="1"/>
      <c r="J2" s="1"/>
    </row>
    <row r="3" spans="1:10" s="3" customFormat="1" ht="18" customHeight="1" x14ac:dyDescent="0.3">
      <c r="A3" s="5" t="s">
        <v>1</v>
      </c>
      <c r="B3" s="5"/>
      <c r="C3" s="5"/>
      <c r="D3" s="5"/>
      <c r="E3" s="5"/>
      <c r="F3" s="5"/>
      <c r="G3" s="41"/>
      <c r="H3" s="1"/>
      <c r="I3" s="1"/>
      <c r="J3" s="1"/>
    </row>
    <row r="4" spans="1:10" s="3" customFormat="1" ht="18" customHeight="1" x14ac:dyDescent="0.3">
      <c r="A4" s="5" t="str">
        <f>'Stmnt BD - Recorded KWH'!A4</f>
        <v>2024 - TRBAA Rate Filing</v>
      </c>
      <c r="B4" s="5"/>
      <c r="C4" s="5"/>
      <c r="D4" s="5"/>
      <c r="E4" s="5"/>
      <c r="F4" s="5"/>
      <c r="G4" s="41"/>
      <c r="H4" s="1"/>
      <c r="I4" s="1"/>
      <c r="J4" s="1"/>
    </row>
    <row r="5" spans="1:10" ht="15.5" x14ac:dyDescent="0.3">
      <c r="A5" s="5" t="s">
        <v>2</v>
      </c>
      <c r="B5" s="5"/>
      <c r="C5" s="5"/>
      <c r="D5" s="41"/>
      <c r="E5" s="41"/>
      <c r="F5" s="41"/>
      <c r="G5" s="41"/>
    </row>
    <row r="6" spans="1:10" ht="16" thickBot="1" x14ac:dyDescent="0.35">
      <c r="A6" s="5"/>
      <c r="B6" s="5"/>
      <c r="C6" s="5"/>
      <c r="D6" s="41"/>
      <c r="E6" s="41"/>
      <c r="F6" s="41"/>
      <c r="G6" s="41"/>
    </row>
    <row r="7" spans="1:10" ht="15" x14ac:dyDescent="0.3">
      <c r="A7" s="287"/>
      <c r="B7" s="546"/>
      <c r="C7" s="165" t="s">
        <v>3</v>
      </c>
      <c r="D7" s="165" t="s">
        <v>21</v>
      </c>
      <c r="E7" s="165" t="s">
        <v>5</v>
      </c>
      <c r="F7" s="547"/>
      <c r="G7" s="548"/>
    </row>
    <row r="8" spans="1:10" ht="15" x14ac:dyDescent="0.3">
      <c r="A8" s="549"/>
      <c r="B8" s="94"/>
      <c r="C8" s="75" t="s">
        <v>6</v>
      </c>
      <c r="D8" s="75" t="s">
        <v>7</v>
      </c>
      <c r="E8" s="75" t="s">
        <v>6</v>
      </c>
      <c r="F8" s="94"/>
      <c r="G8" s="550"/>
    </row>
    <row r="9" spans="1:10" ht="15" x14ac:dyDescent="0.3">
      <c r="A9" s="551" t="s">
        <v>8</v>
      </c>
      <c r="B9" s="75"/>
      <c r="C9" s="158" t="s">
        <v>9</v>
      </c>
      <c r="D9" s="75" t="s">
        <v>10</v>
      </c>
      <c r="E9" s="158" t="s">
        <v>9</v>
      </c>
      <c r="F9" s="75"/>
      <c r="G9" s="552" t="s">
        <v>8</v>
      </c>
    </row>
    <row r="10" spans="1:10" ht="18.5" thickBot="1" x14ac:dyDescent="0.35">
      <c r="A10" s="569" t="s">
        <v>11</v>
      </c>
      <c r="B10" s="153" t="s">
        <v>12</v>
      </c>
      <c r="C10" s="571" t="s">
        <v>13</v>
      </c>
      <c r="D10" s="153" t="s">
        <v>14</v>
      </c>
      <c r="E10" s="571" t="s">
        <v>15</v>
      </c>
      <c r="F10" s="153" t="s">
        <v>16</v>
      </c>
      <c r="G10" s="570" t="s">
        <v>11</v>
      </c>
    </row>
    <row r="11" spans="1:10" ht="15.5" x14ac:dyDescent="0.35">
      <c r="A11" s="263"/>
      <c r="B11" s="768"/>
      <c r="C11" s="188"/>
      <c r="D11" s="37"/>
      <c r="E11" s="188"/>
      <c r="F11" s="74"/>
      <c r="G11" s="264"/>
    </row>
    <row r="12" spans="1:10" ht="15.5" x14ac:dyDescent="0.35">
      <c r="A12" s="263">
        <v>1</v>
      </c>
      <c r="B12" s="478">
        <v>45292</v>
      </c>
      <c r="C12" s="44">
        <f>'WP 1.2 Forecast Sales'!C$39</f>
        <v>1561645711.7476852</v>
      </c>
      <c r="D12" s="177">
        <f>'WP 1.2 Forecast Sales'!C$38</f>
        <v>7724.833333333333</v>
      </c>
      <c r="E12" s="45">
        <f>C12-D12</f>
        <v>1561637986.9143519</v>
      </c>
      <c r="F12" s="241" t="s">
        <v>22</v>
      </c>
      <c r="G12" s="264">
        <v>1</v>
      </c>
    </row>
    <row r="13" spans="1:10" ht="15.5" x14ac:dyDescent="0.35">
      <c r="A13" s="263">
        <f t="shared" ref="A13:A26" si="0">A12+1</f>
        <v>2</v>
      </c>
      <c r="B13" s="478">
        <v>45323</v>
      </c>
      <c r="C13" s="44">
        <f>'WP 1.2 Forecast Sales'!D$39</f>
        <v>1430496986.1291785</v>
      </c>
      <c r="D13" s="177">
        <f>'WP 1.2 Forecast Sales'!D$38</f>
        <v>7724.833333333333</v>
      </c>
      <c r="E13" s="45">
        <f>C13-D13</f>
        <v>1430489261.2958453</v>
      </c>
      <c r="F13" s="241" t="str">
        <f>$F$12</f>
        <v>Workpaper No. 1; Page 1.2; Lines 30; 29</v>
      </c>
      <c r="G13" s="264">
        <f t="shared" ref="G13:G26" si="1">G12+1</f>
        <v>2</v>
      </c>
    </row>
    <row r="14" spans="1:10" ht="15.5" x14ac:dyDescent="0.35">
      <c r="A14" s="263">
        <f t="shared" si="0"/>
        <v>3</v>
      </c>
      <c r="B14" s="478">
        <v>45352</v>
      </c>
      <c r="C14" s="44">
        <f>'WP 1.2 Forecast Sales'!E$39</f>
        <v>1353352279.8784277</v>
      </c>
      <c r="D14" s="177">
        <f>'WP 1.2 Forecast Sales'!E$38</f>
        <v>7724.833333333333</v>
      </c>
      <c r="E14" s="45">
        <f>C14-D14</f>
        <v>1353344555.0450945</v>
      </c>
      <c r="F14" s="241" t="str">
        <f t="shared" ref="F14:F23" si="2">$F$12</f>
        <v>Workpaper No. 1; Page 1.2; Lines 30; 29</v>
      </c>
      <c r="G14" s="264">
        <f t="shared" si="1"/>
        <v>3</v>
      </c>
    </row>
    <row r="15" spans="1:10" ht="15.5" x14ac:dyDescent="0.35">
      <c r="A15" s="263">
        <f t="shared" si="0"/>
        <v>4</v>
      </c>
      <c r="B15" s="478">
        <v>45383</v>
      </c>
      <c r="C15" s="44">
        <f>'WP 1.2 Forecast Sales'!F$39</f>
        <v>1347287248.9048383</v>
      </c>
      <c r="D15" s="177">
        <f>'WP 1.2 Forecast Sales'!F$38</f>
        <v>7724.833333333333</v>
      </c>
      <c r="E15" s="45">
        <f t="shared" ref="E15:E22" si="3">C15-D15</f>
        <v>1347279524.0715051</v>
      </c>
      <c r="F15" s="241" t="str">
        <f t="shared" si="2"/>
        <v>Workpaper No. 1; Page 1.2; Lines 30; 29</v>
      </c>
      <c r="G15" s="264">
        <f t="shared" si="1"/>
        <v>4</v>
      </c>
      <c r="J15" s="4"/>
    </row>
    <row r="16" spans="1:10" ht="15.5" x14ac:dyDescent="0.35">
      <c r="A16" s="263">
        <f t="shared" si="0"/>
        <v>5</v>
      </c>
      <c r="B16" s="478">
        <v>45413</v>
      </c>
      <c r="C16" s="44">
        <f>'WP 1.2 Forecast Sales'!G$39</f>
        <v>1329797185.2483954</v>
      </c>
      <c r="D16" s="177">
        <f>'WP 1.2 Forecast Sales'!G$38</f>
        <v>7724.833333333333</v>
      </c>
      <c r="E16" s="45">
        <f t="shared" si="3"/>
        <v>1329789460.4150622</v>
      </c>
      <c r="F16" s="241" t="str">
        <f t="shared" si="2"/>
        <v>Workpaper No. 1; Page 1.2; Lines 30; 29</v>
      </c>
      <c r="G16" s="264">
        <f t="shared" si="1"/>
        <v>5</v>
      </c>
      <c r="J16" s="4"/>
    </row>
    <row r="17" spans="1:10" ht="15.5" x14ac:dyDescent="0.35">
      <c r="A17" s="263">
        <f t="shared" si="0"/>
        <v>6</v>
      </c>
      <c r="B17" s="478">
        <v>45444</v>
      </c>
      <c r="C17" s="44">
        <f>'WP 1.2 Forecast Sales'!H$39</f>
        <v>1437960998.9311814</v>
      </c>
      <c r="D17" s="177">
        <f>'WP 1.2 Forecast Sales'!H$38</f>
        <v>7724.833333333333</v>
      </c>
      <c r="E17" s="45">
        <f t="shared" si="3"/>
        <v>1437953274.0978482</v>
      </c>
      <c r="F17" s="241" t="str">
        <f t="shared" si="2"/>
        <v>Workpaper No. 1; Page 1.2; Lines 30; 29</v>
      </c>
      <c r="G17" s="264">
        <f t="shared" si="1"/>
        <v>6</v>
      </c>
      <c r="J17" s="4"/>
    </row>
    <row r="18" spans="1:10" ht="15.5" x14ac:dyDescent="0.35">
      <c r="A18" s="263">
        <f t="shared" si="0"/>
        <v>7</v>
      </c>
      <c r="B18" s="478">
        <v>45474</v>
      </c>
      <c r="C18" s="44">
        <f>'WP 1.2 Forecast Sales'!I$39</f>
        <v>1638939219.7339439</v>
      </c>
      <c r="D18" s="177">
        <f>'WP 1.2 Forecast Sales'!I$38</f>
        <v>7724.833333333333</v>
      </c>
      <c r="E18" s="45">
        <f t="shared" si="3"/>
        <v>1638931494.9006107</v>
      </c>
      <c r="F18" s="241" t="str">
        <f t="shared" si="2"/>
        <v>Workpaper No. 1; Page 1.2; Lines 30; 29</v>
      </c>
      <c r="G18" s="264">
        <f t="shared" si="1"/>
        <v>7</v>
      </c>
      <c r="J18" s="4"/>
    </row>
    <row r="19" spans="1:10" ht="15.5" x14ac:dyDescent="0.35">
      <c r="A19" s="263">
        <f t="shared" si="0"/>
        <v>8</v>
      </c>
      <c r="B19" s="478">
        <v>45505</v>
      </c>
      <c r="C19" s="44">
        <f>'WP 1.2 Forecast Sales'!J$39</f>
        <v>1774799924.2180464</v>
      </c>
      <c r="D19" s="177">
        <f>'WP 1.2 Forecast Sales'!J$38</f>
        <v>7724.833333333333</v>
      </c>
      <c r="E19" s="45">
        <f t="shared" si="3"/>
        <v>1774792199.3847132</v>
      </c>
      <c r="F19" s="241" t="str">
        <f t="shared" si="2"/>
        <v>Workpaper No. 1; Page 1.2; Lines 30; 29</v>
      </c>
      <c r="G19" s="264">
        <f t="shared" si="1"/>
        <v>8</v>
      </c>
      <c r="J19" s="4"/>
    </row>
    <row r="20" spans="1:10" ht="15.5" x14ac:dyDescent="0.35">
      <c r="A20" s="263">
        <f t="shared" si="0"/>
        <v>9</v>
      </c>
      <c r="B20" s="478">
        <v>45536</v>
      </c>
      <c r="C20" s="44">
        <f>'WP 1.2 Forecast Sales'!K$39</f>
        <v>1830721268.5881281</v>
      </c>
      <c r="D20" s="177">
        <f>'WP 1.2 Forecast Sales'!K$38</f>
        <v>7724.833333333333</v>
      </c>
      <c r="E20" s="45">
        <f t="shared" si="3"/>
        <v>1830713543.7547948</v>
      </c>
      <c r="F20" s="241" t="str">
        <f t="shared" si="2"/>
        <v>Workpaper No. 1; Page 1.2; Lines 30; 29</v>
      </c>
      <c r="G20" s="264">
        <f t="shared" si="1"/>
        <v>9</v>
      </c>
      <c r="J20" s="4"/>
    </row>
    <row r="21" spans="1:10" ht="15.5" x14ac:dyDescent="0.35">
      <c r="A21" s="263">
        <f t="shared" si="0"/>
        <v>10</v>
      </c>
      <c r="B21" s="478">
        <v>45566</v>
      </c>
      <c r="C21" s="44">
        <f>'WP 1.2 Forecast Sales'!L$39</f>
        <v>1605278442.3735764</v>
      </c>
      <c r="D21" s="177">
        <f>'WP 1.2 Forecast Sales'!L$38</f>
        <v>7724.833333333333</v>
      </c>
      <c r="E21" s="45">
        <f t="shared" si="3"/>
        <v>1605270717.5402431</v>
      </c>
      <c r="F21" s="241" t="str">
        <f t="shared" si="2"/>
        <v>Workpaper No. 1; Page 1.2; Lines 30; 29</v>
      </c>
      <c r="G21" s="264">
        <f t="shared" si="1"/>
        <v>10</v>
      </c>
      <c r="J21" s="4"/>
    </row>
    <row r="22" spans="1:10" ht="15.5" x14ac:dyDescent="0.35">
      <c r="A22" s="263">
        <f t="shared" si="0"/>
        <v>11</v>
      </c>
      <c r="B22" s="478">
        <v>45597</v>
      </c>
      <c r="C22" s="44">
        <f>'WP 1.2 Forecast Sales'!M$39</f>
        <v>1478036334.4067724</v>
      </c>
      <c r="D22" s="177">
        <f>'WP 1.2 Forecast Sales'!M$38</f>
        <v>7724.833333333333</v>
      </c>
      <c r="E22" s="45">
        <f t="shared" si="3"/>
        <v>1478028609.5734391</v>
      </c>
      <c r="F22" s="241" t="str">
        <f t="shared" si="2"/>
        <v>Workpaper No. 1; Page 1.2; Lines 30; 29</v>
      </c>
      <c r="G22" s="264">
        <f t="shared" si="1"/>
        <v>11</v>
      </c>
      <c r="J22" s="4"/>
    </row>
    <row r="23" spans="1:10" ht="15.5" x14ac:dyDescent="0.35">
      <c r="A23" s="263">
        <f t="shared" si="0"/>
        <v>12</v>
      </c>
      <c r="B23" s="478">
        <v>45627</v>
      </c>
      <c r="C23" s="44">
        <f>'WP 1.2 Forecast Sales'!N$39</f>
        <v>1502220815.491678</v>
      </c>
      <c r="D23" s="177">
        <f>'WP 1.2 Forecast Sales'!N$38</f>
        <v>7724.833333333333</v>
      </c>
      <c r="E23" s="45">
        <f>C23-D23</f>
        <v>1502213090.6583447</v>
      </c>
      <c r="F23" s="241" t="str">
        <f t="shared" si="2"/>
        <v>Workpaper No. 1; Page 1.2; Lines 30; 29</v>
      </c>
      <c r="G23" s="264">
        <f t="shared" si="1"/>
        <v>12</v>
      </c>
      <c r="J23" s="4"/>
    </row>
    <row r="24" spans="1:10" ht="15.5" x14ac:dyDescent="0.35">
      <c r="A24" s="263">
        <f t="shared" si="0"/>
        <v>13</v>
      </c>
      <c r="B24" s="189"/>
      <c r="C24" s="51"/>
      <c r="D24" s="178"/>
      <c r="E24" s="46"/>
      <c r="F24" s="49"/>
      <c r="G24" s="264">
        <f t="shared" si="1"/>
        <v>13</v>
      </c>
      <c r="J24" s="4"/>
    </row>
    <row r="25" spans="1:10" ht="15.5" x14ac:dyDescent="0.35">
      <c r="A25" s="263">
        <f t="shared" si="0"/>
        <v>14</v>
      </c>
      <c r="B25" s="22"/>
      <c r="C25" s="45"/>
      <c r="D25" s="45"/>
      <c r="E25" s="45"/>
      <c r="F25" s="49"/>
      <c r="G25" s="264">
        <f t="shared" si="1"/>
        <v>14</v>
      </c>
    </row>
    <row r="26" spans="1:10" ht="16" thickBot="1" x14ac:dyDescent="0.4">
      <c r="A26" s="263">
        <f t="shared" si="0"/>
        <v>15</v>
      </c>
      <c r="B26" s="43" t="s">
        <v>18</v>
      </c>
      <c r="C26" s="47">
        <f>SUM(C12:C23)</f>
        <v>18290536415.651852</v>
      </c>
      <c r="D26" s="47">
        <f>SUM(D12:D23)</f>
        <v>92697.999999999985</v>
      </c>
      <c r="E26" s="47">
        <f>SUM(E12:E23)</f>
        <v>18290443717.651852</v>
      </c>
      <c r="F26" s="49" t="s">
        <v>19</v>
      </c>
      <c r="G26" s="264">
        <f t="shared" si="1"/>
        <v>15</v>
      </c>
      <c r="I26" s="4"/>
    </row>
    <row r="27" spans="1:10" ht="16.5" thickTop="1" thickBot="1" x14ac:dyDescent="0.4">
      <c r="A27" s="301"/>
      <c r="B27" s="80"/>
      <c r="C27" s="553"/>
      <c r="D27" s="554"/>
      <c r="E27" s="81"/>
      <c r="F27" s="57"/>
      <c r="G27" s="302"/>
    </row>
    <row r="28" spans="1:10" ht="15.5" x14ac:dyDescent="0.35">
      <c r="A28" s="22"/>
      <c r="B28" s="22"/>
      <c r="C28" s="22"/>
      <c r="D28" s="22"/>
      <c r="E28" s="22"/>
      <c r="F28" s="22"/>
      <c r="G28" s="22"/>
    </row>
    <row r="29" spans="1:10" ht="18.5" x14ac:dyDescent="0.35">
      <c r="A29" s="414">
        <v>1</v>
      </c>
      <c r="B29" s="22" t="s">
        <v>23</v>
      </c>
      <c r="C29" s="22"/>
      <c r="D29" s="22"/>
      <c r="E29" s="48"/>
      <c r="F29" s="48"/>
      <c r="G29" s="22"/>
    </row>
    <row r="30" spans="1:10" ht="15.5" x14ac:dyDescent="0.35">
      <c r="A30" s="22"/>
      <c r="B30" s="22" t="s">
        <v>24</v>
      </c>
      <c r="C30" s="22"/>
      <c r="D30" s="22"/>
      <c r="E30" s="48"/>
      <c r="F30" s="48"/>
      <c r="G30" s="22"/>
    </row>
    <row r="31" spans="1:10" ht="15.5" x14ac:dyDescent="0.35">
      <c r="A31" s="22"/>
      <c r="B31" s="22"/>
      <c r="C31" s="22"/>
      <c r="D31" s="22"/>
      <c r="E31" s="48"/>
      <c r="F31" s="48"/>
      <c r="G31" s="22"/>
    </row>
    <row r="32" spans="1:10" ht="15.5" x14ac:dyDescent="0.35">
      <c r="A32" s="22"/>
      <c r="B32" s="22"/>
      <c r="C32" s="22"/>
      <c r="D32" s="22"/>
      <c r="E32" s="48"/>
      <c r="F32" s="48"/>
      <c r="G32" s="22"/>
    </row>
    <row r="33" spans="1:7" ht="15.5" x14ac:dyDescent="0.35">
      <c r="A33" s="22"/>
      <c r="B33" s="22"/>
      <c r="C33" s="22"/>
      <c r="D33" s="22"/>
      <c r="E33" s="22"/>
      <c r="F33" s="22"/>
      <c r="G33" s="22"/>
    </row>
    <row r="34" spans="1:7" ht="15.5" x14ac:dyDescent="0.35">
      <c r="A34" s="22"/>
      <c r="B34" s="22"/>
      <c r="C34" s="22"/>
      <c r="D34" s="22"/>
      <c r="E34" s="22"/>
      <c r="F34" s="22"/>
      <c r="G34" s="22"/>
    </row>
    <row r="35" spans="1:7" ht="15.5" x14ac:dyDescent="0.35">
      <c r="A35" s="22"/>
      <c r="B35" s="22"/>
      <c r="C35" s="22"/>
      <c r="D35" s="22"/>
      <c r="E35" s="22"/>
      <c r="F35" s="22"/>
      <c r="G35" s="22"/>
    </row>
    <row r="36" spans="1:7" ht="15.5" x14ac:dyDescent="0.35">
      <c r="A36" s="22"/>
      <c r="B36" s="22"/>
      <c r="C36" s="22"/>
      <c r="D36" s="22"/>
      <c r="E36" s="22"/>
      <c r="F36" s="22"/>
      <c r="G36" s="22"/>
    </row>
    <row r="37" spans="1:7" ht="15.5" x14ac:dyDescent="0.35">
      <c r="A37" s="22"/>
      <c r="B37" s="22"/>
      <c r="C37" s="22"/>
      <c r="D37" s="22"/>
      <c r="E37" s="22"/>
      <c r="F37" s="22"/>
      <c r="G37" s="22"/>
    </row>
    <row r="38" spans="1:7" ht="15.5" x14ac:dyDescent="0.35">
      <c r="A38" s="22"/>
      <c r="B38" s="22"/>
      <c r="C38" s="22"/>
      <c r="D38" s="22"/>
      <c r="E38" s="22"/>
      <c r="F38" s="22"/>
      <c r="G38" s="22"/>
    </row>
    <row r="39" spans="1:7" ht="15.5" x14ac:dyDescent="0.35">
      <c r="A39" s="22"/>
      <c r="B39" s="22"/>
      <c r="C39" s="22"/>
      <c r="D39" s="22"/>
      <c r="E39" s="22"/>
      <c r="F39" s="22"/>
      <c r="G39" s="22"/>
    </row>
    <row r="40" spans="1:7" ht="15.5" x14ac:dyDescent="0.35">
      <c r="A40" s="22"/>
      <c r="B40" s="22"/>
      <c r="C40" s="22"/>
      <c r="D40" s="22"/>
      <c r="E40" s="22"/>
      <c r="F40" s="22"/>
      <c r="G40" s="22"/>
    </row>
    <row r="41" spans="1:7" ht="15.5" x14ac:dyDescent="0.35">
      <c r="A41" s="22"/>
      <c r="B41" s="22"/>
      <c r="C41" s="22"/>
      <c r="D41" s="22"/>
      <c r="E41" s="22"/>
      <c r="F41" s="22"/>
      <c r="G41" s="22"/>
    </row>
    <row r="42" spans="1:7" ht="15.5" x14ac:dyDescent="0.35">
      <c r="A42" s="22"/>
      <c r="B42" s="22"/>
      <c r="C42" s="22"/>
      <c r="D42" s="22"/>
      <c r="E42" s="22"/>
      <c r="F42" s="22"/>
      <c r="G42" s="22"/>
    </row>
    <row r="43" spans="1:7" ht="15.5" x14ac:dyDescent="0.35">
      <c r="A43" s="22"/>
      <c r="B43" s="22"/>
      <c r="C43" s="22"/>
      <c r="D43" s="22"/>
      <c r="E43" s="22"/>
      <c r="F43" s="22"/>
      <c r="G43" s="22"/>
    </row>
    <row r="44" spans="1:7" ht="15.5" x14ac:dyDescent="0.35">
      <c r="A44" s="22"/>
      <c r="B44" s="22"/>
      <c r="C44" s="22"/>
      <c r="D44" s="22"/>
      <c r="E44" s="22"/>
      <c r="F44" s="22"/>
      <c r="G44" s="22"/>
    </row>
    <row r="45" spans="1:7" ht="15.5" x14ac:dyDescent="0.35">
      <c r="A45" s="22"/>
      <c r="B45" s="22"/>
      <c r="C45" s="22"/>
      <c r="D45" s="22"/>
      <c r="E45" s="22"/>
      <c r="F45" s="22"/>
      <c r="G45" s="22"/>
    </row>
    <row r="46" spans="1:7" ht="15.5" x14ac:dyDescent="0.35">
      <c r="A46" s="22"/>
      <c r="B46" s="22"/>
      <c r="C46" s="22"/>
      <c r="D46" s="22"/>
      <c r="E46" s="22"/>
      <c r="F46" s="22"/>
      <c r="G46" s="22"/>
    </row>
    <row r="47" spans="1:7" ht="15.5" x14ac:dyDescent="0.35">
      <c r="A47" s="22"/>
      <c r="B47" s="22"/>
      <c r="C47" s="22"/>
      <c r="D47" s="22"/>
      <c r="E47" s="22"/>
      <c r="F47" s="22"/>
      <c r="G47" s="22"/>
    </row>
    <row r="48" spans="1:7" ht="15.5" x14ac:dyDescent="0.35">
      <c r="A48" s="22"/>
      <c r="B48" s="22"/>
      <c r="C48" s="22"/>
      <c r="D48" s="22"/>
      <c r="E48" s="22"/>
      <c r="F48" s="22"/>
      <c r="G48" s="22"/>
    </row>
    <row r="49" spans="1:7" ht="15.5" x14ac:dyDescent="0.35">
      <c r="A49" s="22"/>
      <c r="B49" s="22"/>
      <c r="C49" s="22"/>
      <c r="D49" s="22"/>
      <c r="E49" s="22"/>
      <c r="F49" s="22"/>
      <c r="G49" s="22"/>
    </row>
    <row r="50" spans="1:7" ht="15.5" x14ac:dyDescent="0.35">
      <c r="A50" s="22"/>
      <c r="B50" s="22"/>
      <c r="C50" s="22"/>
      <c r="D50" s="22"/>
      <c r="E50" s="22"/>
      <c r="F50" s="22"/>
      <c r="G50" s="22"/>
    </row>
    <row r="51" spans="1:7" ht="15.5" x14ac:dyDescent="0.35">
      <c r="A51" s="22"/>
      <c r="B51" s="22"/>
      <c r="C51" s="22"/>
      <c r="D51" s="22"/>
      <c r="E51" s="22"/>
      <c r="F51" s="22"/>
      <c r="G51" s="22"/>
    </row>
    <row r="52" spans="1:7" ht="15.5" x14ac:dyDescent="0.35">
      <c r="A52" s="22"/>
      <c r="B52" s="22"/>
      <c r="C52" s="22"/>
      <c r="D52" s="22"/>
      <c r="E52" s="22"/>
      <c r="F52" s="22"/>
      <c r="G52" s="22"/>
    </row>
    <row r="53" spans="1:7" ht="15.5" x14ac:dyDescent="0.35">
      <c r="A53" s="22"/>
      <c r="B53" s="22"/>
      <c r="C53" s="22"/>
      <c r="D53" s="22"/>
      <c r="E53" s="22"/>
      <c r="F53" s="22"/>
      <c r="G53" s="22"/>
    </row>
    <row r="54" spans="1:7" ht="15.5" x14ac:dyDescent="0.35">
      <c r="A54" s="22"/>
      <c r="B54" s="22"/>
      <c r="C54" s="22"/>
      <c r="D54" s="22"/>
      <c r="E54" s="22"/>
      <c r="F54" s="22"/>
      <c r="G54" s="22"/>
    </row>
    <row r="55" spans="1:7" ht="15.5" x14ac:dyDescent="0.35">
      <c r="A55" s="22"/>
      <c r="B55" s="22"/>
      <c r="C55" s="22"/>
      <c r="D55" s="22"/>
      <c r="E55" s="22"/>
      <c r="F55" s="22"/>
      <c r="G55" s="22"/>
    </row>
    <row r="56" spans="1:7" ht="15.5" x14ac:dyDescent="0.35">
      <c r="A56" s="22"/>
      <c r="B56" s="22"/>
      <c r="C56" s="22"/>
      <c r="D56" s="22"/>
      <c r="E56" s="22"/>
      <c r="F56" s="22"/>
      <c r="G56" s="22"/>
    </row>
    <row r="57" spans="1:7" ht="15.5" x14ac:dyDescent="0.35">
      <c r="A57" s="22"/>
      <c r="B57" s="22"/>
      <c r="C57" s="22"/>
      <c r="D57" s="22"/>
      <c r="E57" s="22"/>
      <c r="F57" s="22"/>
      <c r="G57" s="22"/>
    </row>
    <row r="58" spans="1:7" ht="15.5" x14ac:dyDescent="0.35">
      <c r="A58" s="22"/>
      <c r="B58" s="22"/>
      <c r="C58" s="22"/>
      <c r="D58" s="22"/>
      <c r="E58" s="22"/>
      <c r="F58" s="22"/>
      <c r="G58" s="22"/>
    </row>
    <row r="59" spans="1:7" ht="15.5" x14ac:dyDescent="0.35">
      <c r="A59" s="22"/>
      <c r="B59" s="22"/>
      <c r="C59" s="22"/>
      <c r="D59" s="22"/>
      <c r="E59" s="22"/>
      <c r="F59" s="22"/>
      <c r="G59" s="22"/>
    </row>
    <row r="60" spans="1:7" ht="15.5" x14ac:dyDescent="0.35">
      <c r="A60" s="22"/>
      <c r="B60" s="22"/>
      <c r="C60" s="22"/>
      <c r="D60" s="22"/>
      <c r="E60" s="22"/>
      <c r="F60" s="22"/>
      <c r="G60" s="22"/>
    </row>
  </sheetData>
  <phoneticPr fontId="15" type="noConversion"/>
  <printOptions horizontalCentered="1"/>
  <pageMargins left="0.25" right="0.25" top="0.5" bottom="0.5" header="0.25" footer="0.25"/>
  <pageSetup orientation="landscape" r:id="rId1"/>
  <headerFooter alignWithMargins="0">
    <oddFooter>&amp;L&amp;"Times New Roman,Regular"&amp;12&amp;F&amp;C&amp;"Times New Roman,Regular"&amp;12Page 2 of 5&amp;R&amp;"Times New Roman,Regular"&amp;12&amp;A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17E2-3CF5-42BB-A5C6-39DBD5ACCBFA}">
  <sheetPr>
    <pageSetUpPr fitToPage="1"/>
  </sheetPr>
  <dimension ref="A1:G26"/>
  <sheetViews>
    <sheetView zoomScale="80" zoomScaleNormal="80" workbookViewId="0"/>
  </sheetViews>
  <sheetFormatPr defaultColWidth="8.54296875" defaultRowHeight="15.5" x14ac:dyDescent="0.35"/>
  <cols>
    <col min="1" max="1" width="5.54296875" style="22" customWidth="1"/>
    <col min="2" max="2" width="60.54296875" style="50" customWidth="1"/>
    <col min="3" max="5" width="18.54296875" style="22" customWidth="1"/>
    <col min="6" max="6" width="40.54296875" style="22" customWidth="1"/>
    <col min="7" max="7" width="5.54296875" style="22" customWidth="1"/>
    <col min="8" max="9" width="15.54296875" style="22" customWidth="1"/>
    <col min="10" max="16384" width="8.54296875" style="22"/>
  </cols>
  <sheetData>
    <row r="1" spans="1:7" x14ac:dyDescent="0.35">
      <c r="B1" s="5"/>
      <c r="C1" s="5"/>
      <c r="D1" s="5"/>
      <c r="E1" s="5"/>
      <c r="F1" s="5"/>
    </row>
    <row r="2" spans="1:7" x14ac:dyDescent="0.35">
      <c r="B2" s="5" t="s">
        <v>1</v>
      </c>
      <c r="C2" s="5"/>
      <c r="D2" s="5"/>
      <c r="E2" s="5"/>
      <c r="F2" s="5"/>
    </row>
    <row r="3" spans="1:7" x14ac:dyDescent="0.35">
      <c r="B3" s="5" t="str">
        <f>'Stmnt BK1 - TRBAA'!B4</f>
        <v>2024 - TRBAA Rate Filing</v>
      </c>
      <c r="C3" s="5"/>
      <c r="D3" s="5"/>
      <c r="E3" s="5"/>
      <c r="F3" s="5"/>
    </row>
    <row r="4" spans="1:7" x14ac:dyDescent="0.35">
      <c r="B4" s="5" t="s">
        <v>277</v>
      </c>
      <c r="C4" s="5"/>
      <c r="D4" s="5"/>
      <c r="E4" s="5"/>
      <c r="F4" s="5"/>
    </row>
    <row r="5" spans="1:7" ht="16" thickBot="1" x14ac:dyDescent="0.4">
      <c r="B5" s="5"/>
      <c r="C5" s="5"/>
      <c r="D5" s="5"/>
      <c r="E5" s="5"/>
      <c r="F5" s="5"/>
    </row>
    <row r="6" spans="1:7" x14ac:dyDescent="0.35">
      <c r="A6" s="597" t="s">
        <v>8</v>
      </c>
      <c r="B6" s="986" t="s">
        <v>173</v>
      </c>
      <c r="C6" s="598" t="s">
        <v>278</v>
      </c>
      <c r="D6" s="599" t="s">
        <v>279</v>
      </c>
      <c r="E6" s="598" t="s">
        <v>280</v>
      </c>
      <c r="F6" s="600"/>
      <c r="G6" s="559" t="s">
        <v>8</v>
      </c>
    </row>
    <row r="7" spans="1:7" ht="16" thickBot="1" x14ac:dyDescent="0.4">
      <c r="A7" s="181" t="s">
        <v>11</v>
      </c>
      <c r="B7" s="991"/>
      <c r="C7" s="593" t="s">
        <v>228</v>
      </c>
      <c r="D7" s="584" t="s">
        <v>229</v>
      </c>
      <c r="E7" s="593" t="s">
        <v>281</v>
      </c>
      <c r="F7" s="593" t="s">
        <v>16</v>
      </c>
      <c r="G7" s="570" t="s">
        <v>11</v>
      </c>
    </row>
    <row r="8" spans="1:7" x14ac:dyDescent="0.35">
      <c r="A8" s="247"/>
      <c r="C8" s="166"/>
      <c r="D8" s="183"/>
      <c r="E8" s="166"/>
      <c r="F8" s="250"/>
      <c r="G8" s="123"/>
    </row>
    <row r="9" spans="1:7" ht="16" thickBot="1" x14ac:dyDescent="0.4">
      <c r="A9" s="120">
        <v>1</v>
      </c>
      <c r="B9" s="50" t="s">
        <v>282</v>
      </c>
      <c r="C9" s="17"/>
      <c r="D9" s="818"/>
      <c r="E9" s="232">
        <v>-15948492</v>
      </c>
      <c r="F9" s="33" t="s">
        <v>203</v>
      </c>
      <c r="G9" s="350">
        <v>1</v>
      </c>
    </row>
    <row r="10" spans="1:7" ht="16" thickTop="1" x14ac:dyDescent="0.35">
      <c r="A10" s="120">
        <f>A9+1</f>
        <v>2</v>
      </c>
      <c r="C10" s="17"/>
      <c r="E10" s="17"/>
      <c r="F10" s="91"/>
      <c r="G10" s="350">
        <f>G9+1</f>
        <v>2</v>
      </c>
    </row>
    <row r="11" spans="1:7" x14ac:dyDescent="0.35">
      <c r="A11" s="120">
        <f t="shared" ref="A11:A15" si="0">A10+1</f>
        <v>3</v>
      </c>
      <c r="B11" s="50" t="s">
        <v>508</v>
      </c>
      <c r="C11" s="141">
        <f>'Stmnt BK2 - TRBAA'!C13</f>
        <v>493123808.49173576</v>
      </c>
      <c r="D11" s="328">
        <f>'Stmnt BK2 - TRBAA'!D13</f>
        <v>519226766.95865637</v>
      </c>
      <c r="E11" s="141">
        <f>SUM(C11:D11)</f>
        <v>1012350575.4503921</v>
      </c>
      <c r="F11" s="510" t="s">
        <v>283</v>
      </c>
      <c r="G11" s="350">
        <f t="shared" ref="G11:G15" si="1">G10+1</f>
        <v>3</v>
      </c>
    </row>
    <row r="12" spans="1:7" x14ac:dyDescent="0.35">
      <c r="A12" s="120">
        <f t="shared" si="0"/>
        <v>4</v>
      </c>
      <c r="C12" s="19"/>
      <c r="D12" s="28"/>
      <c r="E12" s="19"/>
      <c r="F12" s="33"/>
      <c r="G12" s="350">
        <f t="shared" si="1"/>
        <v>4</v>
      </c>
    </row>
    <row r="13" spans="1:7" x14ac:dyDescent="0.35">
      <c r="A13" s="120">
        <f t="shared" si="0"/>
        <v>5</v>
      </c>
      <c r="B13" s="50" t="s">
        <v>284</v>
      </c>
      <c r="C13" s="742">
        <f>C11/$E11</f>
        <v>0.48710774750372049</v>
      </c>
      <c r="D13" s="971">
        <f>D11/$E11</f>
        <v>0.51289225249627945</v>
      </c>
      <c r="E13" s="742">
        <f>SUM(C13:D13)</f>
        <v>1</v>
      </c>
      <c r="F13" s="33" t="s">
        <v>285</v>
      </c>
      <c r="G13" s="350">
        <f t="shared" si="1"/>
        <v>5</v>
      </c>
    </row>
    <row r="14" spans="1:7" x14ac:dyDescent="0.35">
      <c r="A14" s="120">
        <f t="shared" si="0"/>
        <v>6</v>
      </c>
      <c r="B14" s="509"/>
      <c r="C14" s="31"/>
      <c r="D14" s="54"/>
      <c r="E14" s="19"/>
      <c r="F14" s="33"/>
      <c r="G14" s="350">
        <f t="shared" si="1"/>
        <v>6</v>
      </c>
    </row>
    <row r="15" spans="1:7" ht="16" thickBot="1" x14ac:dyDescent="0.4">
      <c r="A15" s="120">
        <f t="shared" si="0"/>
        <v>7</v>
      </c>
      <c r="B15" s="50" t="s">
        <v>286</v>
      </c>
      <c r="C15" s="232">
        <f>ROUND($E$9*C13,0)</f>
        <v>-7768634</v>
      </c>
      <c r="D15" s="521">
        <f>ROUND($E$9*D13,0)</f>
        <v>-8179858</v>
      </c>
      <c r="E15" s="232">
        <f>SUM(C15:D15)</f>
        <v>-15948492</v>
      </c>
      <c r="F15" s="33" t="s">
        <v>287</v>
      </c>
      <c r="G15" s="350">
        <f t="shared" si="1"/>
        <v>7</v>
      </c>
    </row>
    <row r="16" spans="1:7" ht="16.5" thickTop="1" thickBot="1" x14ac:dyDescent="0.4">
      <c r="A16" s="121"/>
      <c r="B16" s="76"/>
      <c r="C16" s="81"/>
      <c r="D16" s="80"/>
      <c r="E16" s="81"/>
      <c r="F16" s="77"/>
      <c r="G16" s="302"/>
    </row>
    <row r="17" spans="1:7" x14ac:dyDescent="0.35">
      <c r="A17" s="37"/>
      <c r="B17" s="92"/>
      <c r="G17" s="37"/>
    </row>
    <row r="18" spans="1:7" ht="18.5" x14ac:dyDescent="0.35">
      <c r="A18" s="83">
        <v>1</v>
      </c>
      <c r="B18" s="50" t="s">
        <v>532</v>
      </c>
    </row>
    <row r="19" spans="1:7" ht="18.5" x14ac:dyDescent="0.35">
      <c r="A19" s="83">
        <v>2</v>
      </c>
      <c r="B19" s="50" t="s">
        <v>509</v>
      </c>
    </row>
    <row r="22" spans="1:7" x14ac:dyDescent="0.35">
      <c r="C22" s="856"/>
      <c r="D22" s="856"/>
      <c r="E22" s="857"/>
    </row>
    <row r="24" spans="1:7" x14ac:dyDescent="0.35">
      <c r="C24" s="143"/>
      <c r="D24" s="143"/>
      <c r="E24" s="143"/>
    </row>
    <row r="26" spans="1:7" x14ac:dyDescent="0.35">
      <c r="C26" s="143"/>
      <c r="D26" s="143"/>
      <c r="E26" s="143"/>
    </row>
  </sheetData>
  <mergeCells count="1">
    <mergeCell ref="B6:B7"/>
  </mergeCells>
  <printOptions horizontalCentered="1"/>
  <pageMargins left="0.5" right="0.5" top="0.5" bottom="0.5" header="0.25" footer="0.25"/>
  <pageSetup scale="77" orientation="landscape" r:id="rId1"/>
  <headerFooter alignWithMargins="0">
    <oddFooter>&amp;L&amp;"Times New Roman,Regular"&amp;12&amp;F&amp;C&amp;"Times New Roman,Regular"&amp;12Page 3.1&amp;R&amp;"Times New Roman,Regular"&amp;12&amp;A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72"/>
  <sheetViews>
    <sheetView zoomScale="80" zoomScaleNormal="8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ColWidth="9.1796875" defaultRowHeight="12.5" x14ac:dyDescent="0.25"/>
  <cols>
    <col min="1" max="1" width="5.54296875" style="243" customWidth="1"/>
    <col min="2" max="2" width="66.54296875" style="243" customWidth="1"/>
    <col min="3" max="4" width="16.54296875" style="243" customWidth="1"/>
    <col min="5" max="5" width="17.1796875" style="243" customWidth="1"/>
    <col min="6" max="7" width="16.54296875" style="243" customWidth="1"/>
    <col min="8" max="8" width="17.54296875" style="243" customWidth="1"/>
    <col min="9" max="11" width="16.54296875" style="243" customWidth="1"/>
    <col min="12" max="12" width="15.54296875" style="243" bestFit="1" customWidth="1"/>
    <col min="13" max="15" width="16.54296875" style="243" customWidth="1"/>
    <col min="16" max="16" width="37.453125" style="243" bestFit="1" customWidth="1"/>
    <col min="17" max="17" width="5.54296875" style="243" customWidth="1"/>
    <col min="18" max="18" width="9.1796875" style="243"/>
    <col min="19" max="19" width="2.54296875" style="243" bestFit="1" customWidth="1"/>
    <col min="20" max="16384" width="9.1796875" style="243"/>
  </cols>
  <sheetData>
    <row r="1" spans="1:17" ht="15.5" x14ac:dyDescent="0.35">
      <c r="A1" s="22"/>
      <c r="B1" s="88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22"/>
    </row>
    <row r="2" spans="1:17" ht="16" thickBot="1" x14ac:dyDescent="0.4">
      <c r="A2" s="22"/>
      <c r="B2" s="88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22"/>
    </row>
    <row r="3" spans="1:17" ht="15" x14ac:dyDescent="0.3">
      <c r="A3" s="601"/>
      <c r="B3" s="601"/>
      <c r="C3" s="287"/>
      <c r="D3" s="546"/>
      <c r="E3" s="603"/>
      <c r="F3" s="704"/>
      <c r="G3" s="287"/>
      <c r="H3" s="546"/>
      <c r="I3" s="603"/>
      <c r="J3" s="548"/>
      <c r="K3" s="287"/>
      <c r="L3" s="603"/>
      <c r="M3" s="546"/>
      <c r="N3" s="559"/>
      <c r="O3" s="602"/>
      <c r="P3" s="601"/>
      <c r="Q3" s="704"/>
    </row>
    <row r="4" spans="1:17" ht="15" x14ac:dyDescent="0.3">
      <c r="A4" s="186" t="s">
        <v>8</v>
      </c>
      <c r="B4" s="354"/>
      <c r="C4" s="551" t="s">
        <v>288</v>
      </c>
      <c r="D4" s="75" t="s">
        <v>289</v>
      </c>
      <c r="E4" s="578" t="s">
        <v>290</v>
      </c>
      <c r="F4" s="705" t="s">
        <v>291</v>
      </c>
      <c r="G4" s="551" t="s">
        <v>292</v>
      </c>
      <c r="H4" s="75" t="s">
        <v>293</v>
      </c>
      <c r="I4" s="578" t="s">
        <v>294</v>
      </c>
      <c r="J4" s="552" t="s">
        <v>57</v>
      </c>
      <c r="K4" s="551" t="s">
        <v>58</v>
      </c>
      <c r="L4" s="578" t="s">
        <v>59</v>
      </c>
      <c r="M4" s="75" t="s">
        <v>295</v>
      </c>
      <c r="N4" s="552" t="s">
        <v>296</v>
      </c>
      <c r="O4" s="90"/>
      <c r="P4" s="186"/>
      <c r="Q4" s="705" t="s">
        <v>8</v>
      </c>
    </row>
    <row r="5" spans="1:17" ht="15.5" thickBot="1" x14ac:dyDescent="0.35">
      <c r="A5" s="181" t="s">
        <v>11</v>
      </c>
      <c r="B5" s="181" t="s">
        <v>70</v>
      </c>
      <c r="C5" s="569">
        <v>2022</v>
      </c>
      <c r="D5" s="153">
        <f>C5</f>
        <v>2022</v>
      </c>
      <c r="E5" s="583">
        <f>C5</f>
        <v>2022</v>
      </c>
      <c r="F5" s="572">
        <f>E5+1</f>
        <v>2023</v>
      </c>
      <c r="G5" s="569">
        <f>$F$5</f>
        <v>2023</v>
      </c>
      <c r="H5" s="153">
        <f>$F$5</f>
        <v>2023</v>
      </c>
      <c r="I5" s="583">
        <f t="shared" ref="I5:N5" si="0">$F$5</f>
        <v>2023</v>
      </c>
      <c r="J5" s="570">
        <f t="shared" si="0"/>
        <v>2023</v>
      </c>
      <c r="K5" s="569">
        <f t="shared" si="0"/>
        <v>2023</v>
      </c>
      <c r="L5" s="583">
        <f t="shared" si="0"/>
        <v>2023</v>
      </c>
      <c r="M5" s="153">
        <f t="shared" si="0"/>
        <v>2023</v>
      </c>
      <c r="N5" s="570">
        <f t="shared" si="0"/>
        <v>2023</v>
      </c>
      <c r="O5" s="604" t="s">
        <v>18</v>
      </c>
      <c r="P5" s="181" t="s">
        <v>16</v>
      </c>
      <c r="Q5" s="572" t="s">
        <v>11</v>
      </c>
    </row>
    <row r="6" spans="1:17" ht="15.5" x14ac:dyDescent="0.35">
      <c r="A6" s="125"/>
      <c r="B6" s="802"/>
      <c r="C6" s="551"/>
      <c r="D6" s="75"/>
      <c r="E6" s="578"/>
      <c r="F6" s="705"/>
      <c r="G6" s="551"/>
      <c r="H6" s="75"/>
      <c r="I6" s="578"/>
      <c r="J6" s="552"/>
      <c r="K6" s="551"/>
      <c r="L6" s="578"/>
      <c r="M6" s="75"/>
      <c r="N6" s="552"/>
      <c r="O6" s="90"/>
      <c r="P6" s="597"/>
      <c r="Q6" s="123"/>
    </row>
    <row r="7" spans="1:17" ht="15.5" x14ac:dyDescent="0.35">
      <c r="A7" s="120">
        <v>1</v>
      </c>
      <c r="B7" s="125" t="s">
        <v>297</v>
      </c>
      <c r="C7" s="266">
        <v>-11932442.33</v>
      </c>
      <c r="D7" s="19">
        <f t="shared" ref="D7:K7" si="1">C38</f>
        <v>-13074935.89335005</v>
      </c>
      <c r="E7" s="240">
        <f t="shared" si="1"/>
        <v>-13585681.226504738</v>
      </c>
      <c r="F7" s="706">
        <f t="shared" si="1"/>
        <v>-13047214.348803608</v>
      </c>
      <c r="G7" s="266">
        <f t="shared" si="1"/>
        <v>-11184744.722950066</v>
      </c>
      <c r="H7" s="19">
        <f t="shared" si="1"/>
        <v>-10219013.553764017</v>
      </c>
      <c r="I7" s="240">
        <f t="shared" si="1"/>
        <v>-7827512.6814265205</v>
      </c>
      <c r="J7" s="278">
        <f t="shared" si="1"/>
        <v>-6690484.971596214</v>
      </c>
      <c r="K7" s="281">
        <f t="shared" si="1"/>
        <v>-8631121.717378458</v>
      </c>
      <c r="L7" s="240">
        <f>K38</f>
        <v>-8833809.7837323733</v>
      </c>
      <c r="M7" s="19">
        <f>L38</f>
        <v>-8615542.7205662802</v>
      </c>
      <c r="N7" s="278">
        <f>M38</f>
        <v>-11922398.239794487</v>
      </c>
      <c r="O7" s="28">
        <f>C7</f>
        <v>-11932442.33</v>
      </c>
      <c r="P7" s="881" t="s">
        <v>298</v>
      </c>
      <c r="Q7" s="350">
        <v>1</v>
      </c>
    </row>
    <row r="8" spans="1:17" ht="15.5" x14ac:dyDescent="0.35">
      <c r="A8" s="120">
        <f>A7+1</f>
        <v>2</v>
      </c>
      <c r="B8" s="125"/>
      <c r="C8" s="268"/>
      <c r="D8" s="79"/>
      <c r="E8" s="252"/>
      <c r="F8" s="707"/>
      <c r="G8" s="268"/>
      <c r="H8" s="79"/>
      <c r="I8" s="252"/>
      <c r="J8" s="288"/>
      <c r="K8" s="268"/>
      <c r="L8" s="252"/>
      <c r="M8" s="79"/>
      <c r="N8" s="288"/>
      <c r="O8" s="868"/>
      <c r="P8" s="882"/>
      <c r="Q8" s="350">
        <f>Q7+1</f>
        <v>2</v>
      </c>
    </row>
    <row r="9" spans="1:17" ht="15.5" x14ac:dyDescent="0.35">
      <c r="A9" s="120">
        <f t="shared" ref="A9:A44" si="2">A8+1</f>
        <v>3</v>
      </c>
      <c r="B9" s="125" t="s">
        <v>299</v>
      </c>
      <c r="C9" s="268"/>
      <c r="D9" s="79"/>
      <c r="E9" s="252"/>
      <c r="F9" s="707"/>
      <c r="G9" s="268"/>
      <c r="H9" s="79"/>
      <c r="I9" s="252"/>
      <c r="J9" s="288"/>
      <c r="K9" s="268"/>
      <c r="L9" s="252"/>
      <c r="M9" s="79"/>
      <c r="N9" s="288"/>
      <c r="O9" s="868"/>
      <c r="P9" s="882"/>
      <c r="Q9" s="350">
        <f t="shared" ref="Q9:Q37" si="3">Q8+1</f>
        <v>3</v>
      </c>
    </row>
    <row r="10" spans="1:17" ht="15.5" x14ac:dyDescent="0.35">
      <c r="A10" s="120">
        <f t="shared" si="2"/>
        <v>4</v>
      </c>
      <c r="B10" s="125" t="s">
        <v>300</v>
      </c>
      <c r="C10" s="268">
        <f>'WP 1.1 Recorded Sales'!C41</f>
        <v>1698789378</v>
      </c>
      <c r="D10" s="79">
        <f>'WP 1.1 Recorded Sales'!D41</f>
        <v>1403359505</v>
      </c>
      <c r="E10" s="252">
        <f>'WP 1.1 Recorded Sales'!E41</f>
        <v>1377447652</v>
      </c>
      <c r="F10" s="288">
        <f>'WP 1.1 Recorded Sales'!F41</f>
        <v>1605531298</v>
      </c>
      <c r="G10" s="268">
        <f>'WP 1.1 Recorded Sales'!G41</f>
        <v>1265014823</v>
      </c>
      <c r="H10" s="79">
        <f>'WP 1.1 Recorded Sales'!H41</f>
        <v>1458508440</v>
      </c>
      <c r="I10" s="79">
        <f>'WP 1.1 Recorded Sales'!I41</f>
        <v>1158460066</v>
      </c>
      <c r="J10" s="288">
        <f>'WP 1.1 Recorded Sales'!J41</f>
        <v>1199047869</v>
      </c>
      <c r="K10" s="268">
        <f>'WP 1.1 Recorded Sales'!K41</f>
        <v>1411949869</v>
      </c>
      <c r="L10" s="79">
        <f>'WP 1.1 Recorded Sales'!L41</f>
        <v>1242482929</v>
      </c>
      <c r="M10" s="79">
        <f>'WP 1.1 Recorded Sales'!M41</f>
        <v>1742226105</v>
      </c>
      <c r="N10" s="288">
        <f>'WP 1.1 Recorded Sales'!N41</f>
        <v>1563743368</v>
      </c>
      <c r="O10" s="54">
        <f>SUM(C10:N10)</f>
        <v>17126561302</v>
      </c>
      <c r="P10" s="881" t="s">
        <v>301</v>
      </c>
      <c r="Q10" s="350">
        <f t="shared" si="3"/>
        <v>4</v>
      </c>
    </row>
    <row r="11" spans="1:17" ht="32.75" customHeight="1" x14ac:dyDescent="0.35">
      <c r="A11" s="120">
        <f t="shared" si="2"/>
        <v>5</v>
      </c>
      <c r="B11" s="125" t="s">
        <v>302</v>
      </c>
      <c r="C11" s="271">
        <f>C48</f>
        <v>-1.2999999999999999E-3</v>
      </c>
      <c r="D11" s="102">
        <f>C11</f>
        <v>-1.2999999999999999E-3</v>
      </c>
      <c r="E11" s="308">
        <f>D11</f>
        <v>-1.2999999999999999E-3</v>
      </c>
      <c r="F11" s="803">
        <f>C51</f>
        <v>-1.8599999999999999E-3</v>
      </c>
      <c r="G11" s="271">
        <f>C49</f>
        <v>-2.4199999999999998E-3</v>
      </c>
      <c r="H11" s="102">
        <f>C49</f>
        <v>-2.4199999999999998E-3</v>
      </c>
      <c r="I11" s="308">
        <f t="shared" ref="I11:N11" si="4">H11</f>
        <v>-2.4199999999999998E-3</v>
      </c>
      <c r="J11" s="272">
        <f t="shared" si="4"/>
        <v>-2.4199999999999998E-3</v>
      </c>
      <c r="K11" s="271">
        <f t="shared" si="4"/>
        <v>-2.4199999999999998E-3</v>
      </c>
      <c r="L11" s="308">
        <f t="shared" si="4"/>
        <v>-2.4199999999999998E-3</v>
      </c>
      <c r="M11" s="102">
        <f t="shared" si="4"/>
        <v>-2.4199999999999998E-3</v>
      </c>
      <c r="N11" s="272">
        <f t="shared" si="4"/>
        <v>-2.4199999999999998E-3</v>
      </c>
      <c r="O11" s="869"/>
      <c r="P11" s="883" t="s">
        <v>526</v>
      </c>
      <c r="Q11" s="350">
        <f t="shared" si="3"/>
        <v>5</v>
      </c>
    </row>
    <row r="12" spans="1:17" ht="15.5" x14ac:dyDescent="0.35">
      <c r="A12" s="120">
        <f t="shared" si="2"/>
        <v>6</v>
      </c>
      <c r="B12" s="125" t="s">
        <v>303</v>
      </c>
      <c r="C12" s="273">
        <f>C10*C11</f>
        <v>-2208426.1913999999</v>
      </c>
      <c r="D12" s="21">
        <f t="shared" ref="D12:M12" si="5">D10*D11</f>
        <v>-1824367.3565</v>
      </c>
      <c r="E12" s="134">
        <f t="shared" si="5"/>
        <v>-1790681.9475999998</v>
      </c>
      <c r="F12" s="708">
        <f t="shared" si="5"/>
        <v>-2986288.21428</v>
      </c>
      <c r="G12" s="273">
        <f t="shared" si="5"/>
        <v>-3061335.8716599997</v>
      </c>
      <c r="H12" s="21">
        <f t="shared" si="5"/>
        <v>-3529590.4247999997</v>
      </c>
      <c r="I12" s="134">
        <f t="shared" si="5"/>
        <v>-2803473.3597199996</v>
      </c>
      <c r="J12" s="289">
        <f t="shared" si="5"/>
        <v>-2901695.8429799997</v>
      </c>
      <c r="K12" s="692">
        <f t="shared" si="5"/>
        <v>-3416918.6829799996</v>
      </c>
      <c r="L12" s="134">
        <f t="shared" si="5"/>
        <v>-3006808.6881799996</v>
      </c>
      <c r="M12" s="21">
        <f t="shared" si="5"/>
        <v>-4216187.1740999995</v>
      </c>
      <c r="N12" s="289">
        <f>(N10*N11)</f>
        <v>-3784258.9505599998</v>
      </c>
      <c r="O12" s="870">
        <f>SUM(C12:N12)</f>
        <v>-35530032.70476</v>
      </c>
      <c r="P12" s="881" t="s">
        <v>304</v>
      </c>
      <c r="Q12" s="350">
        <f t="shared" si="3"/>
        <v>6</v>
      </c>
    </row>
    <row r="13" spans="1:17" ht="15.5" x14ac:dyDescent="0.35">
      <c r="A13" s="120">
        <f t="shared" si="2"/>
        <v>7</v>
      </c>
      <c r="B13" s="125" t="s">
        <v>305</v>
      </c>
      <c r="C13" s="606">
        <f>(+C12/(1+C44)*C$44)</f>
        <v>-25938.861910977037</v>
      </c>
      <c r="D13" s="605">
        <f t="shared" ref="D13:M13" si="6">(+D12/(1+D44)*D$44)</f>
        <v>-21427.935024239414</v>
      </c>
      <c r="E13" s="885">
        <f t="shared" si="6"/>
        <v>-21032.286225436685</v>
      </c>
      <c r="F13" s="607">
        <f t="shared" si="6"/>
        <v>-35425.111548294124</v>
      </c>
      <c r="G13" s="606">
        <f t="shared" si="6"/>
        <v>-36315.371109113388</v>
      </c>
      <c r="H13" s="605">
        <f t="shared" si="6"/>
        <v>-41870.082706828522</v>
      </c>
      <c r="I13" s="605">
        <f t="shared" si="6"/>
        <v>-33256.453953724136</v>
      </c>
      <c r="J13" s="607">
        <f t="shared" si="6"/>
        <v>-34421.626963280716</v>
      </c>
      <c r="K13" s="606">
        <f t="shared" si="6"/>
        <v>-40533.504072781157</v>
      </c>
      <c r="L13" s="605">
        <f t="shared" si="6"/>
        <v>-35668.537508807662</v>
      </c>
      <c r="M13" s="605">
        <f t="shared" si="6"/>
        <v>-50014.898172509515</v>
      </c>
      <c r="N13" s="693">
        <f>(+N12/(1+N44)*N$44)</f>
        <v>-44891.110914938952</v>
      </c>
      <c r="O13" s="332">
        <f>SUM(C13:N13)</f>
        <v>-420795.78011093131</v>
      </c>
      <c r="P13" s="881" t="s">
        <v>306</v>
      </c>
      <c r="Q13" s="350">
        <f t="shared" si="3"/>
        <v>7</v>
      </c>
    </row>
    <row r="14" spans="1:17" ht="15.5" x14ac:dyDescent="0.35">
      <c r="A14" s="120">
        <f t="shared" si="2"/>
        <v>8</v>
      </c>
      <c r="B14" s="125" t="s">
        <v>307</v>
      </c>
      <c r="C14" s="275">
        <f t="shared" ref="C14:N14" si="7">C12-C13</f>
        <v>-2182487.329489023</v>
      </c>
      <c r="D14" s="97">
        <f t="shared" si="7"/>
        <v>-1802939.4214757606</v>
      </c>
      <c r="E14" s="254">
        <f t="shared" si="7"/>
        <v>-1769649.6613745631</v>
      </c>
      <c r="F14" s="709">
        <f t="shared" si="7"/>
        <v>-2950863.1027317056</v>
      </c>
      <c r="G14" s="275">
        <f t="shared" si="7"/>
        <v>-3025020.5005508862</v>
      </c>
      <c r="H14" s="97">
        <f t="shared" si="7"/>
        <v>-3487720.3420931711</v>
      </c>
      <c r="I14" s="254">
        <f t="shared" si="7"/>
        <v>-2770216.9057662752</v>
      </c>
      <c r="J14" s="276">
        <f t="shared" si="7"/>
        <v>-2867274.2160167191</v>
      </c>
      <c r="K14" s="275">
        <f t="shared" si="7"/>
        <v>-3376385.1789072184</v>
      </c>
      <c r="L14" s="254">
        <f t="shared" si="7"/>
        <v>-2971140.150671192</v>
      </c>
      <c r="M14" s="97">
        <f t="shared" si="7"/>
        <v>-4166172.2759274901</v>
      </c>
      <c r="N14" s="276">
        <f t="shared" si="7"/>
        <v>-3739367.8396450607</v>
      </c>
      <c r="O14" s="871">
        <f>SUM(C14:N14)</f>
        <v>-35109236.924649067</v>
      </c>
      <c r="P14" s="881" t="s">
        <v>308</v>
      </c>
      <c r="Q14" s="350">
        <f t="shared" si="3"/>
        <v>8</v>
      </c>
    </row>
    <row r="15" spans="1:17" ht="15.5" x14ac:dyDescent="0.35">
      <c r="A15" s="120">
        <f t="shared" si="2"/>
        <v>9</v>
      </c>
      <c r="B15" s="125"/>
      <c r="C15" s="268"/>
      <c r="D15" s="79"/>
      <c r="E15" s="252"/>
      <c r="F15" s="707"/>
      <c r="G15" s="268"/>
      <c r="H15" s="79"/>
      <c r="I15" s="252"/>
      <c r="J15" s="288"/>
      <c r="K15" s="268"/>
      <c r="L15" s="252"/>
      <c r="M15" s="79"/>
      <c r="N15" s="345"/>
      <c r="O15" s="868"/>
      <c r="P15" s="882"/>
      <c r="Q15" s="350">
        <f t="shared" si="3"/>
        <v>9</v>
      </c>
    </row>
    <row r="16" spans="1:17" ht="15.5" x14ac:dyDescent="0.35">
      <c r="A16" s="120">
        <f t="shared" si="2"/>
        <v>10</v>
      </c>
      <c r="B16" s="125" t="s">
        <v>309</v>
      </c>
      <c r="C16" s="268"/>
      <c r="D16" s="79"/>
      <c r="E16" s="252"/>
      <c r="F16" s="707"/>
      <c r="G16" s="268"/>
      <c r="H16" s="79"/>
      <c r="I16" s="252"/>
      <c r="J16" s="288"/>
      <c r="K16" s="268"/>
      <c r="L16" s="252"/>
      <c r="M16" s="79"/>
      <c r="N16" s="288"/>
      <c r="O16" s="868"/>
      <c r="P16" s="882"/>
      <c r="Q16" s="350">
        <f t="shared" si="3"/>
        <v>10</v>
      </c>
    </row>
    <row r="17" spans="1:17" ht="15.5" x14ac:dyDescent="0.35">
      <c r="A17" s="120">
        <f t="shared" si="2"/>
        <v>11</v>
      </c>
      <c r="B17" s="125" t="s">
        <v>310</v>
      </c>
      <c r="C17" s="269">
        <f>'WP 5 CAISO Charges'!C10</f>
        <v>-3234865.98</v>
      </c>
      <c r="D17" s="31">
        <f>'WP 5 CAISO Charges'!D10</f>
        <v>-2097227.48</v>
      </c>
      <c r="E17" s="239">
        <f>'WP 5 CAISO Charges'!E10</f>
        <v>-1113675.69</v>
      </c>
      <c r="F17" s="118">
        <f>'WP 5 CAISO Charges'!F10</f>
        <v>-873321.92</v>
      </c>
      <c r="G17" s="269">
        <f>'WP 5 CAISO Charges'!G10</f>
        <v>-2799324.31</v>
      </c>
      <c r="H17" s="31">
        <f>'WP 5 CAISO Charges'!H10</f>
        <v>-1962697.9800000002</v>
      </c>
      <c r="I17" s="239">
        <f>'WP 5 CAISO Charges'!I10</f>
        <v>-1543415.99</v>
      </c>
      <c r="J17" s="270">
        <f>'WP 5 CAISO Charges'!J10</f>
        <v>-4467774.07</v>
      </c>
      <c r="K17" s="269">
        <f>'WP 5 CAISO Charges'!K10</f>
        <v>-3378805.02</v>
      </c>
      <c r="L17" s="239">
        <f>'WP 5 CAISO Charges'!L10</f>
        <v>-2589702.9900000002</v>
      </c>
      <c r="M17" s="31">
        <f>'WP 5 CAISO Charges'!M10</f>
        <v>-7472275.3600000003</v>
      </c>
      <c r="N17" s="270">
        <f>'WP 5 CAISO Charges'!N10</f>
        <v>-5182129.5</v>
      </c>
      <c r="O17" s="54">
        <f>SUM(C17:N17)</f>
        <v>-36715216.289999999</v>
      </c>
      <c r="P17" s="881" t="s">
        <v>311</v>
      </c>
      <c r="Q17" s="350">
        <f t="shared" si="3"/>
        <v>11</v>
      </c>
    </row>
    <row r="18" spans="1:17" ht="15.5" x14ac:dyDescent="0.35">
      <c r="A18" s="120">
        <f t="shared" si="2"/>
        <v>12</v>
      </c>
      <c r="B18" s="125" t="s">
        <v>312</v>
      </c>
      <c r="C18" s="269">
        <f>'WP 5 CAISO Charges'!C13</f>
        <v>1500</v>
      </c>
      <c r="D18" s="31">
        <f>'WP 5 CAISO Charges'!D13</f>
        <v>1500</v>
      </c>
      <c r="E18" s="239">
        <f>'WP 5 CAISO Charges'!E13</f>
        <v>1500</v>
      </c>
      <c r="F18" s="118">
        <f>'WP 5 CAISO Charges'!F13</f>
        <v>1500</v>
      </c>
      <c r="G18" s="269">
        <f>'WP 5 CAISO Charges'!G13</f>
        <v>1500</v>
      </c>
      <c r="H18" s="31">
        <f>'WP 5 CAISO Charges'!H13</f>
        <v>1500</v>
      </c>
      <c r="I18" s="239">
        <f>'WP 5 CAISO Charges'!I13</f>
        <v>1500</v>
      </c>
      <c r="J18" s="270">
        <f>'WP 5 CAISO Charges'!J13</f>
        <v>1500</v>
      </c>
      <c r="K18" s="269">
        <f>'WP 5 CAISO Charges'!K13</f>
        <v>1500</v>
      </c>
      <c r="L18" s="239">
        <f>'WP 5 CAISO Charges'!L13</f>
        <v>1500</v>
      </c>
      <c r="M18" s="31">
        <f>'WP 5 CAISO Charges'!M13</f>
        <v>1500</v>
      </c>
      <c r="N18" s="270">
        <f>'WP 5 CAISO Charges'!N13</f>
        <v>1500</v>
      </c>
      <c r="O18" s="54">
        <f>SUM(C18:N18)</f>
        <v>18000</v>
      </c>
      <c r="P18" s="881" t="s">
        <v>313</v>
      </c>
      <c r="Q18" s="350">
        <f t="shared" si="3"/>
        <v>12</v>
      </c>
    </row>
    <row r="19" spans="1:17" ht="15.5" x14ac:dyDescent="0.35">
      <c r="A19" s="120">
        <f>A18+1</f>
        <v>13</v>
      </c>
      <c r="B19" s="125" t="s">
        <v>314</v>
      </c>
      <c r="C19" s="116">
        <f>'WP 5 CAISO Charges'!C16</f>
        <v>-13371.33999999998</v>
      </c>
      <c r="D19" s="31">
        <f>'WP 5 CAISO Charges'!D16</f>
        <v>-50024.370000000032</v>
      </c>
      <c r="E19" s="239">
        <f>'WP 5 CAISO Charges'!E16</f>
        <v>4262.9000000000033</v>
      </c>
      <c r="F19" s="118">
        <f>'WP 5 CAISO Charges'!F16</f>
        <v>5433.1399999999749</v>
      </c>
      <c r="G19" s="269">
        <f>'WP 5 CAISO Charges'!G16</f>
        <v>877997.29000000015</v>
      </c>
      <c r="H19" s="239">
        <f>'WP 5 CAISO Charges'!H16</f>
        <v>899778.47000000009</v>
      </c>
      <c r="I19" s="54">
        <f>'WP 5 CAISO Charges'!I16</f>
        <v>73228.609999999986</v>
      </c>
      <c r="J19" s="270">
        <f>'WP 5 CAISO Charges'!J16</f>
        <v>-16999.950000000063</v>
      </c>
      <c r="K19" s="269">
        <f>'WP 5 CAISO Charges'!K16</f>
        <v>-24735.650000000005</v>
      </c>
      <c r="L19" s="54">
        <f>'WP 5 CAISO Charges'!L16</f>
        <v>-89893.799999999988</v>
      </c>
      <c r="M19" s="31">
        <f>'WP 5 CAISO Charges'!M16</f>
        <v>72844.999999999971</v>
      </c>
      <c r="N19" s="118">
        <f>'WP 5 CAISO Charges'!N16</f>
        <v>383280.57909000007</v>
      </c>
      <c r="O19" s="54">
        <f>SUM(C19:N19)</f>
        <v>2121800.8790900004</v>
      </c>
      <c r="P19" s="881" t="s">
        <v>315</v>
      </c>
      <c r="Q19" s="350">
        <f>Q18+1</f>
        <v>13</v>
      </c>
    </row>
    <row r="20" spans="1:17" ht="15.5" x14ac:dyDescent="0.35">
      <c r="A20" s="120">
        <f t="shared" ref="A20:A21" si="8">A19+1</f>
        <v>14</v>
      </c>
      <c r="B20" s="125" t="s">
        <v>316</v>
      </c>
      <c r="C20" s="330">
        <f>'WP 5 CAISO Charges'!C19</f>
        <v>-25838.129999999997</v>
      </c>
      <c r="D20" s="38">
        <f>'WP 5 CAISO Charges'!D19</f>
        <v>-114718.1</v>
      </c>
      <c r="E20" s="253">
        <f>'WP 5 CAISO Charges'!E19</f>
        <v>-67457.119999999995</v>
      </c>
      <c r="F20" s="331">
        <f>'WP 5 CAISO Charges'!F19</f>
        <v>-156755.57999999999</v>
      </c>
      <c r="G20" s="274">
        <f>'WP 5 CAISO Charges'!G19</f>
        <v>-88221.27</v>
      </c>
      <c r="H20" s="253">
        <f>'WP 5 CAISO Charges'!H19</f>
        <v>13800.439999999999</v>
      </c>
      <c r="I20" s="332">
        <f>'WP 5 CAISO Charges'!I19</f>
        <v>-119635.11</v>
      </c>
      <c r="J20" s="277">
        <f>'WP 5 CAISO Charges'!J19</f>
        <v>-275765.18999999994</v>
      </c>
      <c r="K20" s="274">
        <f>'WP 5 CAISO Charges'!K19</f>
        <v>-123057.60999999999</v>
      </c>
      <c r="L20" s="332">
        <f>'WP 5 CAISO Charges'!L19</f>
        <v>-15649.529999999999</v>
      </c>
      <c r="M20" s="38">
        <f>'WP 5 CAISO Charges'!M19</f>
        <v>-5505.05</v>
      </c>
      <c r="N20" s="331">
        <f>'WP 5 CAISO Charges'!N19</f>
        <v>-151224.57909000001</v>
      </c>
      <c r="O20" s="332">
        <f>SUM(C20:N20)</f>
        <v>-1130026.8290900001</v>
      </c>
      <c r="P20" s="881" t="s">
        <v>317</v>
      </c>
      <c r="Q20" s="350">
        <f t="shared" ref="Q20:Q22" si="9">Q19+1</f>
        <v>14</v>
      </c>
    </row>
    <row r="21" spans="1:17" ht="15.5" x14ac:dyDescent="0.35">
      <c r="A21" s="120">
        <f t="shared" si="8"/>
        <v>15</v>
      </c>
      <c r="B21" s="149" t="s">
        <v>318</v>
      </c>
      <c r="C21" s="266">
        <f t="shared" ref="C21:O21" si="10">SUM(C17:C20)</f>
        <v>-3272575.4499999997</v>
      </c>
      <c r="D21" s="19">
        <f t="shared" si="10"/>
        <v>-2260469.9500000002</v>
      </c>
      <c r="E21" s="240">
        <f t="shared" si="10"/>
        <v>-1175369.9100000001</v>
      </c>
      <c r="F21" s="706">
        <f t="shared" si="10"/>
        <v>-1023144.36</v>
      </c>
      <c r="G21" s="266">
        <f t="shared" si="10"/>
        <v>-2008048.29</v>
      </c>
      <c r="H21" s="19">
        <f t="shared" si="10"/>
        <v>-1047619.0700000003</v>
      </c>
      <c r="I21" s="240">
        <f t="shared" si="10"/>
        <v>-1588322.49</v>
      </c>
      <c r="J21" s="278">
        <f t="shared" si="10"/>
        <v>-4759039.2100000009</v>
      </c>
      <c r="K21" s="266">
        <f t="shared" si="10"/>
        <v>-3525098.28</v>
      </c>
      <c r="L21" s="240">
        <f t="shared" si="10"/>
        <v>-2693746.32</v>
      </c>
      <c r="M21" s="19">
        <f t="shared" si="10"/>
        <v>-7403435.4100000001</v>
      </c>
      <c r="N21" s="278">
        <f t="shared" si="10"/>
        <v>-4948573.5</v>
      </c>
      <c r="O21" s="28">
        <f t="shared" si="10"/>
        <v>-35705442.239999995</v>
      </c>
      <c r="P21" s="881" t="s">
        <v>319</v>
      </c>
      <c r="Q21" s="350">
        <f t="shared" si="9"/>
        <v>15</v>
      </c>
    </row>
    <row r="22" spans="1:17" ht="15.5" x14ac:dyDescent="0.35">
      <c r="A22" s="120">
        <f t="shared" si="2"/>
        <v>16</v>
      </c>
      <c r="B22" s="149"/>
      <c r="C22" s="269"/>
      <c r="D22" s="31"/>
      <c r="E22" s="239"/>
      <c r="F22" s="118"/>
      <c r="G22" s="269"/>
      <c r="H22" s="31"/>
      <c r="I22" s="239"/>
      <c r="J22" s="270"/>
      <c r="K22" s="290"/>
      <c r="L22" s="239"/>
      <c r="M22" s="31"/>
      <c r="N22" s="270"/>
      <c r="O22" s="54"/>
      <c r="P22" s="881"/>
      <c r="Q22" s="350">
        <f t="shared" si="9"/>
        <v>16</v>
      </c>
    </row>
    <row r="23" spans="1:17" ht="15.5" x14ac:dyDescent="0.35">
      <c r="A23" s="120">
        <f t="shared" si="2"/>
        <v>17</v>
      </c>
      <c r="B23" s="149" t="s">
        <v>320</v>
      </c>
      <c r="C23" s="290">
        <v>0</v>
      </c>
      <c r="D23" s="31">
        <v>0</v>
      </c>
      <c r="E23" s="239">
        <v>0</v>
      </c>
      <c r="F23" s="118">
        <v>0</v>
      </c>
      <c r="G23" s="380">
        <v>0</v>
      </c>
      <c r="H23" s="163">
        <v>0</v>
      </c>
      <c r="I23" s="239">
        <v>0</v>
      </c>
      <c r="J23" s="270">
        <v>0</v>
      </c>
      <c r="K23" s="290">
        <v>0</v>
      </c>
      <c r="L23" s="239">
        <v>0</v>
      </c>
      <c r="M23" s="31">
        <v>0</v>
      </c>
      <c r="N23" s="277">
        <v>0</v>
      </c>
      <c r="O23" s="54">
        <f>SUM(C23:N23)</f>
        <v>0</v>
      </c>
      <c r="P23" s="881" t="str">
        <f>B23</f>
        <v>Other CAISO Adjustment</v>
      </c>
      <c r="Q23" s="350">
        <f t="shared" si="3"/>
        <v>17</v>
      </c>
    </row>
    <row r="24" spans="1:17" ht="15.5" x14ac:dyDescent="0.35">
      <c r="A24" s="120">
        <f t="shared" si="2"/>
        <v>18</v>
      </c>
      <c r="B24" s="125" t="s">
        <v>321</v>
      </c>
      <c r="C24" s="275">
        <f t="shared" ref="C24:O24" si="11">SUM(C23:C23)</f>
        <v>0</v>
      </c>
      <c r="D24" s="97">
        <f>SUM(D23:D23)</f>
        <v>0</v>
      </c>
      <c r="E24" s="254">
        <f t="shared" si="11"/>
        <v>0</v>
      </c>
      <c r="F24" s="709">
        <f t="shared" si="11"/>
        <v>0</v>
      </c>
      <c r="G24" s="275">
        <f t="shared" si="11"/>
        <v>0</v>
      </c>
      <c r="H24" s="97">
        <f t="shared" si="11"/>
        <v>0</v>
      </c>
      <c r="I24" s="254">
        <f t="shared" si="11"/>
        <v>0</v>
      </c>
      <c r="J24" s="276">
        <f t="shared" si="11"/>
        <v>0</v>
      </c>
      <c r="K24" s="275">
        <f t="shared" si="11"/>
        <v>0</v>
      </c>
      <c r="L24" s="254">
        <f t="shared" si="11"/>
        <v>0</v>
      </c>
      <c r="M24" s="97">
        <f t="shared" si="11"/>
        <v>0</v>
      </c>
      <c r="N24" s="276">
        <f t="shared" si="11"/>
        <v>0</v>
      </c>
      <c r="O24" s="871">
        <f t="shared" si="11"/>
        <v>0</v>
      </c>
      <c r="P24" s="881" t="s">
        <v>322</v>
      </c>
      <c r="Q24" s="350">
        <f t="shared" si="3"/>
        <v>18</v>
      </c>
    </row>
    <row r="25" spans="1:17" ht="15.5" x14ac:dyDescent="0.35">
      <c r="A25" s="120">
        <f t="shared" si="2"/>
        <v>19</v>
      </c>
      <c r="B25" s="149" t="s">
        <v>323</v>
      </c>
      <c r="C25" s="275">
        <f>C21+C24</f>
        <v>-3272575.4499999997</v>
      </c>
      <c r="D25" s="97">
        <f>D21+D24</f>
        <v>-2260469.9500000002</v>
      </c>
      <c r="E25" s="254">
        <f t="shared" ref="E25:N25" si="12">E21+E24</f>
        <v>-1175369.9100000001</v>
      </c>
      <c r="F25" s="709">
        <f t="shared" si="12"/>
        <v>-1023144.36</v>
      </c>
      <c r="G25" s="275">
        <f t="shared" si="12"/>
        <v>-2008048.29</v>
      </c>
      <c r="H25" s="97">
        <f t="shared" si="12"/>
        <v>-1047619.0700000003</v>
      </c>
      <c r="I25" s="254">
        <f t="shared" si="12"/>
        <v>-1588322.49</v>
      </c>
      <c r="J25" s="276">
        <f t="shared" si="12"/>
        <v>-4759039.2100000009</v>
      </c>
      <c r="K25" s="275">
        <f t="shared" si="12"/>
        <v>-3525098.28</v>
      </c>
      <c r="L25" s="254">
        <f t="shared" si="12"/>
        <v>-2693746.32</v>
      </c>
      <c r="M25" s="97">
        <f t="shared" si="12"/>
        <v>-7403435.4100000001</v>
      </c>
      <c r="N25" s="276">
        <f t="shared" si="12"/>
        <v>-4948573.5</v>
      </c>
      <c r="O25" s="871">
        <f>O24+O21</f>
        <v>-35705442.239999995</v>
      </c>
      <c r="P25" s="881" t="s">
        <v>324</v>
      </c>
      <c r="Q25" s="350">
        <f t="shared" si="3"/>
        <v>19</v>
      </c>
    </row>
    <row r="26" spans="1:17" ht="15.5" x14ac:dyDescent="0.35">
      <c r="A26" s="120">
        <f t="shared" si="2"/>
        <v>20</v>
      </c>
      <c r="B26" s="149"/>
      <c r="C26" s="266"/>
      <c r="D26" s="19"/>
      <c r="E26" s="240"/>
      <c r="F26" s="706"/>
      <c r="G26" s="266"/>
      <c r="H26" s="19"/>
      <c r="I26" s="240"/>
      <c r="J26" s="278"/>
      <c r="K26" s="281"/>
      <c r="L26" s="240"/>
      <c r="M26" s="19"/>
      <c r="N26" s="278"/>
      <c r="O26" s="28"/>
      <c r="P26" s="881"/>
      <c r="Q26" s="350">
        <f t="shared" si="3"/>
        <v>20</v>
      </c>
    </row>
    <row r="27" spans="1:17" ht="15.5" x14ac:dyDescent="0.35">
      <c r="A27" s="120">
        <f t="shared" si="2"/>
        <v>21</v>
      </c>
      <c r="B27" s="149" t="s">
        <v>325</v>
      </c>
      <c r="C27" s="279">
        <f t="shared" ref="C27:O27" si="13">-C14+C25</f>
        <v>-1090088.1205109768</v>
      </c>
      <c r="D27" s="14">
        <f t="shared" si="13"/>
        <v>-457530.52852423955</v>
      </c>
      <c r="E27" s="255">
        <f t="shared" si="13"/>
        <v>594279.75137456297</v>
      </c>
      <c r="F27" s="710">
        <f t="shared" si="13"/>
        <v>1927718.7427317058</v>
      </c>
      <c r="G27" s="279">
        <f t="shared" si="13"/>
        <v>1016972.2105508861</v>
      </c>
      <c r="H27" s="14">
        <f t="shared" si="13"/>
        <v>2440101.2720931708</v>
      </c>
      <c r="I27" s="255">
        <f t="shared" si="13"/>
        <v>1181894.4157662753</v>
      </c>
      <c r="J27" s="291">
        <f t="shared" si="13"/>
        <v>-1891764.9939832818</v>
      </c>
      <c r="K27" s="694">
        <f t="shared" si="13"/>
        <v>-148713.10109278141</v>
      </c>
      <c r="L27" s="255">
        <f t="shared" si="13"/>
        <v>277393.83067119215</v>
      </c>
      <c r="M27" s="14">
        <f t="shared" si="13"/>
        <v>-3237263.1340725101</v>
      </c>
      <c r="N27" s="291">
        <f t="shared" si="13"/>
        <v>-1209205.6603549393</v>
      </c>
      <c r="O27" s="872">
        <f t="shared" si="13"/>
        <v>-596205.31535092741</v>
      </c>
      <c r="P27" s="881" t="s">
        <v>483</v>
      </c>
      <c r="Q27" s="350">
        <f t="shared" si="3"/>
        <v>21</v>
      </c>
    </row>
    <row r="28" spans="1:17" ht="15.5" x14ac:dyDescent="0.35">
      <c r="A28" s="120">
        <f t="shared" si="2"/>
        <v>22</v>
      </c>
      <c r="B28" s="125"/>
      <c r="C28" s="280"/>
      <c r="D28" s="95"/>
      <c r="E28" s="256"/>
      <c r="F28" s="711"/>
      <c r="G28" s="280"/>
      <c r="H28" s="95"/>
      <c r="I28" s="256"/>
      <c r="J28" s="292"/>
      <c r="K28" s="280"/>
      <c r="L28" s="256"/>
      <c r="M28" s="95"/>
      <c r="N28" s="292"/>
      <c r="O28" s="873"/>
      <c r="P28" s="884"/>
      <c r="Q28" s="350">
        <f t="shared" si="3"/>
        <v>22</v>
      </c>
    </row>
    <row r="29" spans="1:17" ht="15.5" x14ac:dyDescent="0.35">
      <c r="A29" s="120">
        <f t="shared" si="2"/>
        <v>23</v>
      </c>
      <c r="B29" s="125" t="s">
        <v>326</v>
      </c>
      <c r="C29" s="280"/>
      <c r="D29" s="95"/>
      <c r="E29" s="256"/>
      <c r="F29" s="711"/>
      <c r="G29" s="280"/>
      <c r="H29" s="95"/>
      <c r="I29" s="256"/>
      <c r="J29" s="292"/>
      <c r="K29" s="280"/>
      <c r="L29" s="256"/>
      <c r="M29" s="95"/>
      <c r="N29" s="292"/>
      <c r="O29" s="873"/>
      <c r="P29" s="884"/>
      <c r="Q29" s="350">
        <f t="shared" si="3"/>
        <v>23</v>
      </c>
    </row>
    <row r="30" spans="1:17" ht="15.5" x14ac:dyDescent="0.35">
      <c r="A30" s="120">
        <f t="shared" si="2"/>
        <v>24</v>
      </c>
      <c r="B30" s="125" t="s">
        <v>327</v>
      </c>
      <c r="C30" s="281">
        <f>C7</f>
        <v>-11932442.33</v>
      </c>
      <c r="D30" s="141">
        <f>D7</f>
        <v>-13074935.89335005</v>
      </c>
      <c r="E30" s="257">
        <f>E7</f>
        <v>-13585681.226504738</v>
      </c>
      <c r="F30" s="329">
        <f>F7</f>
        <v>-13047214.348803608</v>
      </c>
      <c r="G30" s="281">
        <f t="shared" ref="G30:N30" si="14">G7</f>
        <v>-11184744.722950066</v>
      </c>
      <c r="H30" s="141">
        <f t="shared" si="14"/>
        <v>-10219013.553764017</v>
      </c>
      <c r="I30" s="257">
        <f t="shared" si="14"/>
        <v>-7827512.6814265205</v>
      </c>
      <c r="J30" s="267">
        <f t="shared" si="14"/>
        <v>-6690484.971596214</v>
      </c>
      <c r="K30" s="281">
        <f t="shared" si="14"/>
        <v>-8631121.717378458</v>
      </c>
      <c r="L30" s="257">
        <f t="shared" si="14"/>
        <v>-8833809.7837323733</v>
      </c>
      <c r="M30" s="141">
        <f t="shared" si="14"/>
        <v>-8615542.7205662802</v>
      </c>
      <c r="N30" s="267">
        <f t="shared" si="14"/>
        <v>-11922398.239794487</v>
      </c>
      <c r="O30" s="873"/>
      <c r="P30" s="884" t="s">
        <v>478</v>
      </c>
      <c r="Q30" s="350">
        <f t="shared" si="3"/>
        <v>24</v>
      </c>
    </row>
    <row r="31" spans="1:17" ht="15.5" x14ac:dyDescent="0.35">
      <c r="A31" s="120">
        <f t="shared" si="2"/>
        <v>25</v>
      </c>
      <c r="B31" s="125" t="s">
        <v>328</v>
      </c>
      <c r="C31" s="282">
        <f>C27/2</f>
        <v>-545044.06025548838</v>
      </c>
      <c r="D31" s="96">
        <f>D27/2</f>
        <v>-228765.26426211977</v>
      </c>
      <c r="E31" s="258">
        <f>E27/2</f>
        <v>297139.87568728148</v>
      </c>
      <c r="F31" s="712">
        <f t="shared" ref="F31:N31" si="15">F27/2</f>
        <v>963859.37136585289</v>
      </c>
      <c r="G31" s="282">
        <f t="shared" si="15"/>
        <v>508486.10527544306</v>
      </c>
      <c r="H31" s="96">
        <f t="shared" si="15"/>
        <v>1220050.6360465854</v>
      </c>
      <c r="I31" s="258">
        <f t="shared" si="15"/>
        <v>590947.20788313763</v>
      </c>
      <c r="J31" s="283">
        <f t="shared" si="15"/>
        <v>-945882.49699164089</v>
      </c>
      <c r="K31" s="282">
        <f t="shared" si="15"/>
        <v>-74356.550546390703</v>
      </c>
      <c r="L31" s="258">
        <f t="shared" si="15"/>
        <v>138696.91533559607</v>
      </c>
      <c r="M31" s="96">
        <f t="shared" si="15"/>
        <v>-1618631.567036255</v>
      </c>
      <c r="N31" s="283">
        <f t="shared" si="15"/>
        <v>-604602.83017746964</v>
      </c>
      <c r="O31" s="873"/>
      <c r="P31" s="884" t="s">
        <v>329</v>
      </c>
      <c r="Q31" s="350">
        <f t="shared" si="3"/>
        <v>25</v>
      </c>
    </row>
    <row r="32" spans="1:17" ht="15.5" x14ac:dyDescent="0.35">
      <c r="A32" s="120">
        <f t="shared" si="2"/>
        <v>26</v>
      </c>
      <c r="B32" s="125" t="s">
        <v>330</v>
      </c>
      <c r="C32" s="280">
        <f t="shared" ref="C32:L32" si="16">C30+C31</f>
        <v>-12477486.390255488</v>
      </c>
      <c r="D32" s="95">
        <f t="shared" si="16"/>
        <v>-13303701.157612169</v>
      </c>
      <c r="E32" s="256">
        <f t="shared" si="16"/>
        <v>-13288541.350817457</v>
      </c>
      <c r="F32" s="711">
        <f t="shared" si="16"/>
        <v>-12083354.977437755</v>
      </c>
      <c r="G32" s="280">
        <f t="shared" si="16"/>
        <v>-10676258.617674623</v>
      </c>
      <c r="H32" s="95">
        <f t="shared" si="16"/>
        <v>-8998962.9177174326</v>
      </c>
      <c r="I32" s="256">
        <f>I30+I31</f>
        <v>-7236565.4735433832</v>
      </c>
      <c r="J32" s="292">
        <f t="shared" si="16"/>
        <v>-7636367.4685878549</v>
      </c>
      <c r="K32" s="280">
        <f t="shared" si="16"/>
        <v>-8705478.2679248489</v>
      </c>
      <c r="L32" s="256">
        <f t="shared" si="16"/>
        <v>-8695112.8683967777</v>
      </c>
      <c r="M32" s="95">
        <f>M30+M31</f>
        <v>-10234174.287602535</v>
      </c>
      <c r="N32" s="292">
        <f>N30+N31</f>
        <v>-12527001.069971956</v>
      </c>
      <c r="O32" s="873"/>
      <c r="P32" s="884" t="s">
        <v>331</v>
      </c>
      <c r="Q32" s="350">
        <f t="shared" si="3"/>
        <v>26</v>
      </c>
    </row>
    <row r="33" spans="1:17" ht="15.5" x14ac:dyDescent="0.35">
      <c r="A33" s="120">
        <f t="shared" si="2"/>
        <v>27</v>
      </c>
      <c r="B33" s="125" t="s">
        <v>332</v>
      </c>
      <c r="C33" s="284">
        <f>C62</f>
        <v>4.1999999999999997E-3</v>
      </c>
      <c r="D33" s="152">
        <f t="shared" ref="D33:N33" si="17">D62</f>
        <v>4.0000000000000001E-3</v>
      </c>
      <c r="E33" s="259">
        <f t="shared" si="17"/>
        <v>4.1999999999999997E-3</v>
      </c>
      <c r="F33" s="713">
        <f t="shared" si="17"/>
        <v>5.4000000000000003E-3</v>
      </c>
      <c r="G33" s="284">
        <f t="shared" si="17"/>
        <v>4.7999999999999996E-3</v>
      </c>
      <c r="H33" s="152">
        <f t="shared" si="17"/>
        <v>5.4000000000000003E-3</v>
      </c>
      <c r="I33" s="259">
        <f t="shared" si="17"/>
        <v>6.1999999999999998E-3</v>
      </c>
      <c r="J33" s="285">
        <f t="shared" si="17"/>
        <v>6.4000000000000003E-3</v>
      </c>
      <c r="K33" s="284">
        <f t="shared" si="17"/>
        <v>6.1999999999999998E-3</v>
      </c>
      <c r="L33" s="259">
        <f t="shared" si="17"/>
        <v>6.7999999999999996E-3</v>
      </c>
      <c r="M33" s="152">
        <f t="shared" si="17"/>
        <v>6.7999999999999996E-3</v>
      </c>
      <c r="N33" s="285">
        <f t="shared" si="17"/>
        <v>6.6E-3</v>
      </c>
      <c r="O33" s="874"/>
      <c r="P33" s="884" t="s">
        <v>333</v>
      </c>
      <c r="Q33" s="350">
        <f t="shared" si="3"/>
        <v>27</v>
      </c>
    </row>
    <row r="34" spans="1:17" ht="15.5" x14ac:dyDescent="0.35">
      <c r="A34" s="120">
        <f t="shared" si="2"/>
        <v>28</v>
      </c>
      <c r="B34" s="125" t="s">
        <v>334</v>
      </c>
      <c r="C34" s="275">
        <f>C32*C33</f>
        <v>-52405.442839073046</v>
      </c>
      <c r="D34" s="97">
        <f t="shared" ref="D34:M34" si="18">D32*D33</f>
        <v>-53214.804630448678</v>
      </c>
      <c r="E34" s="254">
        <f t="shared" si="18"/>
        <v>-55811.873673433314</v>
      </c>
      <c r="F34" s="714">
        <f t="shared" si="18"/>
        <v>-65250.116878163884</v>
      </c>
      <c r="G34" s="275">
        <f t="shared" si="18"/>
        <v>-51246.041364838187</v>
      </c>
      <c r="H34" s="97">
        <f t="shared" si="18"/>
        <v>-48594.399755674138</v>
      </c>
      <c r="I34" s="523">
        <f t="shared" si="18"/>
        <v>-44866.705935968974</v>
      </c>
      <c r="J34" s="524">
        <f t="shared" si="18"/>
        <v>-48872.751798962272</v>
      </c>
      <c r="K34" s="695">
        <f t="shared" si="18"/>
        <v>-53973.965261134064</v>
      </c>
      <c r="L34" s="523">
        <f t="shared" si="18"/>
        <v>-59126.767505098083</v>
      </c>
      <c r="M34" s="97">
        <f t="shared" si="18"/>
        <v>-69592.385155697237</v>
      </c>
      <c r="N34" s="276">
        <f>N32*N33+14641</f>
        <v>-68037.207061814916</v>
      </c>
      <c r="O34" s="871">
        <f>SUM(C34:N34)</f>
        <v>-670992.46186030691</v>
      </c>
      <c r="P34" s="884" t="s">
        <v>335</v>
      </c>
      <c r="Q34" s="350">
        <f t="shared" si="3"/>
        <v>28</v>
      </c>
    </row>
    <row r="35" spans="1:17" ht="18.5" x14ac:dyDescent="0.35">
      <c r="A35" s="120">
        <f t="shared" si="2"/>
        <v>29</v>
      </c>
      <c r="B35" s="125"/>
      <c r="C35" s="266"/>
      <c r="D35" s="19"/>
      <c r="E35" s="240"/>
      <c r="F35" s="329"/>
      <c r="G35" s="266"/>
      <c r="H35" s="19"/>
      <c r="I35" s="257"/>
      <c r="J35" s="267"/>
      <c r="K35" s="281"/>
      <c r="L35" s="257"/>
      <c r="M35" s="19"/>
      <c r="N35" s="965"/>
      <c r="O35" s="28"/>
      <c r="P35" s="884"/>
      <c r="Q35" s="350">
        <f t="shared" si="3"/>
        <v>29</v>
      </c>
    </row>
    <row r="36" spans="1:17" ht="15.5" x14ac:dyDescent="0.35">
      <c r="A36" s="120">
        <f t="shared" si="2"/>
        <v>30</v>
      </c>
      <c r="B36" s="149" t="s">
        <v>336</v>
      </c>
      <c r="C36" s="279"/>
      <c r="D36" s="14"/>
      <c r="E36" s="253">
        <v>-1</v>
      </c>
      <c r="F36" s="710">
        <v>1</v>
      </c>
      <c r="G36" s="279">
        <v>5</v>
      </c>
      <c r="H36" s="191">
        <v>-6</v>
      </c>
      <c r="I36" s="260"/>
      <c r="J36" s="326">
        <v>1</v>
      </c>
      <c r="K36" s="696">
        <v>-1</v>
      </c>
      <c r="L36" s="260"/>
      <c r="M36" s="103"/>
      <c r="N36" s="326"/>
      <c r="O36" s="332">
        <f>SUM(C36:N36)</f>
        <v>-1</v>
      </c>
      <c r="P36" s="881"/>
      <c r="Q36" s="350">
        <f t="shared" si="3"/>
        <v>30</v>
      </c>
    </row>
    <row r="37" spans="1:17" ht="15.5" x14ac:dyDescent="0.35">
      <c r="A37" s="120">
        <f t="shared" si="2"/>
        <v>31</v>
      </c>
      <c r="B37" s="125"/>
      <c r="C37" s="266"/>
      <c r="D37" s="19"/>
      <c r="E37" s="240"/>
      <c r="F37" s="706"/>
      <c r="G37" s="266"/>
      <c r="H37" s="19"/>
      <c r="I37" s="240"/>
      <c r="J37" s="278"/>
      <c r="K37" s="281"/>
      <c r="L37" s="240"/>
      <c r="M37" s="19"/>
      <c r="N37" s="278"/>
      <c r="O37" s="28"/>
      <c r="P37" s="884"/>
      <c r="Q37" s="350">
        <f t="shared" si="3"/>
        <v>31</v>
      </c>
    </row>
    <row r="38" spans="1:17" ht="16" thickBot="1" x14ac:dyDescent="0.4">
      <c r="A38" s="120">
        <f t="shared" si="2"/>
        <v>32</v>
      </c>
      <c r="B38" s="354" t="s">
        <v>337</v>
      </c>
      <c r="C38" s="515">
        <f>C7+C27+C34+C36</f>
        <v>-13074935.89335005</v>
      </c>
      <c r="D38" s="73">
        <f>D7+D27+D34+D36</f>
        <v>-13585681.226504738</v>
      </c>
      <c r="E38" s="719">
        <f>E7+E27+E34+E36</f>
        <v>-13047214.348803608</v>
      </c>
      <c r="F38" s="715">
        <f t="shared" ref="F38:I38" si="19">F7+F27+F34+F36</f>
        <v>-11184744.722950066</v>
      </c>
      <c r="G38" s="515">
        <f>G7+G27+G34+G36</f>
        <v>-10219013.553764017</v>
      </c>
      <c r="H38" s="192">
        <f t="shared" si="19"/>
        <v>-7827512.6814265205</v>
      </c>
      <c r="I38" s="529">
        <f t="shared" si="19"/>
        <v>-6690484.971596214</v>
      </c>
      <c r="J38" s="533">
        <f t="shared" ref="J38:M38" si="20">J7+J27+J34+J36</f>
        <v>-8631121.717378458</v>
      </c>
      <c r="K38" s="515">
        <f t="shared" si="20"/>
        <v>-8833809.7837323733</v>
      </c>
      <c r="L38" s="529">
        <f t="shared" si="20"/>
        <v>-8615542.7205662802</v>
      </c>
      <c r="M38" s="73">
        <f t="shared" si="20"/>
        <v>-11922398.239794487</v>
      </c>
      <c r="N38" s="540">
        <f>N7+N27+N34+N36</f>
        <v>-13199641.107211241</v>
      </c>
      <c r="O38" s="486">
        <f>O7+O27+O34+O36</f>
        <v>-13199641.107211234</v>
      </c>
      <c r="P38" s="881" t="s">
        <v>338</v>
      </c>
      <c r="Q38" s="350">
        <f>Q37+1</f>
        <v>32</v>
      </c>
    </row>
    <row r="39" spans="1:17" ht="17.5" thickTop="1" thickBot="1" x14ac:dyDescent="0.4">
      <c r="A39" s="120">
        <f>A38+1</f>
        <v>33</v>
      </c>
      <c r="B39" s="355"/>
      <c r="C39" s="293"/>
      <c r="D39" s="100"/>
      <c r="E39" s="261"/>
      <c r="F39" s="716"/>
      <c r="G39" s="293"/>
      <c r="H39" s="100"/>
      <c r="I39" s="261"/>
      <c r="J39" s="294"/>
      <c r="K39" s="697"/>
      <c r="L39" s="100"/>
      <c r="M39" s="100"/>
      <c r="N39" s="294"/>
      <c r="O39" s="867"/>
      <c r="P39" s="126"/>
      <c r="Q39" s="464">
        <f>Q38+1</f>
        <v>33</v>
      </c>
    </row>
    <row r="40" spans="1:17" ht="16.5" x14ac:dyDescent="0.35">
      <c r="A40" s="150">
        <f t="shared" si="2"/>
        <v>34</v>
      </c>
      <c r="B40" s="491"/>
      <c r="C40" s="295"/>
      <c r="D40" s="244"/>
      <c r="E40" s="343"/>
      <c r="F40" s="699"/>
      <c r="G40" s="347"/>
      <c r="H40" s="343"/>
      <c r="I40" s="341"/>
      <c r="J40" s="348"/>
      <c r="K40" s="698"/>
      <c r="L40" s="245"/>
      <c r="M40" s="246"/>
      <c r="N40" s="699"/>
      <c r="O40" s="875"/>
      <c r="P40" s="247"/>
      <c r="Q40" s="460">
        <f>Q39+1</f>
        <v>34</v>
      </c>
    </row>
    <row r="41" spans="1:17" ht="15.5" x14ac:dyDescent="0.35">
      <c r="A41" s="120">
        <f t="shared" si="2"/>
        <v>35</v>
      </c>
      <c r="B41" s="218" t="s">
        <v>339</v>
      </c>
      <c r="C41" s="286"/>
      <c r="D41" s="114"/>
      <c r="E41" s="91"/>
      <c r="F41" s="717"/>
      <c r="G41" s="333"/>
      <c r="H41" s="91"/>
      <c r="I41" s="22"/>
      <c r="J41" s="349"/>
      <c r="K41" s="219"/>
      <c r="L41" s="94"/>
      <c r="M41" s="91"/>
      <c r="N41" s="123"/>
      <c r="O41" s="22"/>
      <c r="P41" s="125"/>
      <c r="Q41" s="350">
        <f t="shared" ref="Q41:Q44" si="21">Q40+1</f>
        <v>35</v>
      </c>
    </row>
    <row r="42" spans="1:17" ht="15.5" x14ac:dyDescent="0.35">
      <c r="A42" s="120">
        <f t="shared" si="2"/>
        <v>36</v>
      </c>
      <c r="B42" s="125" t="s">
        <v>340</v>
      </c>
      <c r="C42" s="804">
        <f>I48</f>
        <v>1.0274999999999999E-2</v>
      </c>
      <c r="D42" s="422">
        <f>$C$42</f>
        <v>1.0274999999999999E-2</v>
      </c>
      <c r="E42" s="423">
        <f t="shared" ref="E42" si="22">$C$42</f>
        <v>1.0274999999999999E-2</v>
      </c>
      <c r="F42" s="701">
        <f>F48</f>
        <v>1.0274999999999999E-2</v>
      </c>
      <c r="G42" s="296">
        <f>$F$42</f>
        <v>1.0274999999999999E-2</v>
      </c>
      <c r="H42" s="342">
        <f t="shared" ref="H42:N42" si="23">$F$42</f>
        <v>1.0274999999999999E-2</v>
      </c>
      <c r="I42" s="346">
        <f t="shared" si="23"/>
        <v>1.0274999999999999E-2</v>
      </c>
      <c r="J42" s="297">
        <f t="shared" si="23"/>
        <v>1.0274999999999999E-2</v>
      </c>
      <c r="K42" s="700">
        <f t="shared" si="23"/>
        <v>1.0274999999999999E-2</v>
      </c>
      <c r="L42" s="115">
        <f t="shared" si="23"/>
        <v>1.0274999999999999E-2</v>
      </c>
      <c r="M42" s="342">
        <f t="shared" si="23"/>
        <v>1.0274999999999999E-2</v>
      </c>
      <c r="N42" s="701">
        <f t="shared" si="23"/>
        <v>1.0274999999999999E-2</v>
      </c>
      <c r="O42" s="22"/>
      <c r="P42" s="120" t="s">
        <v>340</v>
      </c>
      <c r="Q42" s="350">
        <f t="shared" si="21"/>
        <v>36</v>
      </c>
    </row>
    <row r="43" spans="1:17" ht="15.5" x14ac:dyDescent="0.35">
      <c r="A43" s="120">
        <f t="shared" si="2"/>
        <v>37</v>
      </c>
      <c r="B43" s="125" t="s">
        <v>341</v>
      </c>
      <c r="C43" s="805">
        <f>I49</f>
        <v>1.6100000000000001E-3</v>
      </c>
      <c r="D43" s="424">
        <f>$C$43</f>
        <v>1.6100000000000001E-3</v>
      </c>
      <c r="E43" s="425">
        <f t="shared" ref="E43" si="24">$C$43</f>
        <v>1.6100000000000001E-3</v>
      </c>
      <c r="F43" s="703">
        <f>F49</f>
        <v>1.73E-3</v>
      </c>
      <c r="G43" s="427">
        <f>F43</f>
        <v>1.73E-3</v>
      </c>
      <c r="H43" s="428">
        <f t="shared" ref="H43" si="25">$G$43</f>
        <v>1.73E-3</v>
      </c>
      <c r="I43" s="426">
        <f t="shared" ref="I43:N43" si="26">$F$43</f>
        <v>1.73E-3</v>
      </c>
      <c r="J43" s="429">
        <f t="shared" si="26"/>
        <v>1.73E-3</v>
      </c>
      <c r="K43" s="702">
        <f t="shared" si="26"/>
        <v>1.73E-3</v>
      </c>
      <c r="L43" s="430">
        <f t="shared" si="26"/>
        <v>1.73E-3</v>
      </c>
      <c r="M43" s="428">
        <f t="shared" si="26"/>
        <v>1.73E-3</v>
      </c>
      <c r="N43" s="703">
        <f t="shared" si="26"/>
        <v>1.73E-3</v>
      </c>
      <c r="O43" s="22"/>
      <c r="P43" s="120" t="s">
        <v>341</v>
      </c>
      <c r="Q43" s="350">
        <f t="shared" si="21"/>
        <v>37</v>
      </c>
    </row>
    <row r="44" spans="1:17" ht="16" thickBot="1" x14ac:dyDescent="0.4">
      <c r="A44" s="121">
        <f t="shared" si="2"/>
        <v>38</v>
      </c>
      <c r="B44" s="126" t="s">
        <v>342</v>
      </c>
      <c r="C44" s="609">
        <f t="shared" ref="C44:N44" si="27">C42+C43</f>
        <v>1.1885E-2</v>
      </c>
      <c r="D44" s="610">
        <f t="shared" si="27"/>
        <v>1.1885E-2</v>
      </c>
      <c r="E44" s="611">
        <f t="shared" si="27"/>
        <v>1.1885E-2</v>
      </c>
      <c r="F44" s="718">
        <f t="shared" si="27"/>
        <v>1.2005E-2</v>
      </c>
      <c r="G44" s="613">
        <f t="shared" si="27"/>
        <v>1.2005E-2</v>
      </c>
      <c r="H44" s="610">
        <f t="shared" si="27"/>
        <v>1.2005E-2</v>
      </c>
      <c r="I44" s="612">
        <f t="shared" si="27"/>
        <v>1.2005E-2</v>
      </c>
      <c r="J44" s="614">
        <f t="shared" si="27"/>
        <v>1.2005E-2</v>
      </c>
      <c r="K44" s="609">
        <f t="shared" si="27"/>
        <v>1.2005E-2</v>
      </c>
      <c r="L44" s="610">
        <f t="shared" si="27"/>
        <v>1.2005E-2</v>
      </c>
      <c r="M44" s="610">
        <f t="shared" si="27"/>
        <v>1.2005E-2</v>
      </c>
      <c r="N44" s="614">
        <f t="shared" si="27"/>
        <v>1.2005E-2</v>
      </c>
      <c r="O44" s="80"/>
      <c r="P44" s="121" t="s">
        <v>343</v>
      </c>
      <c r="Q44" s="464">
        <f t="shared" si="21"/>
        <v>38</v>
      </c>
    </row>
    <row r="45" spans="1:17" ht="15.5" x14ac:dyDescent="0.35">
      <c r="A45" s="22"/>
      <c r="B45" s="344"/>
      <c r="C45" s="608"/>
      <c r="D45" s="19"/>
      <c r="E45" s="28"/>
      <c r="F45" s="706"/>
      <c r="G45" s="861"/>
      <c r="H45" s="28"/>
      <c r="I45" s="28"/>
      <c r="J45" s="706"/>
      <c r="K45" s="861"/>
      <c r="L45" s="346"/>
      <c r="M45" s="28"/>
      <c r="N45" s="706"/>
      <c r="O45" s="22"/>
      <c r="P45" s="120"/>
      <c r="Q45" s="33"/>
    </row>
    <row r="46" spans="1:17" ht="16" thickBot="1" x14ac:dyDescent="0.4">
      <c r="A46" s="80"/>
      <c r="B46" s="733"/>
      <c r="C46" s="608"/>
      <c r="D46" s="19"/>
      <c r="E46" s="28"/>
      <c r="F46" s="706"/>
      <c r="G46" s="861"/>
      <c r="H46" s="28"/>
      <c r="I46" s="28"/>
      <c r="J46" s="706"/>
      <c r="K46" s="861"/>
      <c r="L46" s="28"/>
      <c r="M46" s="28"/>
      <c r="N46" s="706"/>
      <c r="O46" s="22"/>
      <c r="P46" s="120"/>
      <c r="Q46" s="33"/>
    </row>
    <row r="47" spans="1:17" ht="19" x14ac:dyDescent="0.35">
      <c r="A47" s="168"/>
      <c r="B47" s="732" t="s">
        <v>510</v>
      </c>
      <c r="C47" s="171"/>
      <c r="D47" s="114"/>
      <c r="E47" s="391" t="s">
        <v>514</v>
      </c>
      <c r="F47" s="123"/>
      <c r="G47" s="219"/>
      <c r="H47" s="391" t="s">
        <v>479</v>
      </c>
      <c r="I47" s="22"/>
      <c r="J47" s="123"/>
      <c r="K47" s="219"/>
      <c r="L47" s="22"/>
      <c r="M47" s="966"/>
      <c r="N47" s="123"/>
      <c r="O47" s="22"/>
      <c r="P47" s="125"/>
      <c r="Q47" s="91"/>
    </row>
    <row r="48" spans="1:17" ht="15.5" x14ac:dyDescent="0.35">
      <c r="A48" s="66"/>
      <c r="B48" s="146" t="s">
        <v>511</v>
      </c>
      <c r="C48" s="806">
        <v>-1.2999999999999999E-3</v>
      </c>
      <c r="D48" s="114"/>
      <c r="E48" s="22" t="s">
        <v>344</v>
      </c>
      <c r="F48" s="701">
        <v>1.0274999999999999E-2</v>
      </c>
      <c r="G48" s="219"/>
      <c r="H48" s="22" t="s">
        <v>344</v>
      </c>
      <c r="I48" s="346">
        <v>1.0274999999999999E-2</v>
      </c>
      <c r="J48" s="123"/>
      <c r="K48" s="219"/>
      <c r="L48" s="22"/>
      <c r="M48" s="22"/>
      <c r="N48" s="123"/>
      <c r="O48" s="22"/>
      <c r="P48" s="125"/>
      <c r="Q48" s="91"/>
    </row>
    <row r="49" spans="1:17" ht="15.5" x14ac:dyDescent="0.35">
      <c r="A49" s="66"/>
      <c r="B49" s="146" t="s">
        <v>512</v>
      </c>
      <c r="C49" s="806">
        <v>-2.4199999999999998E-3</v>
      </c>
      <c r="D49" s="114"/>
      <c r="E49" s="22" t="s">
        <v>345</v>
      </c>
      <c r="F49" s="701">
        <v>1.73E-3</v>
      </c>
      <c r="G49" s="932" t="s">
        <v>482</v>
      </c>
      <c r="H49" s="22" t="s">
        <v>345</v>
      </c>
      <c r="I49" s="346">
        <v>1.6100000000000001E-3</v>
      </c>
      <c r="J49" s="932" t="s">
        <v>482</v>
      </c>
      <c r="K49" s="219"/>
      <c r="L49" s="22"/>
      <c r="M49" s="22"/>
      <c r="N49" s="123"/>
      <c r="O49" s="22"/>
      <c r="P49" s="125"/>
      <c r="Q49" s="91"/>
    </row>
    <row r="50" spans="1:17" ht="16" thickBot="1" x14ac:dyDescent="0.4">
      <c r="A50" s="66"/>
      <c r="B50" s="146" t="s">
        <v>346</v>
      </c>
      <c r="C50" s="172">
        <f>C48+C49</f>
        <v>-3.7199999999999998E-3</v>
      </c>
      <c r="D50" s="114"/>
      <c r="E50" s="22" t="s">
        <v>347</v>
      </c>
      <c r="F50" s="862">
        <f>SUM(F48:F49)</f>
        <v>1.2005E-2</v>
      </c>
      <c r="G50" s="219"/>
      <c r="H50" s="22" t="s">
        <v>347</v>
      </c>
      <c r="I50" s="889">
        <f>SUM(I48:I49)</f>
        <v>1.1885E-2</v>
      </c>
      <c r="J50" s="123"/>
      <c r="K50" s="219"/>
      <c r="L50" s="22"/>
      <c r="M50" s="22"/>
      <c r="N50" s="123"/>
      <c r="O50" s="22"/>
      <c r="P50" s="125"/>
      <c r="Q50" s="91"/>
    </row>
    <row r="51" spans="1:17" ht="16.5" thickTop="1" thickBot="1" x14ac:dyDescent="0.4">
      <c r="A51" s="66"/>
      <c r="B51" s="146" t="s">
        <v>513</v>
      </c>
      <c r="C51" s="916">
        <f>C50/2</f>
        <v>-1.8599999999999999E-3</v>
      </c>
      <c r="D51" s="114"/>
      <c r="E51" s="22"/>
      <c r="F51" s="123"/>
      <c r="G51" s="219"/>
      <c r="H51" s="22"/>
      <c r="I51" s="22"/>
      <c r="J51" s="123"/>
      <c r="K51" s="219"/>
      <c r="L51" s="22"/>
      <c r="M51" s="22"/>
      <c r="N51" s="123"/>
      <c r="O51" s="22"/>
      <c r="P51" s="125"/>
      <c r="Q51" s="91"/>
    </row>
    <row r="52" spans="1:17" ht="16" thickTop="1" x14ac:dyDescent="0.35">
      <c r="A52" s="27"/>
      <c r="B52" s="169"/>
      <c r="C52" s="173"/>
      <c r="D52" s="933" t="s">
        <v>482</v>
      </c>
      <c r="E52" s="22" t="s">
        <v>481</v>
      </c>
      <c r="F52" s="123"/>
      <c r="G52" s="219"/>
      <c r="H52" s="22"/>
      <c r="I52" s="22"/>
      <c r="J52" s="123"/>
      <c r="K52" s="219"/>
      <c r="L52" s="22"/>
      <c r="M52" s="22"/>
      <c r="N52" s="123"/>
      <c r="O52" s="22"/>
      <c r="P52" s="125"/>
      <c r="Q52" s="91"/>
    </row>
    <row r="53" spans="1:17" ht="19.5" thickBot="1" x14ac:dyDescent="0.4">
      <c r="A53" s="167"/>
      <c r="B53" s="147"/>
      <c r="C53" s="174"/>
      <c r="D53" s="886"/>
      <c r="E53" s="80" t="s">
        <v>480</v>
      </c>
      <c r="F53" s="124"/>
      <c r="G53" s="212"/>
      <c r="H53" s="80"/>
      <c r="I53" s="80"/>
      <c r="J53" s="124"/>
      <c r="K53" s="212"/>
      <c r="L53" s="80"/>
      <c r="M53" s="80"/>
      <c r="N53" s="124"/>
      <c r="O53" s="80"/>
      <c r="P53" s="126"/>
      <c r="Q53" s="556"/>
    </row>
    <row r="54" spans="1:17" ht="15.5" x14ac:dyDescent="0.35">
      <c r="A54" s="66"/>
      <c r="B54" s="146"/>
      <c r="C54" s="175"/>
      <c r="D54" s="17"/>
      <c r="E54" s="250"/>
      <c r="F54" s="122"/>
      <c r="G54" s="325"/>
      <c r="H54" s="166"/>
      <c r="I54" s="250"/>
      <c r="J54" s="262"/>
      <c r="K54" s="325"/>
      <c r="L54" s="250"/>
      <c r="M54" s="166"/>
      <c r="N54" s="262"/>
      <c r="O54" s="183"/>
      <c r="P54" s="125"/>
      <c r="Q54" s="122"/>
    </row>
    <row r="55" spans="1:17" ht="15.5" x14ac:dyDescent="0.35">
      <c r="A55" s="32"/>
      <c r="B55" s="170"/>
      <c r="C55" s="135" t="s">
        <v>288</v>
      </c>
      <c r="D55" s="10" t="s">
        <v>289</v>
      </c>
      <c r="E55" s="33" t="s">
        <v>290</v>
      </c>
      <c r="F55" s="350" t="s">
        <v>291</v>
      </c>
      <c r="G55" s="263" t="s">
        <v>292</v>
      </c>
      <c r="H55" s="10" t="s">
        <v>293</v>
      </c>
      <c r="I55" s="33" t="s">
        <v>294</v>
      </c>
      <c r="J55" s="264" t="s">
        <v>57</v>
      </c>
      <c r="K55" s="263" t="s">
        <v>58</v>
      </c>
      <c r="L55" s="33" t="s">
        <v>59</v>
      </c>
      <c r="M55" s="10" t="s">
        <v>295</v>
      </c>
      <c r="N55" s="264" t="s">
        <v>296</v>
      </c>
      <c r="O55" s="37"/>
      <c r="P55" s="120"/>
      <c r="Q55" s="350" t="s">
        <v>8</v>
      </c>
    </row>
    <row r="56" spans="1:17" ht="19" x14ac:dyDescent="0.35">
      <c r="A56" s="168"/>
      <c r="B56" s="139" t="s">
        <v>348</v>
      </c>
      <c r="C56" s="136">
        <f>C5</f>
        <v>2022</v>
      </c>
      <c r="D56" s="13">
        <f t="shared" ref="D56:N56" si="28">D5</f>
        <v>2022</v>
      </c>
      <c r="E56" s="64">
        <f t="shared" si="28"/>
        <v>2022</v>
      </c>
      <c r="F56" s="860">
        <f t="shared" si="28"/>
        <v>2023</v>
      </c>
      <c r="G56" s="309">
        <f t="shared" si="28"/>
        <v>2023</v>
      </c>
      <c r="H56" s="13">
        <f t="shared" si="28"/>
        <v>2023</v>
      </c>
      <c r="I56" s="64">
        <f t="shared" si="28"/>
        <v>2023</v>
      </c>
      <c r="J56" s="265">
        <f t="shared" si="28"/>
        <v>2023</v>
      </c>
      <c r="K56" s="309">
        <f t="shared" si="28"/>
        <v>2023</v>
      </c>
      <c r="L56" s="64">
        <f t="shared" si="28"/>
        <v>2023</v>
      </c>
      <c r="M56" s="13">
        <f t="shared" si="28"/>
        <v>2023</v>
      </c>
      <c r="N56" s="265">
        <f t="shared" si="28"/>
        <v>2023</v>
      </c>
      <c r="O56" s="176" t="s">
        <v>18</v>
      </c>
      <c r="P56" s="251" t="s">
        <v>16</v>
      </c>
      <c r="Q56" s="860" t="s">
        <v>11</v>
      </c>
    </row>
    <row r="57" spans="1:17" ht="15.5" x14ac:dyDescent="0.35">
      <c r="A57" s="66"/>
      <c r="B57" s="146"/>
      <c r="C57" s="137"/>
      <c r="D57" s="7"/>
      <c r="E57" s="60"/>
      <c r="F57" s="863"/>
      <c r="G57" s="352"/>
      <c r="H57" s="7"/>
      <c r="I57" s="60"/>
      <c r="J57" s="353"/>
      <c r="K57" s="352"/>
      <c r="L57" s="60"/>
      <c r="M57" s="7"/>
      <c r="N57" s="353"/>
      <c r="O57" s="87"/>
      <c r="P57" s="327"/>
      <c r="Q57" s="863"/>
    </row>
    <row r="58" spans="1:17" ht="15.5" x14ac:dyDescent="0.35">
      <c r="A58" s="66"/>
      <c r="B58" s="146" t="s">
        <v>349</v>
      </c>
      <c r="C58" s="534">
        <v>4.9099999999999998E-2</v>
      </c>
      <c r="D58" s="25">
        <f>C58</f>
        <v>4.9099999999999998E-2</v>
      </c>
      <c r="E58" s="522">
        <f>C58</f>
        <v>4.9099999999999998E-2</v>
      </c>
      <c r="F58" s="864">
        <v>6.3100000000000003E-2</v>
      </c>
      <c r="G58" s="436">
        <f>F58</f>
        <v>6.3100000000000003E-2</v>
      </c>
      <c r="H58" s="25">
        <f>F58</f>
        <v>6.3100000000000003E-2</v>
      </c>
      <c r="I58" s="522">
        <v>7.4999999999999997E-2</v>
      </c>
      <c r="J58" s="433">
        <f>I58</f>
        <v>7.4999999999999997E-2</v>
      </c>
      <c r="K58" s="434">
        <f>I58</f>
        <v>7.4999999999999997E-2</v>
      </c>
      <c r="L58" s="807">
        <v>8.0199999999999994E-2</v>
      </c>
      <c r="M58" s="437">
        <f>L58</f>
        <v>8.0199999999999994E-2</v>
      </c>
      <c r="N58" s="438">
        <f>L58</f>
        <v>8.0199999999999994E-2</v>
      </c>
      <c r="O58" s="22"/>
      <c r="P58" s="125"/>
      <c r="Q58" s="123"/>
    </row>
    <row r="59" spans="1:17" ht="15.5" x14ac:dyDescent="0.35">
      <c r="A59" s="66"/>
      <c r="B59" s="146" t="s">
        <v>350</v>
      </c>
      <c r="C59" s="808">
        <v>365</v>
      </c>
      <c r="D59" s="17">
        <f>C59</f>
        <v>365</v>
      </c>
      <c r="E59" s="91">
        <f>C59</f>
        <v>365</v>
      </c>
      <c r="F59" s="123">
        <v>365</v>
      </c>
      <c r="G59" s="333">
        <f>F59</f>
        <v>365</v>
      </c>
      <c r="H59" s="17">
        <f>F59</f>
        <v>365</v>
      </c>
      <c r="I59" s="91">
        <f>F59</f>
        <v>365</v>
      </c>
      <c r="J59" s="349">
        <f>F59</f>
        <v>365</v>
      </c>
      <c r="K59" s="333">
        <f>F59</f>
        <v>365</v>
      </c>
      <c r="L59" s="91">
        <f>G59</f>
        <v>365</v>
      </c>
      <c r="M59" s="17">
        <f>F59</f>
        <v>365</v>
      </c>
      <c r="N59" s="349">
        <f>F59</f>
        <v>365</v>
      </c>
      <c r="O59" s="22">
        <f>N59</f>
        <v>365</v>
      </c>
      <c r="P59" s="125"/>
      <c r="Q59" s="123"/>
    </row>
    <row r="60" spans="1:17" ht="15.5" x14ac:dyDescent="0.35">
      <c r="A60" s="66"/>
      <c r="B60" s="146" t="s">
        <v>351</v>
      </c>
      <c r="C60" s="808">
        <v>31</v>
      </c>
      <c r="D60" s="17">
        <v>30</v>
      </c>
      <c r="E60" s="91">
        <v>31</v>
      </c>
      <c r="F60" s="123">
        <v>31</v>
      </c>
      <c r="G60" s="333">
        <v>28</v>
      </c>
      <c r="H60" s="17">
        <v>31</v>
      </c>
      <c r="I60" s="91">
        <v>30</v>
      </c>
      <c r="J60" s="349">
        <v>31</v>
      </c>
      <c r="K60" s="333">
        <v>30</v>
      </c>
      <c r="L60" s="91">
        <v>31</v>
      </c>
      <c r="M60" s="17">
        <v>31</v>
      </c>
      <c r="N60" s="349">
        <v>30</v>
      </c>
      <c r="O60" s="22">
        <f>SUM(C60:N60)</f>
        <v>365</v>
      </c>
      <c r="P60" s="125"/>
      <c r="Q60" s="123"/>
    </row>
    <row r="61" spans="1:17" ht="15.5" x14ac:dyDescent="0.35">
      <c r="A61" s="66"/>
      <c r="B61" s="146" t="s">
        <v>352</v>
      </c>
      <c r="C61" s="534">
        <f>(C58/C59)*C60</f>
        <v>4.1701369863013692E-3</v>
      </c>
      <c r="D61" s="25">
        <f t="shared" ref="D61:N61" si="29">(D58/D59)*D60</f>
        <v>4.0356164383561636E-3</v>
      </c>
      <c r="E61" s="522">
        <f t="shared" si="29"/>
        <v>4.1701369863013692E-3</v>
      </c>
      <c r="F61" s="864">
        <f t="shared" si="29"/>
        <v>5.3591780821917812E-3</v>
      </c>
      <c r="G61" s="436">
        <f t="shared" si="29"/>
        <v>4.8405479452054796E-3</v>
      </c>
      <c r="H61" s="25">
        <f t="shared" si="29"/>
        <v>5.3591780821917812E-3</v>
      </c>
      <c r="I61" s="522">
        <f t="shared" si="29"/>
        <v>6.1643835616438354E-3</v>
      </c>
      <c r="J61" s="433">
        <f t="shared" si="29"/>
        <v>6.3698630136986298E-3</v>
      </c>
      <c r="K61" s="434">
        <f t="shared" si="29"/>
        <v>6.1643835616438354E-3</v>
      </c>
      <c r="L61" s="522">
        <f t="shared" si="29"/>
        <v>6.8115068493150672E-3</v>
      </c>
      <c r="M61" s="25">
        <f t="shared" si="29"/>
        <v>6.8115068493150672E-3</v>
      </c>
      <c r="N61" s="433">
        <f t="shared" si="29"/>
        <v>6.5917808219178075E-3</v>
      </c>
      <c r="O61" s="876">
        <f>SUM(C61:N61)</f>
        <v>6.6848219178082188E-2</v>
      </c>
      <c r="P61" s="125"/>
      <c r="Q61" s="123"/>
    </row>
    <row r="62" spans="1:17" ht="15.5" x14ac:dyDescent="0.35">
      <c r="A62" s="809"/>
      <c r="B62" s="146" t="s">
        <v>353</v>
      </c>
      <c r="C62" s="810">
        <v>4.1999999999999997E-3</v>
      </c>
      <c r="D62" s="742">
        <v>4.0000000000000001E-3</v>
      </c>
      <c r="E62" s="812">
        <v>4.1999999999999997E-3</v>
      </c>
      <c r="F62" s="865">
        <v>5.4000000000000003E-3</v>
      </c>
      <c r="G62" s="811">
        <v>4.7999999999999996E-3</v>
      </c>
      <c r="H62" s="742">
        <v>5.4000000000000003E-3</v>
      </c>
      <c r="I62" s="812">
        <v>6.1999999999999998E-3</v>
      </c>
      <c r="J62" s="813">
        <v>6.4000000000000003E-3</v>
      </c>
      <c r="K62" s="814">
        <v>6.1999999999999998E-3</v>
      </c>
      <c r="L62" s="812">
        <v>6.7999999999999996E-3</v>
      </c>
      <c r="M62" s="742">
        <v>6.7999999999999996E-3</v>
      </c>
      <c r="N62" s="813">
        <v>6.6E-3</v>
      </c>
      <c r="O62" s="877">
        <f>SUM(C62:N62)</f>
        <v>6.699999999999999E-2</v>
      </c>
      <c r="P62" s="815"/>
      <c r="Q62" s="879"/>
    </row>
    <row r="63" spans="1:17" ht="16" thickBot="1" x14ac:dyDescent="0.4">
      <c r="A63" s="816"/>
      <c r="B63" s="147" t="s">
        <v>75</v>
      </c>
      <c r="C63" s="535">
        <f>C61-C62</f>
        <v>-2.9863013698630536E-5</v>
      </c>
      <c r="D63" s="536">
        <f t="shared" ref="D63:N63" si="30">D61-D62</f>
        <v>3.5616438356163467E-5</v>
      </c>
      <c r="E63" s="538">
        <f t="shared" si="30"/>
        <v>-2.9863013698630536E-5</v>
      </c>
      <c r="F63" s="866">
        <f t="shared" si="30"/>
        <v>-4.0821917808219095E-5</v>
      </c>
      <c r="G63" s="537">
        <f t="shared" si="30"/>
        <v>4.054794520548001E-5</v>
      </c>
      <c r="H63" s="536">
        <f t="shared" si="30"/>
        <v>-4.0821917808219095E-5</v>
      </c>
      <c r="I63" s="538">
        <f t="shared" si="30"/>
        <v>-3.5616438356164334E-5</v>
      </c>
      <c r="J63" s="539">
        <f t="shared" si="30"/>
        <v>-3.0136986301370489E-5</v>
      </c>
      <c r="K63" s="537">
        <f t="shared" si="30"/>
        <v>-3.5616438356164334E-5</v>
      </c>
      <c r="L63" s="538">
        <f t="shared" si="30"/>
        <v>1.1506849315067597E-5</v>
      </c>
      <c r="M63" s="536">
        <f t="shared" si="30"/>
        <v>1.1506849315067597E-5</v>
      </c>
      <c r="N63" s="539">
        <f t="shared" si="30"/>
        <v>-8.2191780821925034E-6</v>
      </c>
      <c r="O63" s="878">
        <f>SUM(C63:N63)</f>
        <v>-1.5178082191781225E-4</v>
      </c>
      <c r="P63" s="817"/>
      <c r="Q63" s="880"/>
    </row>
    <row r="65" spans="1:17" ht="15.5" x14ac:dyDescent="0.3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143"/>
      <c r="L65" s="22"/>
      <c r="M65" s="22"/>
      <c r="N65" s="22"/>
      <c r="O65" s="22"/>
      <c r="P65" s="22"/>
      <c r="Q65" s="22"/>
    </row>
    <row r="66" spans="1:17" ht="15.5" x14ac:dyDescent="0.3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</row>
    <row r="67" spans="1:17" ht="15.5" x14ac:dyDescent="0.3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</row>
    <row r="68" spans="1:17" ht="15.5" x14ac:dyDescent="0.3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</row>
    <row r="69" spans="1:17" ht="15.5" x14ac:dyDescent="0.3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</row>
    <row r="70" spans="1:17" ht="15.5" x14ac:dyDescent="0.3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</row>
    <row r="71" spans="1:17" ht="15.5" x14ac:dyDescent="0.3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</row>
    <row r="72" spans="1:17" ht="15.5" x14ac:dyDescent="0.3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</row>
  </sheetData>
  <printOptions horizontalCentered="1"/>
  <pageMargins left="0" right="0" top="1" bottom="0.5" header="0.5" footer="0.25"/>
  <pageSetup scale="73" orientation="portrait" r:id="rId1"/>
  <headerFooter alignWithMargins="0">
    <oddHeader>&amp;C&amp;"Times New Roman,Bold"&amp;14San Diego Gas &amp; Electric Co.
TRBAA Monthly Activities Applicable to BK1 and BK2 
For the 12-Month Period Ending September 30,&amp;KFF0000 &amp;K0000002023
2024 Annual TRBAA Rate Filing</oddHeader>
    <oddFooter>&amp;L&amp;"Times New Roman,Regular"&amp;12&amp;F&amp;C&amp;"Times New Roman,Regular"&amp;12Page 4.&amp;P&amp;R&amp;"Times New Roman,Regular"&amp;12&amp;A</oddFooter>
  </headerFooter>
  <colBreaks count="3" manualBreakCount="3">
    <brk id="6" max="43" man="1"/>
    <brk id="10" max="43" man="1"/>
    <brk id="14" max="43" man="1"/>
  </colBreaks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D12"/>
  <sheetViews>
    <sheetView zoomScale="80" zoomScaleNormal="80" workbookViewId="0"/>
  </sheetViews>
  <sheetFormatPr defaultColWidth="9.1796875" defaultRowHeight="12.5" x14ac:dyDescent="0.25"/>
  <cols>
    <col min="1" max="1" width="5.54296875" style="786" bestFit="1" customWidth="1"/>
    <col min="2" max="2" width="135.54296875" style="243" customWidth="1"/>
    <col min="3" max="3" width="5.54296875" style="786" customWidth="1"/>
    <col min="4" max="4" width="5.54296875" style="243" hidden="1" customWidth="1"/>
    <col min="5" max="5" width="11.54296875" style="243" customWidth="1"/>
    <col min="6" max="7" width="9.1796875" style="243"/>
    <col min="8" max="8" width="12.54296875" style="243" bestFit="1" customWidth="1"/>
    <col min="9" max="16384" width="9.1796875" style="243"/>
  </cols>
  <sheetData>
    <row r="1" spans="1:4" ht="16" thickBot="1" x14ac:dyDescent="0.4">
      <c r="A1" s="372"/>
      <c r="B1" s="88"/>
      <c r="C1" s="467"/>
      <c r="D1" s="22"/>
    </row>
    <row r="2" spans="1:4" ht="15.5" x14ac:dyDescent="0.35">
      <c r="A2" s="620" t="s">
        <v>8</v>
      </c>
      <c r="B2" s="615"/>
      <c r="C2" s="621" t="s">
        <v>8</v>
      </c>
      <c r="D2" s="59"/>
    </row>
    <row r="3" spans="1:4" ht="16.5" x14ac:dyDescent="0.35">
      <c r="A3" s="622" t="s">
        <v>11</v>
      </c>
      <c r="B3" s="624" t="s">
        <v>354</v>
      </c>
      <c r="C3" s="623" t="s">
        <v>11</v>
      </c>
      <c r="D3" s="64"/>
    </row>
    <row r="4" spans="1:4" ht="20" x14ac:dyDescent="0.4">
      <c r="A4" s="616"/>
      <c r="B4" s="145"/>
      <c r="C4" s="617"/>
      <c r="D4" s="144"/>
    </row>
    <row r="5" spans="1:4" ht="34.5" x14ac:dyDescent="0.4">
      <c r="A5" s="356">
        <v>1</v>
      </c>
      <c r="B5" s="896" t="s">
        <v>355</v>
      </c>
      <c r="C5" s="360">
        <v>1</v>
      </c>
      <c r="D5" s="144"/>
    </row>
    <row r="6" spans="1:4" ht="20" x14ac:dyDescent="0.4">
      <c r="A6" s="356">
        <f>A5+1</f>
        <v>2</v>
      </c>
      <c r="B6" s="145"/>
      <c r="C6" s="360">
        <f>C5+1</f>
        <v>2</v>
      </c>
      <c r="D6" s="144"/>
    </row>
    <row r="7" spans="1:4" ht="34.5" x14ac:dyDescent="0.4">
      <c r="A7" s="356">
        <f t="shared" ref="A7:A9" si="0">A6+1</f>
        <v>3</v>
      </c>
      <c r="B7" s="896" t="s">
        <v>356</v>
      </c>
      <c r="C7" s="360">
        <f t="shared" ref="C7" si="1">C6+1</f>
        <v>3</v>
      </c>
      <c r="D7" s="144"/>
    </row>
    <row r="8" spans="1:4" ht="20" x14ac:dyDescent="0.4">
      <c r="A8" s="356">
        <f t="shared" si="0"/>
        <v>4</v>
      </c>
      <c r="B8" s="22"/>
      <c r="C8" s="360">
        <f t="shared" ref="C8:C9" si="2">C7+1</f>
        <v>4</v>
      </c>
      <c r="D8" s="144"/>
    </row>
    <row r="9" spans="1:4" ht="49.5" x14ac:dyDescent="0.4">
      <c r="A9" s="356">
        <f t="shared" si="0"/>
        <v>5</v>
      </c>
      <c r="B9" s="897" t="s">
        <v>357</v>
      </c>
      <c r="C9" s="360">
        <f t="shared" si="2"/>
        <v>5</v>
      </c>
      <c r="D9" s="144"/>
    </row>
    <row r="10" spans="1:4" ht="16" thickBot="1" x14ac:dyDescent="0.35">
      <c r="A10" s="618"/>
      <c r="B10" s="55"/>
      <c r="C10" s="619"/>
      <c r="D10" s="142"/>
    </row>
    <row r="11" spans="1:4" ht="13" x14ac:dyDescent="0.3">
      <c r="A11" s="361"/>
      <c r="B11" s="1"/>
      <c r="C11" s="361"/>
      <c r="D11" s="1"/>
    </row>
    <row r="12" spans="1:4" ht="13" x14ac:dyDescent="0.3">
      <c r="A12" s="361"/>
      <c r="B12" s="1"/>
      <c r="C12" s="361"/>
      <c r="D12" s="1"/>
    </row>
  </sheetData>
  <phoneticPr fontId="15" type="noConversion"/>
  <printOptions horizontalCentered="1"/>
  <pageMargins left="0.5" right="0.5" top="1.25" bottom="0.5" header="0.5" footer="0.25"/>
  <pageSetup scale="88" orientation="landscape" r:id="rId1"/>
  <headerFooter alignWithMargins="0">
    <oddHeader xml:space="preserve">&amp;C&amp;"Times New Roman,Bold"&amp;14San Diego Gas &amp;&amp; Electric Co.
2024 &amp;K000000TRBAA Rate Filing
Monthly TRBAA Details for Period Ending September 30, 2023
</oddHeader>
    <oddFooter>&amp;L&amp;"Times New Roman,Regular"&amp;11&amp;F&amp;C&amp;"Times New Roman,Regular"&amp;11Page 4.5&amp;R&amp;"Times New Roman,Regular"&amp;11&amp;A</oddFooter>
  </headerFooter>
  <colBreaks count="1" manualBreakCount="1">
    <brk id="4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S52"/>
  <sheetViews>
    <sheetView zoomScale="80" zoomScaleNormal="8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ColWidth="8.81640625" defaultRowHeight="15.5" x14ac:dyDescent="0.35"/>
  <cols>
    <col min="1" max="1" width="5.54296875" style="22" customWidth="1"/>
    <col min="2" max="2" width="65.54296875" style="22" customWidth="1"/>
    <col min="3" max="15" width="15.54296875" style="22" customWidth="1"/>
    <col min="16" max="16" width="40.54296875" style="22" customWidth="1"/>
    <col min="17" max="17" width="5.54296875" style="22" customWidth="1"/>
    <col min="18" max="18" width="8.81640625" style="22"/>
    <col min="19" max="19" width="14.453125" style="22" bestFit="1" customWidth="1"/>
    <col min="20" max="16384" width="8.81640625" style="22"/>
  </cols>
  <sheetData>
    <row r="2" spans="1:19" ht="16" thickBot="1" x14ac:dyDescent="0.4">
      <c r="C2" s="3"/>
    </row>
    <row r="3" spans="1:19" x14ac:dyDescent="0.35">
      <c r="A3" s="287"/>
      <c r="B3" s="546"/>
      <c r="C3" s="546"/>
      <c r="D3" s="546"/>
      <c r="E3" s="546"/>
      <c r="F3" s="546"/>
      <c r="G3" s="546"/>
      <c r="H3" s="546"/>
      <c r="I3" s="546"/>
      <c r="J3" s="546"/>
      <c r="K3" s="546"/>
      <c r="L3" s="546"/>
      <c r="M3" s="546"/>
      <c r="N3" s="546"/>
      <c r="O3" s="546"/>
      <c r="P3" s="546"/>
      <c r="Q3" s="548"/>
    </row>
    <row r="4" spans="1:19" x14ac:dyDescent="0.35">
      <c r="A4" s="551" t="s">
        <v>8</v>
      </c>
      <c r="B4" s="94"/>
      <c r="C4" s="75" t="s">
        <v>288</v>
      </c>
      <c r="D4" s="75" t="s">
        <v>289</v>
      </c>
      <c r="E4" s="75" t="s">
        <v>290</v>
      </c>
      <c r="F4" s="75" t="s">
        <v>291</v>
      </c>
      <c r="G4" s="75" t="s">
        <v>292</v>
      </c>
      <c r="H4" s="75" t="s">
        <v>293</v>
      </c>
      <c r="I4" s="75" t="s">
        <v>294</v>
      </c>
      <c r="J4" s="75" t="s">
        <v>57</v>
      </c>
      <c r="K4" s="75" t="s">
        <v>58</v>
      </c>
      <c r="L4" s="75" t="s">
        <v>59</v>
      </c>
      <c r="M4" s="75" t="s">
        <v>295</v>
      </c>
      <c r="N4" s="75" t="s">
        <v>296</v>
      </c>
      <c r="O4" s="75"/>
      <c r="P4" s="75"/>
      <c r="Q4" s="552" t="s">
        <v>8</v>
      </c>
    </row>
    <row r="5" spans="1:19" ht="16" thickBot="1" x14ac:dyDescent="0.4">
      <c r="A5" s="569" t="s">
        <v>11</v>
      </c>
      <c r="B5" s="153" t="s">
        <v>70</v>
      </c>
      <c r="C5" s="153">
        <v>2022</v>
      </c>
      <c r="D5" s="153">
        <f>C5</f>
        <v>2022</v>
      </c>
      <c r="E5" s="153">
        <f>C5</f>
        <v>2022</v>
      </c>
      <c r="F5" s="153">
        <f>$C5+1</f>
        <v>2023</v>
      </c>
      <c r="G5" s="153">
        <f t="shared" ref="G5:N5" si="0">$C5+1</f>
        <v>2023</v>
      </c>
      <c r="H5" s="153">
        <f t="shared" si="0"/>
        <v>2023</v>
      </c>
      <c r="I5" s="153">
        <f t="shared" si="0"/>
        <v>2023</v>
      </c>
      <c r="J5" s="153">
        <f t="shared" si="0"/>
        <v>2023</v>
      </c>
      <c r="K5" s="153">
        <f t="shared" si="0"/>
        <v>2023</v>
      </c>
      <c r="L5" s="153">
        <f t="shared" si="0"/>
        <v>2023</v>
      </c>
      <c r="M5" s="153">
        <f t="shared" si="0"/>
        <v>2023</v>
      </c>
      <c r="N5" s="153">
        <f t="shared" si="0"/>
        <v>2023</v>
      </c>
      <c r="O5" s="153" t="s">
        <v>18</v>
      </c>
      <c r="P5" s="153" t="s">
        <v>16</v>
      </c>
      <c r="Q5" s="570" t="s">
        <v>11</v>
      </c>
    </row>
    <row r="6" spans="1:19" x14ac:dyDescent="0.35">
      <c r="A6" s="333"/>
      <c r="B6" s="768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349"/>
    </row>
    <row r="7" spans="1:19" x14ac:dyDescent="0.35">
      <c r="A7" s="263">
        <v>1</v>
      </c>
      <c r="B7" s="94" t="s">
        <v>358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26"/>
      <c r="Q7" s="264">
        <v>1</v>
      </c>
      <c r="S7" s="469"/>
    </row>
    <row r="8" spans="1:19" x14ac:dyDescent="0.35">
      <c r="A8" s="263">
        <f t="shared" ref="A8:A14" si="1">A7+1</f>
        <v>2</v>
      </c>
      <c r="B8" s="17" t="s">
        <v>359</v>
      </c>
      <c r="C8" s="141">
        <v>-3234894.17</v>
      </c>
      <c r="D8" s="141">
        <v>-2097327.39</v>
      </c>
      <c r="E8" s="328">
        <v>-1113763.49</v>
      </c>
      <c r="F8" s="141">
        <v>-873386.04</v>
      </c>
      <c r="G8" s="328">
        <v>-2789537.32</v>
      </c>
      <c r="H8" s="141">
        <v>-1962850.1700000002</v>
      </c>
      <c r="I8" s="328">
        <v>-1542769.65</v>
      </c>
      <c r="J8" s="141">
        <v>-4467666.3600000003</v>
      </c>
      <c r="K8" s="328">
        <v>-3378644.12</v>
      </c>
      <c r="L8" s="141">
        <v>-2589702.9900000002</v>
      </c>
      <c r="M8" s="328">
        <v>-7490815.79</v>
      </c>
      <c r="N8" s="141">
        <v>-5182129.5</v>
      </c>
      <c r="O8" s="257">
        <f>SUM(C8:N8)</f>
        <v>-36723486.990000002</v>
      </c>
      <c r="P8" s="33" t="s">
        <v>360</v>
      </c>
      <c r="Q8" s="264">
        <f t="shared" ref="Q8:Q14" si="2">Q7+1</f>
        <v>2</v>
      </c>
      <c r="S8" s="470"/>
    </row>
    <row r="9" spans="1:19" x14ac:dyDescent="0.35">
      <c r="A9" s="263">
        <f t="shared" si="1"/>
        <v>3</v>
      </c>
      <c r="B9" s="17" t="s">
        <v>361</v>
      </c>
      <c r="C9" s="44">
        <v>28.19</v>
      </c>
      <c r="D9" s="44">
        <v>99.91</v>
      </c>
      <c r="E9" s="44">
        <v>87.8</v>
      </c>
      <c r="F9" s="44">
        <v>64.12</v>
      </c>
      <c r="G9" s="44">
        <v>-9786.99</v>
      </c>
      <c r="H9" s="44">
        <v>152.19</v>
      </c>
      <c r="I9" s="44">
        <v>-646.34</v>
      </c>
      <c r="J9" s="44">
        <v>-107.71</v>
      </c>
      <c r="K9" s="44">
        <v>-160.9</v>
      </c>
      <c r="L9" s="44">
        <v>0</v>
      </c>
      <c r="M9" s="44">
        <v>18540.429999999997</v>
      </c>
      <c r="N9" s="44">
        <v>0</v>
      </c>
      <c r="O9" s="44">
        <f>SUM(C9:N9)</f>
        <v>8270.6999999999989</v>
      </c>
      <c r="P9" s="33" t="s">
        <v>362</v>
      </c>
      <c r="Q9" s="264">
        <f t="shared" si="2"/>
        <v>3</v>
      </c>
      <c r="S9" s="470"/>
    </row>
    <row r="10" spans="1:19" s="471" customFormat="1" x14ac:dyDescent="0.35">
      <c r="A10" s="625">
        <f t="shared" si="1"/>
        <v>4</v>
      </c>
      <c r="B10" s="17" t="s">
        <v>363</v>
      </c>
      <c r="C10" s="468">
        <f t="shared" ref="C10:N10" si="3">SUM(C8:C9)</f>
        <v>-3234865.98</v>
      </c>
      <c r="D10" s="468">
        <f t="shared" si="3"/>
        <v>-2097227.48</v>
      </c>
      <c r="E10" s="468">
        <f>SUM(E8:E9)</f>
        <v>-1113675.69</v>
      </c>
      <c r="F10" s="468">
        <f t="shared" si="3"/>
        <v>-873321.92</v>
      </c>
      <c r="G10" s="468">
        <f t="shared" si="3"/>
        <v>-2799324.31</v>
      </c>
      <c r="H10" s="468">
        <f t="shared" si="3"/>
        <v>-1962697.9800000002</v>
      </c>
      <c r="I10" s="468">
        <f t="shared" si="3"/>
        <v>-1543415.99</v>
      </c>
      <c r="J10" s="468">
        <f t="shared" si="3"/>
        <v>-4467774.07</v>
      </c>
      <c r="K10" s="468">
        <f t="shared" si="3"/>
        <v>-3378805.02</v>
      </c>
      <c r="L10" s="468">
        <f t="shared" si="3"/>
        <v>-2589702.9900000002</v>
      </c>
      <c r="M10" s="468">
        <f t="shared" si="3"/>
        <v>-7472275.3600000003</v>
      </c>
      <c r="N10" s="468">
        <f t="shared" si="3"/>
        <v>-5182129.5</v>
      </c>
      <c r="O10" s="474">
        <f>SUM(O8:O9)</f>
        <v>-36715216.289999999</v>
      </c>
      <c r="P10" s="10"/>
      <c r="Q10" s="264">
        <f t="shared" si="2"/>
        <v>4</v>
      </c>
    </row>
    <row r="11" spans="1:19" ht="16" thickBot="1" x14ac:dyDescent="0.4">
      <c r="A11" s="301">
        <f>A10+1</f>
        <v>5</v>
      </c>
      <c r="B11" s="99"/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413"/>
      <c r="P11" s="57"/>
      <c r="Q11" s="302">
        <f>Q10+1</f>
        <v>5</v>
      </c>
    </row>
    <row r="12" spans="1:19" x14ac:dyDescent="0.35">
      <c r="A12" s="263">
        <f t="shared" si="1"/>
        <v>6</v>
      </c>
      <c r="B12" s="98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228"/>
      <c r="P12" s="26"/>
      <c r="Q12" s="264">
        <f t="shared" si="2"/>
        <v>6</v>
      </c>
    </row>
    <row r="13" spans="1:19" ht="16" thickBot="1" x14ac:dyDescent="0.4">
      <c r="A13" s="263">
        <f>A12+1</f>
        <v>7</v>
      </c>
      <c r="B13" s="94" t="s">
        <v>364</v>
      </c>
      <c r="C13" s="232">
        <v>1500</v>
      </c>
      <c r="D13" s="232">
        <v>1500</v>
      </c>
      <c r="E13" s="232">
        <v>1500</v>
      </c>
      <c r="F13" s="232">
        <v>1500</v>
      </c>
      <c r="G13" s="232">
        <v>1500</v>
      </c>
      <c r="H13" s="232">
        <v>1500</v>
      </c>
      <c r="I13" s="232">
        <v>1500</v>
      </c>
      <c r="J13" s="232">
        <v>1500</v>
      </c>
      <c r="K13" s="232">
        <v>1500</v>
      </c>
      <c r="L13" s="232">
        <v>1500</v>
      </c>
      <c r="M13" s="232">
        <v>1500</v>
      </c>
      <c r="N13" s="232">
        <v>1500</v>
      </c>
      <c r="O13" s="192">
        <f>SUM(C13:N13)</f>
        <v>18000</v>
      </c>
      <c r="P13" s="10" t="s">
        <v>365</v>
      </c>
      <c r="Q13" s="264">
        <f>Q12+1</f>
        <v>7</v>
      </c>
    </row>
    <row r="14" spans="1:19" ht="16.5" thickTop="1" thickBot="1" x14ac:dyDescent="0.4">
      <c r="A14" s="301">
        <f t="shared" si="1"/>
        <v>8</v>
      </c>
      <c r="B14" s="81"/>
      <c r="C14" s="235"/>
      <c r="D14" s="235"/>
      <c r="E14" s="235"/>
      <c r="F14" s="235"/>
      <c r="G14" s="235"/>
      <c r="H14" s="235"/>
      <c r="I14" s="235"/>
      <c r="J14" s="235"/>
      <c r="K14" s="235"/>
      <c r="L14" s="235"/>
      <c r="M14" s="235"/>
      <c r="N14" s="235"/>
      <c r="O14" s="413"/>
      <c r="P14" s="57"/>
      <c r="Q14" s="302">
        <f t="shared" si="2"/>
        <v>8</v>
      </c>
    </row>
    <row r="15" spans="1:19" x14ac:dyDescent="0.35">
      <c r="A15" s="263">
        <f>A14+1</f>
        <v>9</v>
      </c>
      <c r="B15" s="17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228"/>
      <c r="P15" s="10"/>
      <c r="Q15" s="264">
        <f t="shared" ref="Q15:Q20" si="4">Q14+1</f>
        <v>9</v>
      </c>
    </row>
    <row r="16" spans="1:19" ht="16" thickBot="1" x14ac:dyDescent="0.4">
      <c r="A16" s="263">
        <f>A15+1</f>
        <v>10</v>
      </c>
      <c r="B16" s="74" t="s">
        <v>366</v>
      </c>
      <c r="C16" s="232">
        <f>'WP 10 ETC Costs'!D49</f>
        <v>-13371.33999999998</v>
      </c>
      <c r="D16" s="232">
        <f>'WP 10 ETC Costs'!E49</f>
        <v>-50024.370000000032</v>
      </c>
      <c r="E16" s="232">
        <f>'WP 10 ETC Costs'!F49</f>
        <v>4262.9000000000033</v>
      </c>
      <c r="F16" s="232">
        <f>'WP 10 ETC Costs'!G49</f>
        <v>5433.1399999999749</v>
      </c>
      <c r="G16" s="232">
        <f>'WP 10 ETC Costs'!H49</f>
        <v>877997.29000000015</v>
      </c>
      <c r="H16" s="232">
        <f>'WP 10 ETC Costs'!I49</f>
        <v>899778.47000000009</v>
      </c>
      <c r="I16" s="232">
        <f>'WP 10 ETC Costs'!J49</f>
        <v>73228.609999999986</v>
      </c>
      <c r="J16" s="232">
        <f>'WP 10 ETC Costs'!K49</f>
        <v>-16999.950000000063</v>
      </c>
      <c r="K16" s="232">
        <f>'WP 10 ETC Costs'!L49</f>
        <v>-24735.650000000005</v>
      </c>
      <c r="L16" s="232">
        <f>'WP 10 ETC Costs'!M49</f>
        <v>-89893.799999999988</v>
      </c>
      <c r="M16" s="232">
        <f>'WP 10 ETC Costs'!N49</f>
        <v>72844.999999999971</v>
      </c>
      <c r="N16" s="232">
        <f>'WP 10 ETC Costs'!O49</f>
        <v>383280.57909000007</v>
      </c>
      <c r="O16" s="192">
        <f>SUM(C16:N16)</f>
        <v>2121800.8790900004</v>
      </c>
      <c r="P16" s="10" t="s">
        <v>487</v>
      </c>
      <c r="Q16" s="264">
        <f t="shared" si="4"/>
        <v>10</v>
      </c>
    </row>
    <row r="17" spans="1:17" ht="16.5" thickTop="1" thickBot="1" x14ac:dyDescent="0.4">
      <c r="A17" s="301">
        <f>A16+1</f>
        <v>11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472"/>
      <c r="P17" s="57"/>
      <c r="Q17" s="302">
        <f t="shared" si="4"/>
        <v>11</v>
      </c>
    </row>
    <row r="18" spans="1:17" x14ac:dyDescent="0.35">
      <c r="A18" s="263">
        <f>A17+1</f>
        <v>12</v>
      </c>
      <c r="B18" s="17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228"/>
      <c r="P18" s="10"/>
      <c r="Q18" s="264">
        <f t="shared" si="4"/>
        <v>12</v>
      </c>
    </row>
    <row r="19" spans="1:17" ht="16" thickBot="1" x14ac:dyDescent="0.4">
      <c r="A19" s="263">
        <f t="shared" ref="A19:A20" si="5">A18+1</f>
        <v>13</v>
      </c>
      <c r="B19" s="94" t="s">
        <v>367</v>
      </c>
      <c r="C19" s="232">
        <f>'WP 12 PTO'!D17</f>
        <v>-25838.129999999997</v>
      </c>
      <c r="D19" s="232">
        <f>'WP 12 PTO'!E17</f>
        <v>-114718.1</v>
      </c>
      <c r="E19" s="232">
        <f>'WP 12 PTO'!F17</f>
        <v>-67457.119999999995</v>
      </c>
      <c r="F19" s="232">
        <f>'WP 12 PTO'!G17</f>
        <v>-156755.57999999999</v>
      </c>
      <c r="G19" s="232">
        <f>'WP 12 PTO'!H17</f>
        <v>-88221.27</v>
      </c>
      <c r="H19" s="232">
        <f>'WP 12 PTO'!I17</f>
        <v>13800.439999999999</v>
      </c>
      <c r="I19" s="232">
        <f>'WP 12 PTO'!J17</f>
        <v>-119635.11</v>
      </c>
      <c r="J19" s="232">
        <f>'WP 12 PTO'!K17</f>
        <v>-275765.18999999994</v>
      </c>
      <c r="K19" s="232">
        <f>'WP 12 PTO'!L17</f>
        <v>-123057.60999999999</v>
      </c>
      <c r="L19" s="232">
        <f>'WP 12 PTO'!M17</f>
        <v>-15649.529999999999</v>
      </c>
      <c r="M19" s="232">
        <f>'WP 12 PTO'!N17</f>
        <v>-5505.05</v>
      </c>
      <c r="N19" s="232">
        <f>'WP 12 PTO'!O17</f>
        <v>-151224.57909000001</v>
      </c>
      <c r="O19" s="192">
        <f>SUM(C19:N19)</f>
        <v>-1130026.8290900001</v>
      </c>
      <c r="P19" s="10" t="s">
        <v>486</v>
      </c>
      <c r="Q19" s="264">
        <f t="shared" si="4"/>
        <v>13</v>
      </c>
    </row>
    <row r="20" spans="1:17" ht="16.5" thickTop="1" thickBot="1" x14ac:dyDescent="0.4">
      <c r="A20" s="301">
        <f t="shared" si="5"/>
        <v>14</v>
      </c>
      <c r="B20" s="81"/>
      <c r="C20" s="235"/>
      <c r="D20" s="235"/>
      <c r="E20" s="235"/>
      <c r="F20" s="235"/>
      <c r="G20" s="235"/>
      <c r="H20" s="235"/>
      <c r="I20" s="235"/>
      <c r="J20" s="235"/>
      <c r="K20" s="235"/>
      <c r="L20" s="235"/>
      <c r="M20" s="235"/>
      <c r="N20" s="235"/>
      <c r="O20" s="233"/>
      <c r="P20" s="57"/>
      <c r="Q20" s="302">
        <f t="shared" si="4"/>
        <v>14</v>
      </c>
    </row>
    <row r="22" spans="1:17" x14ac:dyDescent="0.35">
      <c r="A22" s="37"/>
    </row>
    <row r="23" spans="1:17" x14ac:dyDescent="0.35">
      <c r="A23" s="37"/>
      <c r="B23" s="22" t="s">
        <v>368</v>
      </c>
    </row>
    <row r="24" spans="1:17" ht="18.5" x14ac:dyDescent="0.35">
      <c r="A24" s="511"/>
      <c r="B24" s="91" t="s">
        <v>18</v>
      </c>
      <c r="C24" s="143">
        <f>C10+C13+C16+C19</f>
        <v>-3272575.4499999997</v>
      </c>
      <c r="D24" s="143">
        <f t="shared" ref="D24:N24" si="6">D10+D13+D16+D19</f>
        <v>-2260469.9500000002</v>
      </c>
      <c r="E24" s="143">
        <f t="shared" si="6"/>
        <v>-1175369.9100000001</v>
      </c>
      <c r="F24" s="143">
        <f t="shared" si="6"/>
        <v>-1023144.36</v>
      </c>
      <c r="G24" s="143">
        <f t="shared" si="6"/>
        <v>-2008048.29</v>
      </c>
      <c r="H24" s="143">
        <f t="shared" si="6"/>
        <v>-1047619.0700000003</v>
      </c>
      <c r="I24" s="143">
        <f t="shared" si="6"/>
        <v>-1588322.49</v>
      </c>
      <c r="J24" s="143">
        <f t="shared" si="6"/>
        <v>-4759039.2100000009</v>
      </c>
      <c r="K24" s="143">
        <f t="shared" si="6"/>
        <v>-3525098.28</v>
      </c>
      <c r="L24" s="143">
        <f t="shared" si="6"/>
        <v>-2693746.32</v>
      </c>
      <c r="M24" s="143">
        <f t="shared" si="6"/>
        <v>-7403435.4100000001</v>
      </c>
      <c r="N24" s="143">
        <f t="shared" si="6"/>
        <v>-4948573.5</v>
      </c>
      <c r="O24" s="143">
        <f>SUM(C24:N24)</f>
        <v>-35705442.24000001</v>
      </c>
    </row>
    <row r="25" spans="1:17" ht="18.5" x14ac:dyDescent="0.35">
      <c r="A25" s="511"/>
      <c r="B25" s="91" t="s">
        <v>369</v>
      </c>
      <c r="C25" s="143">
        <f>'WP 4 Monthly TRBAA '!C21</f>
        <v>-3272575.4499999997</v>
      </c>
      <c r="D25" s="143">
        <f>'WP 4 Monthly TRBAA '!D21</f>
        <v>-2260469.9500000002</v>
      </c>
      <c r="E25" s="143">
        <f>'WP 4 Monthly TRBAA '!E21</f>
        <v>-1175369.9100000001</v>
      </c>
      <c r="F25" s="143">
        <f>'WP 4 Monthly TRBAA '!F21</f>
        <v>-1023144.36</v>
      </c>
      <c r="G25" s="143">
        <f>'WP 4 Monthly TRBAA '!G21</f>
        <v>-2008048.29</v>
      </c>
      <c r="H25" s="143">
        <f>'WP 4 Monthly TRBAA '!H21</f>
        <v>-1047619.0700000003</v>
      </c>
      <c r="I25" s="143">
        <f>'WP 4 Monthly TRBAA '!I21</f>
        <v>-1588322.49</v>
      </c>
      <c r="J25" s="143">
        <f>'WP 4 Monthly TRBAA '!J21</f>
        <v>-4759039.2100000009</v>
      </c>
      <c r="K25" s="143">
        <f>'WP 4 Monthly TRBAA '!K21</f>
        <v>-3525098.28</v>
      </c>
      <c r="L25" s="143">
        <f>'WP 4 Monthly TRBAA '!L21</f>
        <v>-2693746.32</v>
      </c>
      <c r="M25" s="143">
        <f>'WP 4 Monthly TRBAA '!M21</f>
        <v>-7403435.4100000001</v>
      </c>
      <c r="N25" s="143">
        <f>'WP 4 Monthly TRBAA '!N21</f>
        <v>-4948573.5</v>
      </c>
      <c r="O25" s="143">
        <f>SUM(C25:N25)</f>
        <v>-35705442.24000001</v>
      </c>
    </row>
    <row r="26" spans="1:17" ht="19" thickBot="1" x14ac:dyDescent="0.4">
      <c r="A26" s="511"/>
      <c r="B26" s="22" t="s">
        <v>75</v>
      </c>
      <c r="C26" s="512">
        <f>C24-C25</f>
        <v>0</v>
      </c>
      <c r="D26" s="512">
        <f t="shared" ref="D26:O26" si="7">D24-D25</f>
        <v>0</v>
      </c>
      <c r="E26" s="512">
        <f t="shared" si="7"/>
        <v>0</v>
      </c>
      <c r="F26" s="512">
        <f t="shared" si="7"/>
        <v>0</v>
      </c>
      <c r="G26" s="512">
        <f t="shared" si="7"/>
        <v>0</v>
      </c>
      <c r="H26" s="512">
        <f t="shared" si="7"/>
        <v>0</v>
      </c>
      <c r="I26" s="512">
        <f t="shared" si="7"/>
        <v>0</v>
      </c>
      <c r="J26" s="512">
        <f t="shared" si="7"/>
        <v>0</v>
      </c>
      <c r="K26" s="512">
        <f t="shared" si="7"/>
        <v>0</v>
      </c>
      <c r="L26" s="512">
        <f t="shared" si="7"/>
        <v>0</v>
      </c>
      <c r="M26" s="512">
        <f t="shared" si="7"/>
        <v>0</v>
      </c>
      <c r="N26" s="512">
        <f>N24-N25</f>
        <v>0</v>
      </c>
      <c r="O26" s="512">
        <f t="shared" si="7"/>
        <v>0</v>
      </c>
    </row>
    <row r="27" spans="1:17" ht="19" thickTop="1" x14ac:dyDescent="0.35">
      <c r="A27" s="67"/>
      <c r="C27" s="67"/>
    </row>
    <row r="28" spans="1:17" ht="18.5" x14ac:dyDescent="0.35">
      <c r="A28" s="67"/>
      <c r="C28" s="143"/>
      <c r="O28" s="473"/>
    </row>
    <row r="29" spans="1:17" x14ac:dyDescent="0.35">
      <c r="A29" s="37"/>
    </row>
    <row r="30" spans="1:17" x14ac:dyDescent="0.35">
      <c r="A30" s="37"/>
    </row>
    <row r="31" spans="1:17" x14ac:dyDescent="0.35">
      <c r="A31" s="37"/>
    </row>
    <row r="32" spans="1:17" x14ac:dyDescent="0.35">
      <c r="A32" s="37"/>
    </row>
    <row r="33" spans="1:1" x14ac:dyDescent="0.35">
      <c r="A33" s="37"/>
    </row>
    <row r="34" spans="1:1" x14ac:dyDescent="0.35">
      <c r="A34" s="37"/>
    </row>
    <row r="35" spans="1:1" x14ac:dyDescent="0.35">
      <c r="A35" s="37"/>
    </row>
    <row r="36" spans="1:1" x14ac:dyDescent="0.35">
      <c r="A36" s="37"/>
    </row>
    <row r="37" spans="1:1" x14ac:dyDescent="0.35">
      <c r="A37" s="37"/>
    </row>
    <row r="38" spans="1:1" x14ac:dyDescent="0.35">
      <c r="A38" s="37"/>
    </row>
    <row r="39" spans="1:1" x14ac:dyDescent="0.35">
      <c r="A39" s="37"/>
    </row>
    <row r="40" spans="1:1" x14ac:dyDescent="0.35">
      <c r="A40" s="37"/>
    </row>
    <row r="41" spans="1:1" x14ac:dyDescent="0.35">
      <c r="A41" s="37"/>
    </row>
    <row r="42" spans="1:1" x14ac:dyDescent="0.35">
      <c r="A42" s="37"/>
    </row>
    <row r="43" spans="1:1" x14ac:dyDescent="0.35">
      <c r="A43" s="37"/>
    </row>
    <row r="44" spans="1:1" x14ac:dyDescent="0.35">
      <c r="A44" s="37"/>
    </row>
    <row r="45" spans="1:1" x14ac:dyDescent="0.35">
      <c r="A45" s="37"/>
    </row>
    <row r="46" spans="1:1" x14ac:dyDescent="0.35">
      <c r="A46" s="37"/>
    </row>
    <row r="47" spans="1:1" x14ac:dyDescent="0.35">
      <c r="A47" s="37"/>
    </row>
    <row r="48" spans="1:1" x14ac:dyDescent="0.35">
      <c r="A48" s="37"/>
    </row>
    <row r="49" spans="1:1" x14ac:dyDescent="0.35">
      <c r="A49" s="37"/>
    </row>
    <row r="50" spans="1:1" x14ac:dyDescent="0.35">
      <c r="A50" s="37"/>
    </row>
    <row r="51" spans="1:1" x14ac:dyDescent="0.35">
      <c r="A51" s="37"/>
    </row>
    <row r="52" spans="1:1" x14ac:dyDescent="0.35">
      <c r="A52" s="37"/>
    </row>
  </sheetData>
  <phoneticPr fontId="15" type="noConversion"/>
  <printOptions horizontalCentered="1"/>
  <pageMargins left="0" right="0" top="1" bottom="0.25" header="0.5" footer="0.25"/>
  <pageSetup scale="68" orientation="landscape" r:id="rId1"/>
  <headerFooter alignWithMargins="0">
    <oddHeader xml:space="preserve">&amp;C&amp;"Times New Roman,Bold"&amp;14San Diego Gas &amp;&amp; Electric Company
2024 TRBAA Rate Filing
CAISO Charges Oct. 2022 - Sept. 2023&amp;"Times New Roman,Regular"&amp;K000000
</oddHeader>
    <oddFooter>&amp;L&amp;"Times New Roman,Regular"&amp;12&amp;F&amp;C&amp;"Times New Roman,Regular"&amp;12Page 5.&amp;P&amp;R&amp;"Times New Roman,Regular"&amp;12WP 5  Summary of Monthly CAISO Charges</oddFooter>
  </headerFooter>
  <colBreaks count="1" manualBreakCount="1">
    <brk id="10" max="19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AB551-5630-48E8-85A2-2286413BBC13}">
  <sheetPr>
    <pageSetUpPr fitToPage="1"/>
  </sheetPr>
  <dimension ref="A1:M58"/>
  <sheetViews>
    <sheetView zoomScale="80" zoomScaleNormal="80" workbookViewId="0"/>
  </sheetViews>
  <sheetFormatPr defaultColWidth="8.54296875" defaultRowHeight="13" x14ac:dyDescent="0.3"/>
  <cols>
    <col min="1" max="1" width="5.54296875" style="1" customWidth="1"/>
    <col min="2" max="2" width="81.36328125" style="2" customWidth="1"/>
    <col min="3" max="5" width="18.54296875" style="1" customWidth="1"/>
    <col min="6" max="6" width="59.54296875" style="1" bestFit="1" customWidth="1"/>
    <col min="7" max="7" width="5.54296875" style="1" customWidth="1"/>
    <col min="8" max="16384" width="8.54296875" style="1"/>
  </cols>
  <sheetData>
    <row r="1" spans="1:13" x14ac:dyDescent="0.3">
      <c r="H1" s="300"/>
      <c r="I1" s="300"/>
      <c r="J1" s="300"/>
      <c r="K1" s="300"/>
      <c r="L1" s="300"/>
      <c r="M1" s="300"/>
    </row>
    <row r="2" spans="1:13" ht="15" x14ac:dyDescent="0.3">
      <c r="A2" s="5" t="s">
        <v>1</v>
      </c>
      <c r="B2" s="626"/>
      <c r="C2" s="626"/>
      <c r="D2" s="626"/>
      <c r="E2" s="626"/>
      <c r="F2" s="626"/>
      <c r="G2" s="626"/>
    </row>
    <row r="3" spans="1:13" ht="15" x14ac:dyDescent="0.3">
      <c r="A3" s="976" t="str">
        <f>'WP 7 Wheeling Revenues'!A3:G3</f>
        <v>2024 - TRBAA Rate Filing</v>
      </c>
      <c r="B3" s="976"/>
      <c r="C3" s="976"/>
      <c r="D3" s="976"/>
      <c r="E3" s="976"/>
      <c r="F3" s="976"/>
      <c r="G3" s="976"/>
    </row>
    <row r="4" spans="1:13" ht="15" x14ac:dyDescent="0.3">
      <c r="A4" s="5" t="s">
        <v>370</v>
      </c>
      <c r="B4" s="626"/>
      <c r="C4" s="626"/>
      <c r="D4" s="626"/>
      <c r="E4" s="626"/>
      <c r="F4" s="626"/>
      <c r="G4" s="626"/>
    </row>
    <row r="5" spans="1:13" ht="13.5" thickBot="1" x14ac:dyDescent="0.35"/>
    <row r="6" spans="1:13" ht="15" x14ac:dyDescent="0.3">
      <c r="A6" s="557" t="s">
        <v>8</v>
      </c>
      <c r="B6" s="627"/>
      <c r="C6" s="627"/>
      <c r="D6" s="627"/>
      <c r="E6" s="628"/>
      <c r="F6" s="458"/>
      <c r="G6" s="559" t="s">
        <v>8</v>
      </c>
    </row>
    <row r="7" spans="1:13" ht="15.5" thickBot="1" x14ac:dyDescent="0.35">
      <c r="A7" s="569" t="s">
        <v>11</v>
      </c>
      <c r="B7" s="629"/>
      <c r="C7" s="629"/>
      <c r="D7" s="629"/>
      <c r="E7" s="630"/>
      <c r="F7" s="153" t="s">
        <v>16</v>
      </c>
      <c r="G7" s="570" t="s">
        <v>11</v>
      </c>
    </row>
    <row r="8" spans="1:13" ht="15.5" x14ac:dyDescent="0.35">
      <c r="A8" s="263">
        <v>1</v>
      </c>
      <c r="B8" s="156" t="s">
        <v>371</v>
      </c>
      <c r="C8" s="631" t="s">
        <v>3</v>
      </c>
      <c r="D8" s="165" t="s">
        <v>4</v>
      </c>
      <c r="E8" s="165" t="s">
        <v>195</v>
      </c>
      <c r="F8" s="36"/>
      <c r="G8" s="264">
        <v>1</v>
      </c>
    </row>
    <row r="9" spans="1:13" ht="15.5" x14ac:dyDescent="0.35">
      <c r="A9" s="263">
        <f t="shared" ref="A9:A27" si="0">A8+1</f>
        <v>2</v>
      </c>
      <c r="B9" s="156"/>
      <c r="C9" s="158"/>
      <c r="D9" s="158"/>
      <c r="E9" s="158"/>
      <c r="F9" s="36"/>
      <c r="G9" s="264">
        <f>A9</f>
        <v>2</v>
      </c>
    </row>
    <row r="10" spans="1:13" ht="16" thickBot="1" x14ac:dyDescent="0.4">
      <c r="A10" s="263">
        <f t="shared" si="0"/>
        <v>3</v>
      </c>
      <c r="B10" s="156" t="s">
        <v>372</v>
      </c>
      <c r="C10" s="153" t="s">
        <v>228</v>
      </c>
      <c r="D10" s="153" t="s">
        <v>229</v>
      </c>
      <c r="E10" s="153" t="s">
        <v>18</v>
      </c>
      <c r="F10" s="75"/>
      <c r="G10" s="264">
        <f t="shared" ref="G10:G18" si="1">A10</f>
        <v>3</v>
      </c>
    </row>
    <row r="11" spans="1:13" ht="15.5" x14ac:dyDescent="0.35">
      <c r="A11" s="263">
        <f t="shared" si="0"/>
        <v>4</v>
      </c>
      <c r="B11" s="794"/>
      <c r="C11" s="795"/>
      <c r="D11" s="75"/>
      <c r="E11" s="75"/>
      <c r="F11" s="90"/>
      <c r="G11" s="264">
        <f t="shared" si="1"/>
        <v>4</v>
      </c>
    </row>
    <row r="12" spans="1:13" ht="32.25" customHeight="1" x14ac:dyDescent="0.35">
      <c r="A12" s="356">
        <f t="shared" si="0"/>
        <v>5</v>
      </c>
      <c r="B12" s="357" t="s">
        <v>515</v>
      </c>
      <c r="C12" s="358">
        <v>3990427.5696638143</v>
      </c>
      <c r="D12" s="358">
        <v>3812492.673937215</v>
      </c>
      <c r="E12" s="358">
        <f>SUM(C12:D12)</f>
        <v>7802920.2436010297</v>
      </c>
      <c r="F12" s="190" t="s">
        <v>517</v>
      </c>
      <c r="G12" s="264">
        <f t="shared" si="1"/>
        <v>5</v>
      </c>
    </row>
    <row r="13" spans="1:13" ht="15.5" x14ac:dyDescent="0.35">
      <c r="A13" s="263">
        <f t="shared" si="0"/>
        <v>6</v>
      </c>
      <c r="B13" s="68"/>
      <c r="C13" s="795"/>
      <c r="D13" s="75"/>
      <c r="E13" s="75"/>
      <c r="F13" s="90"/>
      <c r="G13" s="264">
        <f t="shared" si="1"/>
        <v>6</v>
      </c>
    </row>
    <row r="14" spans="1:13" ht="28.5" x14ac:dyDescent="0.35">
      <c r="A14" s="356">
        <f t="shared" si="0"/>
        <v>7</v>
      </c>
      <c r="B14" s="357" t="s">
        <v>516</v>
      </c>
      <c r="C14" s="359">
        <v>100509.66864914818</v>
      </c>
      <c r="D14" s="359">
        <v>422155.02010626643</v>
      </c>
      <c r="E14" s="359">
        <f>SUM(C14:D14)</f>
        <v>522664.68875541462</v>
      </c>
      <c r="F14" s="190" t="s">
        <v>518</v>
      </c>
      <c r="G14" s="264">
        <f t="shared" si="1"/>
        <v>7</v>
      </c>
    </row>
    <row r="15" spans="1:13" ht="15.5" x14ac:dyDescent="0.35">
      <c r="A15" s="263">
        <f t="shared" si="0"/>
        <v>8</v>
      </c>
      <c r="B15" s="68"/>
      <c r="C15" s="75"/>
      <c r="D15" s="75"/>
      <c r="E15" s="75"/>
      <c r="F15" s="90"/>
      <c r="G15" s="264">
        <f t="shared" si="1"/>
        <v>8</v>
      </c>
    </row>
    <row r="16" spans="1:13" ht="16" thickBot="1" x14ac:dyDescent="0.4">
      <c r="A16" s="263">
        <f t="shared" si="0"/>
        <v>9</v>
      </c>
      <c r="B16" s="303" t="s">
        <v>373</v>
      </c>
      <c r="C16" s="192">
        <f>C12+C14</f>
        <v>4090937.2383129625</v>
      </c>
      <c r="D16" s="192">
        <f t="shared" ref="D16:E16" si="2">D12+D14</f>
        <v>4234647.6940434817</v>
      </c>
      <c r="E16" s="192">
        <f t="shared" si="2"/>
        <v>8325584.9323564442</v>
      </c>
      <c r="F16" s="242" t="s">
        <v>374</v>
      </c>
      <c r="G16" s="264">
        <f t="shared" si="1"/>
        <v>9</v>
      </c>
    </row>
    <row r="17" spans="1:7" ht="16" thickTop="1" x14ac:dyDescent="0.35">
      <c r="A17" s="263">
        <f t="shared" si="0"/>
        <v>10</v>
      </c>
      <c r="B17" s="303"/>
      <c r="C17" s="228"/>
      <c r="D17" s="228"/>
      <c r="E17" s="228"/>
      <c r="F17" s="242"/>
      <c r="G17" s="264">
        <f t="shared" si="1"/>
        <v>10</v>
      </c>
    </row>
    <row r="18" spans="1:7" ht="16" thickBot="1" x14ac:dyDescent="0.4">
      <c r="A18" s="263">
        <f t="shared" si="0"/>
        <v>11</v>
      </c>
      <c r="B18" s="303" t="s">
        <v>375</v>
      </c>
      <c r="C18" s="229">
        <f>ROUND(C16/$E16,4)</f>
        <v>0.4914</v>
      </c>
      <c r="D18" s="229">
        <f>ROUND(D16/$E16,4)</f>
        <v>0.50860000000000005</v>
      </c>
      <c r="E18" s="229">
        <f>SUM(C18:D18)</f>
        <v>1</v>
      </c>
      <c r="F18" s="242" t="s">
        <v>376</v>
      </c>
      <c r="G18" s="264">
        <f t="shared" si="1"/>
        <v>11</v>
      </c>
    </row>
    <row r="19" spans="1:7" ht="16.5" thickTop="1" thickBot="1" x14ac:dyDescent="0.4">
      <c r="A19" s="301">
        <f t="shared" si="0"/>
        <v>12</v>
      </c>
      <c r="B19" s="230"/>
      <c r="C19" s="231"/>
      <c r="D19" s="231"/>
      <c r="E19" s="231"/>
      <c r="F19" s="77"/>
      <c r="G19" s="302">
        <f>A19</f>
        <v>12</v>
      </c>
    </row>
    <row r="20" spans="1:7" ht="17.5" x14ac:dyDescent="0.35">
      <c r="A20" s="263">
        <f t="shared" si="0"/>
        <v>13</v>
      </c>
      <c r="B20" s="156" t="s">
        <v>377</v>
      </c>
      <c r="C20" s="744"/>
      <c r="D20" s="744"/>
      <c r="E20" s="744"/>
      <c r="F20" s="36"/>
      <c r="G20" s="264">
        <f>A20</f>
        <v>13</v>
      </c>
    </row>
    <row r="21" spans="1:7" ht="17.5" x14ac:dyDescent="0.35">
      <c r="A21" s="263">
        <f t="shared" si="0"/>
        <v>14</v>
      </c>
      <c r="B21" s="68"/>
      <c r="C21" s="744"/>
      <c r="D21" s="744"/>
      <c r="E21" s="796"/>
      <c r="F21" s="36"/>
      <c r="G21" s="264">
        <f t="shared" ref="G21:G26" si="3">A21</f>
        <v>14</v>
      </c>
    </row>
    <row r="22" spans="1:7" ht="31" x14ac:dyDescent="0.35">
      <c r="A22" s="263">
        <f t="shared" si="0"/>
        <v>15</v>
      </c>
      <c r="B22" s="745" t="s">
        <v>519</v>
      </c>
      <c r="C22" s="746">
        <f>'WP 7 Wheeling Revenues'!C37</f>
        <v>-36715216.289999999</v>
      </c>
      <c r="D22" s="746">
        <f>'WP 7 Wheeling Revenues'!D37</f>
        <v>0</v>
      </c>
      <c r="E22" s="747">
        <f>SUM(C22:D22)</f>
        <v>-36715216.289999999</v>
      </c>
      <c r="F22" s="242" t="s">
        <v>378</v>
      </c>
      <c r="G22" s="264">
        <f t="shared" si="3"/>
        <v>15</v>
      </c>
    </row>
    <row r="23" spans="1:7" ht="15.5" x14ac:dyDescent="0.35">
      <c r="A23" s="263">
        <f t="shared" si="0"/>
        <v>16</v>
      </c>
      <c r="B23" s="303"/>
      <c r="C23" s="746"/>
      <c r="D23" s="746"/>
      <c r="E23" s="747"/>
      <c r="F23" s="242"/>
      <c r="G23" s="264">
        <f t="shared" si="3"/>
        <v>16</v>
      </c>
    </row>
    <row r="24" spans="1:7" ht="15.5" x14ac:dyDescent="0.35">
      <c r="A24" s="263">
        <f t="shared" si="0"/>
        <v>17</v>
      </c>
      <c r="B24" s="303" t="s">
        <v>379</v>
      </c>
      <c r="C24" s="748">
        <f>E18</f>
        <v>1</v>
      </c>
      <c r="D24" s="748">
        <v>0</v>
      </c>
      <c r="E24" s="748">
        <f>SUM(C24:D24)</f>
        <v>1</v>
      </c>
      <c r="F24" s="37" t="s">
        <v>380</v>
      </c>
      <c r="G24" s="264">
        <f t="shared" si="3"/>
        <v>17</v>
      </c>
    </row>
    <row r="25" spans="1:7" ht="15.5" x14ac:dyDescent="0.35">
      <c r="A25" s="263">
        <f t="shared" si="0"/>
        <v>18</v>
      </c>
      <c r="B25" s="303"/>
      <c r="C25" s="749"/>
      <c r="D25" s="749"/>
      <c r="E25" s="749"/>
      <c r="F25" s="242"/>
      <c r="G25" s="264">
        <f t="shared" si="3"/>
        <v>18</v>
      </c>
    </row>
    <row r="26" spans="1:7" ht="16" thickBot="1" x14ac:dyDescent="0.4">
      <c r="A26" s="263">
        <f>A25+1</f>
        <v>19</v>
      </c>
      <c r="B26" s="92" t="s">
        <v>381</v>
      </c>
      <c r="C26" s="750">
        <f>C22*C24</f>
        <v>-36715216.289999999</v>
      </c>
      <c r="D26" s="750">
        <f>D22*D24</f>
        <v>0</v>
      </c>
      <c r="E26" s="751">
        <f>SUM(C26:D26)</f>
        <v>-36715216.289999999</v>
      </c>
      <c r="F26" s="37" t="s">
        <v>382</v>
      </c>
      <c r="G26" s="264">
        <f t="shared" si="3"/>
        <v>19</v>
      </c>
    </row>
    <row r="27" spans="1:7" ht="16.5" thickTop="1" thickBot="1" x14ac:dyDescent="0.4">
      <c r="A27" s="301">
        <f t="shared" si="0"/>
        <v>20</v>
      </c>
      <c r="B27" s="752"/>
      <c r="C27" s="797"/>
      <c r="D27" s="753"/>
      <c r="E27" s="753"/>
      <c r="F27" s="754"/>
      <c r="G27" s="302">
        <f t="shared" ref="G27" si="4">G26+1</f>
        <v>20</v>
      </c>
    </row>
    <row r="28" spans="1:7" ht="15.5" x14ac:dyDescent="0.35">
      <c r="A28" s="299">
        <f>A27+1</f>
        <v>21</v>
      </c>
      <c r="B28" s="632" t="s">
        <v>383</v>
      </c>
      <c r="C28" s="633"/>
      <c r="D28" s="634"/>
      <c r="E28" s="633"/>
      <c r="F28" s="592"/>
      <c r="G28" s="460">
        <f>G27+1</f>
        <v>21</v>
      </c>
    </row>
    <row r="29" spans="1:7" ht="15.5" x14ac:dyDescent="0.35">
      <c r="A29" s="263">
        <f>A28+1</f>
        <v>22</v>
      </c>
      <c r="B29" s="386"/>
      <c r="C29" s="159"/>
      <c r="D29" s="36"/>
      <c r="E29" s="796"/>
      <c r="F29" s="635"/>
      <c r="G29" s="350">
        <f>G28+1</f>
        <v>22</v>
      </c>
    </row>
    <row r="30" spans="1:7" ht="29" thickBot="1" x14ac:dyDescent="0.4">
      <c r="A30" s="263">
        <f t="shared" ref="A30:A39" si="5">A29+1</f>
        <v>23</v>
      </c>
      <c r="B30" s="734" t="s">
        <v>520</v>
      </c>
      <c r="C30" s="636"/>
      <c r="D30" s="104"/>
      <c r="E30" s="227">
        <f>'WP 8 CT4575'!C34</f>
        <v>18000</v>
      </c>
      <c r="F30" s="71" t="s">
        <v>384</v>
      </c>
      <c r="G30" s="350">
        <f t="shared" ref="G30:G33" si="6">G29+1</f>
        <v>23</v>
      </c>
    </row>
    <row r="31" spans="1:7" ht="16" thickTop="1" x14ac:dyDescent="0.35">
      <c r="A31" s="263">
        <f t="shared" si="5"/>
        <v>24</v>
      </c>
      <c r="B31" s="85" t="s">
        <v>385</v>
      </c>
      <c r="C31" s="159"/>
      <c r="D31" s="36"/>
      <c r="E31" s="159"/>
      <c r="F31" s="33"/>
      <c r="G31" s="350">
        <f t="shared" si="6"/>
        <v>24</v>
      </c>
    </row>
    <row r="32" spans="1:7" ht="15.5" x14ac:dyDescent="0.35">
      <c r="A32" s="263">
        <f t="shared" si="5"/>
        <v>25</v>
      </c>
      <c r="B32" s="85"/>
      <c r="C32" s="159"/>
      <c r="D32" s="36"/>
      <c r="E32" s="159"/>
      <c r="F32" s="33"/>
      <c r="G32" s="350">
        <f t="shared" si="6"/>
        <v>25</v>
      </c>
    </row>
    <row r="33" spans="1:7" ht="16" thickBot="1" x14ac:dyDescent="0.4">
      <c r="A33" s="263">
        <f t="shared" si="5"/>
        <v>26</v>
      </c>
      <c r="B33" s="74" t="s">
        <v>386</v>
      </c>
      <c r="C33" s="192">
        <f>$E$30*$C$18</f>
        <v>8845.2000000000007</v>
      </c>
      <c r="D33" s="192">
        <f>$E$30*$D$18</f>
        <v>9154.8000000000011</v>
      </c>
      <c r="E33" s="192">
        <f>SUM(C33:D33)</f>
        <v>18000</v>
      </c>
      <c r="F33" s="33" t="s">
        <v>387</v>
      </c>
      <c r="G33" s="350">
        <f t="shared" si="6"/>
        <v>26</v>
      </c>
    </row>
    <row r="34" spans="1:7" ht="19" thickTop="1" thickBot="1" x14ac:dyDescent="0.45">
      <c r="A34" s="301">
        <f t="shared" si="5"/>
        <v>27</v>
      </c>
      <c r="B34" s="637"/>
      <c r="C34" s="797"/>
      <c r="D34" s="638"/>
      <c r="E34" s="105"/>
      <c r="F34" s="639"/>
      <c r="G34" s="464">
        <f>G33+1</f>
        <v>27</v>
      </c>
    </row>
    <row r="35" spans="1:7" ht="15.5" x14ac:dyDescent="0.35">
      <c r="A35" s="263">
        <f t="shared" si="5"/>
        <v>28</v>
      </c>
      <c r="B35" s="386" t="s">
        <v>388</v>
      </c>
      <c r="C35" s="101"/>
      <c r="D35" s="798"/>
      <c r="E35" s="633"/>
      <c r="F35" s="635"/>
      <c r="G35" s="350">
        <f>G34+1</f>
        <v>28</v>
      </c>
    </row>
    <row r="36" spans="1:7" ht="15.5" x14ac:dyDescent="0.35">
      <c r="A36" s="263">
        <f t="shared" si="5"/>
        <v>29</v>
      </c>
      <c r="B36" s="386"/>
      <c r="C36" s="101"/>
      <c r="D36" s="799"/>
      <c r="E36" s="796"/>
      <c r="F36" s="71"/>
      <c r="G36" s="350">
        <f t="shared" ref="G36:G39" si="7">G35+1</f>
        <v>29</v>
      </c>
    </row>
    <row r="37" spans="1:7" ht="29" thickBot="1" x14ac:dyDescent="0.4">
      <c r="A37" s="263">
        <f t="shared" si="5"/>
        <v>30</v>
      </c>
      <c r="B37" s="734" t="s">
        <v>521</v>
      </c>
      <c r="C37" s="101"/>
      <c r="D37" s="799"/>
      <c r="E37" s="73">
        <f>'WP 9 ETC Cost Diffs'!C34</f>
        <v>2121800.8790900004</v>
      </c>
      <c r="F37" s="71" t="s">
        <v>389</v>
      </c>
      <c r="G37" s="350">
        <f t="shared" si="7"/>
        <v>30</v>
      </c>
    </row>
    <row r="38" spans="1:7" ht="16" thickTop="1" x14ac:dyDescent="0.35">
      <c r="A38" s="263">
        <f t="shared" si="5"/>
        <v>31</v>
      </c>
      <c r="B38" s="386"/>
      <c r="C38" s="101"/>
      <c r="D38" s="799"/>
      <c r="E38" s="101"/>
      <c r="F38" s="71"/>
      <c r="G38" s="350">
        <f t="shared" si="7"/>
        <v>31</v>
      </c>
    </row>
    <row r="39" spans="1:7" ht="16" thickBot="1" x14ac:dyDescent="0.4">
      <c r="A39" s="263">
        <f t="shared" si="5"/>
        <v>32</v>
      </c>
      <c r="B39" s="74" t="s">
        <v>390</v>
      </c>
      <c r="C39" s="192">
        <f>$E$37*$C$18</f>
        <v>1042652.9519848262</v>
      </c>
      <c r="D39" s="192">
        <f>$E$37*$D$18</f>
        <v>1079147.9271051744</v>
      </c>
      <c r="E39" s="192">
        <f>SUM(C39:D39)</f>
        <v>2121800.8790900009</v>
      </c>
      <c r="F39" s="33" t="s">
        <v>391</v>
      </c>
      <c r="G39" s="350">
        <f t="shared" si="7"/>
        <v>32</v>
      </c>
    </row>
    <row r="40" spans="1:7" ht="16.5" thickTop="1" thickBot="1" x14ac:dyDescent="0.4">
      <c r="A40" s="301">
        <f>A39+1</f>
        <v>33</v>
      </c>
      <c r="B40" s="420"/>
      <c r="C40" s="797"/>
      <c r="D40" s="80"/>
      <c r="E40" s="81"/>
      <c r="F40" s="160"/>
      <c r="G40" s="464">
        <f>G39+1</f>
        <v>33</v>
      </c>
    </row>
    <row r="41" spans="1:7" ht="15.5" x14ac:dyDescent="0.35">
      <c r="A41" s="640">
        <f>A40+1</f>
        <v>34</v>
      </c>
      <c r="B41" s="632" t="s">
        <v>392</v>
      </c>
      <c r="C41" s="633"/>
      <c r="D41" s="634"/>
      <c r="E41" s="459"/>
      <c r="F41" s="456"/>
      <c r="G41" s="460">
        <f>G40+1</f>
        <v>34</v>
      </c>
    </row>
    <row r="42" spans="1:7" ht="15.5" x14ac:dyDescent="0.35">
      <c r="A42" s="187">
        <f>A41+1</f>
        <v>35</v>
      </c>
      <c r="B42" s="386"/>
      <c r="C42" s="159"/>
      <c r="D42" s="36"/>
      <c r="E42" s="457"/>
      <c r="F42" s="159"/>
      <c r="G42" s="350">
        <f>G41+1</f>
        <v>35</v>
      </c>
    </row>
    <row r="43" spans="1:7" ht="32.75" customHeight="1" thickBot="1" x14ac:dyDescent="0.4">
      <c r="A43" s="187">
        <f>A42+1</f>
        <v>36</v>
      </c>
      <c r="B43" s="734" t="s">
        <v>522</v>
      </c>
      <c r="C43" s="636"/>
      <c r="D43" s="800"/>
      <c r="E43" s="234">
        <f>'WP 12 PTO'!P17</f>
        <v>-1130026.8290900001</v>
      </c>
      <c r="F43" s="71" t="s">
        <v>488</v>
      </c>
      <c r="G43" s="350">
        <f t="shared" ref="G43:G49" si="8">G42+1</f>
        <v>36</v>
      </c>
    </row>
    <row r="44" spans="1:7" ht="18" thickTop="1" x14ac:dyDescent="0.35">
      <c r="A44" s="187">
        <f t="shared" ref="A44:A48" si="9">A43+1</f>
        <v>37</v>
      </c>
      <c r="B44" s="734"/>
      <c r="C44" s="636"/>
      <c r="D44" s="800"/>
      <c r="E44" s="852"/>
      <c r="F44" s="71"/>
      <c r="G44" s="350">
        <f t="shared" si="8"/>
        <v>37</v>
      </c>
    </row>
    <row r="45" spans="1:7" ht="28.5" x14ac:dyDescent="0.35">
      <c r="A45" s="187">
        <f t="shared" si="9"/>
        <v>38</v>
      </c>
      <c r="B45" s="912" t="s">
        <v>393</v>
      </c>
      <c r="C45" s="16">
        <f>'WP 12 PTO'!P29</f>
        <v>-147968.44</v>
      </c>
      <c r="D45" s="854">
        <f>'WP 12 PTO'!P30</f>
        <v>0</v>
      </c>
      <c r="E45" s="16">
        <f>SUM(C45:D45)</f>
        <v>-147968.44</v>
      </c>
      <c r="F45" s="911" t="s">
        <v>394</v>
      </c>
      <c r="G45" s="350">
        <f t="shared" si="8"/>
        <v>38</v>
      </c>
    </row>
    <row r="46" spans="1:7" ht="17.5" x14ac:dyDescent="0.35">
      <c r="A46" s="187">
        <f t="shared" si="9"/>
        <v>39</v>
      </c>
      <c r="B46" s="85"/>
      <c r="C46" s="636"/>
      <c r="D46" s="800"/>
      <c r="E46" s="16"/>
      <c r="F46" s="71"/>
      <c r="G46" s="350">
        <f t="shared" si="8"/>
        <v>39</v>
      </c>
    </row>
    <row r="47" spans="1:7" ht="15.5" x14ac:dyDescent="0.35">
      <c r="A47" s="187">
        <f t="shared" si="9"/>
        <v>40</v>
      </c>
      <c r="B47" s="85" t="s">
        <v>395</v>
      </c>
      <c r="C47" s="853">
        <f>$E$47*$C$18</f>
        <v>-482583.49239882611</v>
      </c>
      <c r="D47" s="853">
        <f>$E$47*$D$18</f>
        <v>-499474.89669117413</v>
      </c>
      <c r="E47" s="853">
        <f>E43-E45</f>
        <v>-982058.38909000019</v>
      </c>
      <c r="F47" s="84" t="s">
        <v>396</v>
      </c>
      <c r="G47" s="350">
        <f t="shared" si="8"/>
        <v>40</v>
      </c>
    </row>
    <row r="48" spans="1:7" ht="15.5" x14ac:dyDescent="0.35">
      <c r="A48" s="187">
        <f t="shared" si="9"/>
        <v>41</v>
      </c>
      <c r="B48" s="386"/>
      <c r="C48" s="228"/>
      <c r="D48" s="686"/>
      <c r="E48" s="687"/>
      <c r="F48" s="84"/>
      <c r="G48" s="350">
        <f t="shared" si="8"/>
        <v>41</v>
      </c>
    </row>
    <row r="49" spans="1:7" ht="16" thickBot="1" x14ac:dyDescent="0.4">
      <c r="A49" s="187">
        <f t="shared" ref="A49" si="10">A48+1</f>
        <v>42</v>
      </c>
      <c r="B49" s="74" t="s">
        <v>397</v>
      </c>
      <c r="C49" s="192">
        <f>C45+C47</f>
        <v>-630551.93239882612</v>
      </c>
      <c r="D49" s="192">
        <f t="shared" ref="D49" si="11">D45+D47</f>
        <v>-499474.89669117413</v>
      </c>
      <c r="E49" s="192">
        <f>SUM(C49:D49)</f>
        <v>-1130026.8290900001</v>
      </c>
      <c r="F49" s="33" t="s">
        <v>398</v>
      </c>
      <c r="G49" s="350">
        <f t="shared" si="8"/>
        <v>42</v>
      </c>
    </row>
    <row r="50" spans="1:7" ht="19" thickTop="1" thickBot="1" x14ac:dyDescent="0.45">
      <c r="A50" s="642">
        <f>A49+1</f>
        <v>43</v>
      </c>
      <c r="B50" s="637"/>
      <c r="C50" s="797"/>
      <c r="D50" s="638"/>
      <c r="E50" s="643"/>
      <c r="F50" s="644"/>
      <c r="G50" s="464">
        <f>G49+1</f>
        <v>43</v>
      </c>
    </row>
    <row r="51" spans="1:7" ht="15.5" x14ac:dyDescent="0.35">
      <c r="A51" s="187"/>
      <c r="C51" s="801"/>
      <c r="F51" s="36"/>
      <c r="G51" s="37"/>
    </row>
    <row r="52" spans="1:7" ht="15.5" x14ac:dyDescent="0.35">
      <c r="A52" s="187"/>
      <c r="C52" s="801"/>
      <c r="F52" s="36"/>
      <c r="G52" s="37"/>
    </row>
    <row r="53" spans="1:7" ht="15.5" x14ac:dyDescent="0.35">
      <c r="A53" s="187"/>
      <c r="C53" s="801"/>
      <c r="F53" s="36"/>
      <c r="G53" s="37"/>
    </row>
    <row r="54" spans="1:7" ht="15.5" x14ac:dyDescent="0.35">
      <c r="A54" s="187"/>
      <c r="C54" s="801"/>
      <c r="F54" s="36"/>
      <c r="G54" s="37"/>
    </row>
    <row r="55" spans="1:7" x14ac:dyDescent="0.3">
      <c r="A55" s="645"/>
    </row>
    <row r="56" spans="1:7" ht="18.5" x14ac:dyDescent="0.35">
      <c r="A56" s="646"/>
      <c r="B56" s="50"/>
    </row>
    <row r="57" spans="1:7" ht="18.5" x14ac:dyDescent="0.35">
      <c r="A57" s="647"/>
      <c r="B57" s="50"/>
    </row>
    <row r="58" spans="1:7" x14ac:dyDescent="0.3">
      <c r="A58" s="648"/>
    </row>
  </sheetData>
  <mergeCells count="1">
    <mergeCell ref="A3:G3"/>
  </mergeCells>
  <printOptions horizontalCentered="1"/>
  <pageMargins left="0.25" right="0.25" top="0.5" bottom="0.5" header="0.25" footer="0.25"/>
  <pageSetup scale="61" orientation="landscape" r:id="rId1"/>
  <headerFooter alignWithMargins="0">
    <oddFooter>&amp;L&amp;"Times New Roman,Regular"&amp;14&amp;F&amp;C&amp;"Times New Roman,Regular"&amp;14Page 6.1&amp;R&amp;"Times New Roman,Regular"&amp;14&amp;A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G85"/>
  <sheetViews>
    <sheetView zoomScale="80" zoomScaleNormal="80" workbookViewId="0"/>
  </sheetViews>
  <sheetFormatPr defaultColWidth="8.54296875" defaultRowHeight="15.5" x14ac:dyDescent="0.35"/>
  <cols>
    <col min="1" max="1" width="5.54296875" style="22" customWidth="1"/>
    <col min="2" max="2" width="40.54296875" style="50" customWidth="1"/>
    <col min="3" max="4" width="19.81640625" style="22" bestFit="1" customWidth="1"/>
    <col min="5" max="5" width="17.54296875" style="22" customWidth="1"/>
    <col min="6" max="6" width="41.54296875" style="22" bestFit="1" customWidth="1"/>
    <col min="7" max="7" width="5.54296875" style="22" customWidth="1"/>
    <col min="8" max="16384" width="8.54296875" style="22"/>
  </cols>
  <sheetData>
    <row r="1" spans="1:7" x14ac:dyDescent="0.35">
      <c r="A1" s="5"/>
      <c r="B1" s="41"/>
      <c r="C1" s="41"/>
      <c r="D1" s="41"/>
      <c r="E1" s="41"/>
      <c r="F1" s="41"/>
      <c r="G1" s="41"/>
    </row>
    <row r="2" spans="1:7" x14ac:dyDescent="0.35">
      <c r="A2" s="5" t="s">
        <v>1</v>
      </c>
      <c r="B2" s="41"/>
      <c r="C2" s="41"/>
      <c r="D2" s="41"/>
      <c r="E2" s="41"/>
      <c r="F2" s="41"/>
      <c r="G2" s="41"/>
    </row>
    <row r="3" spans="1:7" x14ac:dyDescent="0.35">
      <c r="A3" s="976" t="str">
        <f>'Stmnt BD - Recorded KWH'!$A$4</f>
        <v>2024 - TRBAA Rate Filing</v>
      </c>
      <c r="B3" s="976"/>
      <c r="C3" s="976"/>
      <c r="D3" s="976"/>
      <c r="E3" s="976"/>
      <c r="F3" s="976"/>
      <c r="G3" s="976"/>
    </row>
    <row r="4" spans="1:7" x14ac:dyDescent="0.35">
      <c r="A4" s="5" t="s">
        <v>399</v>
      </c>
      <c r="B4" s="41"/>
      <c r="C4" s="41"/>
      <c r="D4" s="41"/>
      <c r="E4" s="41"/>
      <c r="F4" s="41"/>
      <c r="G4" s="41"/>
    </row>
    <row r="5" spans="1:7" ht="16" thickBot="1" x14ac:dyDescent="0.4">
      <c r="A5" s="41"/>
      <c r="B5" s="41"/>
      <c r="C5" s="41"/>
      <c r="D5" s="41"/>
      <c r="E5" s="41"/>
      <c r="F5" s="41"/>
      <c r="G5" s="41"/>
    </row>
    <row r="6" spans="1:7" x14ac:dyDescent="0.35">
      <c r="A6" s="287"/>
      <c r="B6" s="589"/>
      <c r="C6" s="165" t="s">
        <v>3</v>
      </c>
      <c r="D6" s="165" t="s">
        <v>4</v>
      </c>
      <c r="E6" s="165" t="s">
        <v>113</v>
      </c>
      <c r="F6" s="165" t="s">
        <v>114</v>
      </c>
      <c r="G6" s="548"/>
    </row>
    <row r="7" spans="1:7" x14ac:dyDescent="0.35">
      <c r="A7" s="551"/>
      <c r="B7" s="74"/>
      <c r="C7" s="587" t="s">
        <v>400</v>
      </c>
      <c r="D7" s="587" t="s">
        <v>229</v>
      </c>
      <c r="E7" s="587"/>
      <c r="F7" s="587"/>
      <c r="G7" s="552"/>
    </row>
    <row r="8" spans="1:7" x14ac:dyDescent="0.35">
      <c r="A8" s="551" t="s">
        <v>8</v>
      </c>
      <c r="B8" s="75"/>
      <c r="C8" s="587" t="s">
        <v>401</v>
      </c>
      <c r="D8" s="587" t="s">
        <v>401</v>
      </c>
      <c r="E8" s="587"/>
      <c r="F8" s="587"/>
      <c r="G8" s="552" t="s">
        <v>8</v>
      </c>
    </row>
    <row r="9" spans="1:7" ht="16" thickBot="1" x14ac:dyDescent="0.4">
      <c r="A9" s="569" t="s">
        <v>402</v>
      </c>
      <c r="B9" s="338" t="s">
        <v>403</v>
      </c>
      <c r="C9" s="649" t="s">
        <v>404</v>
      </c>
      <c r="D9" s="649" t="s">
        <v>405</v>
      </c>
      <c r="E9" s="593" t="s">
        <v>18</v>
      </c>
      <c r="F9" s="593" t="s">
        <v>16</v>
      </c>
      <c r="G9" s="570" t="s">
        <v>402</v>
      </c>
    </row>
    <row r="10" spans="1:7" x14ac:dyDescent="0.35">
      <c r="A10" s="263"/>
      <c r="B10" s="768"/>
      <c r="C10" s="19"/>
      <c r="D10" s="19"/>
      <c r="E10" s="19"/>
      <c r="F10" s="19"/>
      <c r="G10" s="264"/>
    </row>
    <row r="11" spans="1:7" x14ac:dyDescent="0.35">
      <c r="A11" s="263">
        <v>1</v>
      </c>
      <c r="B11" s="478">
        <f>'Stmnt BD - Recorded KWH'!B12</f>
        <v>44835</v>
      </c>
      <c r="C11" s="19">
        <f>'WP 5 CAISO Charges'!C10</f>
        <v>-3234865.98</v>
      </c>
      <c r="D11" s="19">
        <v>0</v>
      </c>
      <c r="E11" s="19">
        <f>C11+D11</f>
        <v>-3234865.98</v>
      </c>
      <c r="F11" s="23" t="s">
        <v>406</v>
      </c>
      <c r="G11" s="264">
        <v>1</v>
      </c>
    </row>
    <row r="12" spans="1:7" x14ac:dyDescent="0.35">
      <c r="A12" s="263">
        <f>A11+1</f>
        <v>2</v>
      </c>
      <c r="B12" s="10"/>
      <c r="C12" s="19"/>
      <c r="D12" s="19"/>
      <c r="E12" s="19"/>
      <c r="F12" s="10"/>
      <c r="G12" s="264">
        <f>G11+1</f>
        <v>2</v>
      </c>
    </row>
    <row r="13" spans="1:7" x14ac:dyDescent="0.35">
      <c r="A13" s="263">
        <f t="shared" ref="A13:A37" si="0">A12+1</f>
        <v>3</v>
      </c>
      <c r="B13" s="478">
        <f>'Stmnt BD - Recorded KWH'!B13</f>
        <v>44866</v>
      </c>
      <c r="C13" s="31">
        <f>'WP 5 CAISO Charges'!D10</f>
        <v>-2097227.48</v>
      </c>
      <c r="D13" s="31">
        <v>0</v>
      </c>
      <c r="E13" s="31">
        <f t="shared" ref="E13:E33" si="1">C13+D13</f>
        <v>-2097227.48</v>
      </c>
      <c r="F13" s="23" t="str">
        <f>F11</f>
        <v>Work paper No. 5; Page 5.1 and 5.2; Line 4</v>
      </c>
      <c r="G13" s="264">
        <f t="shared" ref="G13:G37" si="2">G12+1</f>
        <v>3</v>
      </c>
    </row>
    <row r="14" spans="1:7" x14ac:dyDescent="0.35">
      <c r="A14" s="263">
        <f t="shared" si="0"/>
        <v>4</v>
      </c>
      <c r="B14" s="10"/>
      <c r="C14" s="31"/>
      <c r="D14" s="31"/>
      <c r="E14" s="31"/>
      <c r="F14" s="10"/>
      <c r="G14" s="264">
        <f t="shared" si="2"/>
        <v>4</v>
      </c>
    </row>
    <row r="15" spans="1:7" ht="16" thickBot="1" x14ac:dyDescent="0.4">
      <c r="A15" s="301">
        <f t="shared" si="0"/>
        <v>5</v>
      </c>
      <c r="B15" s="650">
        <f>'Stmnt BD - Recorded KWH'!B14</f>
        <v>44896</v>
      </c>
      <c r="C15" s="58">
        <f>'WP 5 CAISO Charges'!E10</f>
        <v>-1113675.69</v>
      </c>
      <c r="D15" s="58">
        <v>0</v>
      </c>
      <c r="E15" s="58">
        <f t="shared" si="1"/>
        <v>-1113675.69</v>
      </c>
      <c r="F15" s="651" t="str">
        <f>F11</f>
        <v>Work paper No. 5; Page 5.1 and 5.2; Line 4</v>
      </c>
      <c r="G15" s="302">
        <f t="shared" si="2"/>
        <v>5</v>
      </c>
    </row>
    <row r="16" spans="1:7" x14ac:dyDescent="0.35">
      <c r="A16" s="263">
        <f t="shared" si="0"/>
        <v>6</v>
      </c>
      <c r="B16" s="478"/>
      <c r="C16" s="31"/>
      <c r="D16" s="31"/>
      <c r="E16" s="31"/>
      <c r="F16" s="23"/>
      <c r="G16" s="264">
        <f t="shared" si="2"/>
        <v>6</v>
      </c>
    </row>
    <row r="17" spans="1:7" x14ac:dyDescent="0.35">
      <c r="A17" s="263">
        <f t="shared" si="0"/>
        <v>7</v>
      </c>
      <c r="B17" s="478">
        <f>'Stmnt BD - Recorded KWH'!B15</f>
        <v>44927</v>
      </c>
      <c r="C17" s="31">
        <f>'WP 5 CAISO Charges'!F10</f>
        <v>-873321.92</v>
      </c>
      <c r="D17" s="31">
        <v>0</v>
      </c>
      <c r="E17" s="31">
        <f t="shared" si="1"/>
        <v>-873321.92</v>
      </c>
      <c r="F17" s="23" t="str">
        <f>F11</f>
        <v>Work paper No. 5; Page 5.1 and 5.2; Line 4</v>
      </c>
      <c r="G17" s="264">
        <f t="shared" si="2"/>
        <v>7</v>
      </c>
    </row>
    <row r="18" spans="1:7" x14ac:dyDescent="0.35">
      <c r="A18" s="263">
        <f t="shared" si="0"/>
        <v>8</v>
      </c>
      <c r="B18" s="10"/>
      <c r="C18" s="19"/>
      <c r="D18" s="19"/>
      <c r="E18" s="31"/>
      <c r="F18" s="10"/>
      <c r="G18" s="264">
        <f t="shared" si="2"/>
        <v>8</v>
      </c>
    </row>
    <row r="19" spans="1:7" x14ac:dyDescent="0.35">
      <c r="A19" s="263">
        <f t="shared" si="0"/>
        <v>9</v>
      </c>
      <c r="B19" s="478">
        <f>'Stmnt BD - Recorded KWH'!B16</f>
        <v>44958</v>
      </c>
      <c r="C19" s="31">
        <f>'WP 5 CAISO Charges'!G10</f>
        <v>-2799324.31</v>
      </c>
      <c r="D19" s="31">
        <v>0</v>
      </c>
      <c r="E19" s="31">
        <f t="shared" si="1"/>
        <v>-2799324.31</v>
      </c>
      <c r="F19" s="23" t="str">
        <f>F11</f>
        <v>Work paper No. 5; Page 5.1 and 5.2; Line 4</v>
      </c>
      <c r="G19" s="264">
        <f t="shared" si="2"/>
        <v>9</v>
      </c>
    </row>
    <row r="20" spans="1:7" x14ac:dyDescent="0.35">
      <c r="A20" s="263">
        <f t="shared" si="0"/>
        <v>10</v>
      </c>
      <c r="B20" s="10"/>
      <c r="C20" s="31"/>
      <c r="D20" s="31"/>
      <c r="E20" s="31"/>
      <c r="F20" s="10"/>
      <c r="G20" s="264">
        <f t="shared" si="2"/>
        <v>10</v>
      </c>
    </row>
    <row r="21" spans="1:7" ht="16" thickBot="1" x14ac:dyDescent="0.4">
      <c r="A21" s="301">
        <f t="shared" si="0"/>
        <v>11</v>
      </c>
      <c r="B21" s="650">
        <f>'Stmnt BD - Recorded KWH'!B17</f>
        <v>44986</v>
      </c>
      <c r="C21" s="58">
        <f>'WP 5 CAISO Charges'!H10</f>
        <v>-1962697.9800000002</v>
      </c>
      <c r="D21" s="58">
        <v>0</v>
      </c>
      <c r="E21" s="58">
        <f t="shared" si="1"/>
        <v>-1962697.9800000002</v>
      </c>
      <c r="F21" s="651" t="str">
        <f>F11</f>
        <v>Work paper No. 5; Page 5.1 and 5.2; Line 4</v>
      </c>
      <c r="G21" s="302">
        <f t="shared" si="2"/>
        <v>11</v>
      </c>
    </row>
    <row r="22" spans="1:7" x14ac:dyDescent="0.35">
      <c r="A22" s="263">
        <f t="shared" si="0"/>
        <v>12</v>
      </c>
      <c r="B22" s="10"/>
      <c r="C22" s="31"/>
      <c r="D22" s="31"/>
      <c r="E22" s="31"/>
      <c r="F22" s="10"/>
      <c r="G22" s="264">
        <f t="shared" si="2"/>
        <v>12</v>
      </c>
    </row>
    <row r="23" spans="1:7" x14ac:dyDescent="0.35">
      <c r="A23" s="263">
        <f t="shared" si="0"/>
        <v>13</v>
      </c>
      <c r="B23" s="478">
        <f>'Stmnt BD - Recorded KWH'!B18</f>
        <v>45017</v>
      </c>
      <c r="C23" s="31">
        <f>'WP 5 CAISO Charges'!I10</f>
        <v>-1543415.99</v>
      </c>
      <c r="D23" s="31">
        <v>0</v>
      </c>
      <c r="E23" s="31">
        <f t="shared" si="1"/>
        <v>-1543415.99</v>
      </c>
      <c r="F23" s="23" t="str">
        <f>F11</f>
        <v>Work paper No. 5; Page 5.1 and 5.2; Line 4</v>
      </c>
      <c r="G23" s="264">
        <f t="shared" si="2"/>
        <v>13</v>
      </c>
    </row>
    <row r="24" spans="1:7" x14ac:dyDescent="0.35">
      <c r="A24" s="263">
        <f t="shared" si="0"/>
        <v>14</v>
      </c>
      <c r="B24" s="10"/>
      <c r="C24" s="19"/>
      <c r="D24" s="19"/>
      <c r="E24" s="31"/>
      <c r="F24" s="10"/>
      <c r="G24" s="264">
        <f t="shared" si="2"/>
        <v>14</v>
      </c>
    </row>
    <row r="25" spans="1:7" x14ac:dyDescent="0.35">
      <c r="A25" s="263">
        <f t="shared" si="0"/>
        <v>15</v>
      </c>
      <c r="B25" s="478">
        <f>'Stmnt BD - Recorded KWH'!B19</f>
        <v>45047</v>
      </c>
      <c r="C25" s="31">
        <f>'WP 5 CAISO Charges'!J10</f>
        <v>-4467774.07</v>
      </c>
      <c r="D25" s="31">
        <v>0</v>
      </c>
      <c r="E25" s="31">
        <f t="shared" si="1"/>
        <v>-4467774.07</v>
      </c>
      <c r="F25" s="23" t="str">
        <f>F11</f>
        <v>Work paper No. 5; Page 5.1 and 5.2; Line 4</v>
      </c>
      <c r="G25" s="264">
        <f t="shared" si="2"/>
        <v>15</v>
      </c>
    </row>
    <row r="26" spans="1:7" x14ac:dyDescent="0.35">
      <c r="A26" s="263">
        <f t="shared" si="0"/>
        <v>16</v>
      </c>
      <c r="B26" s="10"/>
      <c r="C26" s="31"/>
      <c r="D26" s="31"/>
      <c r="E26" s="31"/>
      <c r="F26" s="10"/>
      <c r="G26" s="264">
        <f t="shared" si="2"/>
        <v>16</v>
      </c>
    </row>
    <row r="27" spans="1:7" ht="16" thickBot="1" x14ac:dyDescent="0.4">
      <c r="A27" s="301">
        <f t="shared" si="0"/>
        <v>17</v>
      </c>
      <c r="B27" s="650">
        <f>'Stmnt BD - Recorded KWH'!B20</f>
        <v>45078</v>
      </c>
      <c r="C27" s="58">
        <f>'WP 5 CAISO Charges'!K10</f>
        <v>-3378805.02</v>
      </c>
      <c r="D27" s="58">
        <v>0</v>
      </c>
      <c r="E27" s="58">
        <f t="shared" si="1"/>
        <v>-3378805.02</v>
      </c>
      <c r="F27" s="651" t="str">
        <f>F11</f>
        <v>Work paper No. 5; Page 5.1 and 5.2; Line 4</v>
      </c>
      <c r="G27" s="302">
        <f t="shared" si="2"/>
        <v>17</v>
      </c>
    </row>
    <row r="28" spans="1:7" x14ac:dyDescent="0.35">
      <c r="A28" s="263">
        <f t="shared" si="0"/>
        <v>18</v>
      </c>
      <c r="B28" s="10"/>
      <c r="C28" s="31"/>
      <c r="D28" s="31"/>
      <c r="E28" s="31"/>
      <c r="F28" s="10"/>
      <c r="G28" s="264">
        <f t="shared" si="2"/>
        <v>18</v>
      </c>
    </row>
    <row r="29" spans="1:7" x14ac:dyDescent="0.35">
      <c r="A29" s="263">
        <f t="shared" si="0"/>
        <v>19</v>
      </c>
      <c r="B29" s="478">
        <f>'Stmnt BD - Recorded KWH'!B21</f>
        <v>45108</v>
      </c>
      <c r="C29" s="31">
        <f>'WP 5 CAISO Charges'!L10</f>
        <v>-2589702.9900000002</v>
      </c>
      <c r="D29" s="31">
        <v>0</v>
      </c>
      <c r="E29" s="31">
        <f t="shared" si="1"/>
        <v>-2589702.9900000002</v>
      </c>
      <c r="F29" s="23" t="str">
        <f>F11</f>
        <v>Work paper No. 5; Page 5.1 and 5.2; Line 4</v>
      </c>
      <c r="G29" s="264">
        <f t="shared" si="2"/>
        <v>19</v>
      </c>
    </row>
    <row r="30" spans="1:7" x14ac:dyDescent="0.35">
      <c r="A30" s="263">
        <f t="shared" si="0"/>
        <v>20</v>
      </c>
      <c r="B30" s="10"/>
      <c r="C30" s="19"/>
      <c r="D30" s="19"/>
      <c r="E30" s="31"/>
      <c r="F30" s="10"/>
      <c r="G30" s="264">
        <f t="shared" si="2"/>
        <v>20</v>
      </c>
    </row>
    <row r="31" spans="1:7" x14ac:dyDescent="0.35">
      <c r="A31" s="263">
        <f t="shared" si="0"/>
        <v>21</v>
      </c>
      <c r="B31" s="478">
        <f>'Stmnt BD - Recorded KWH'!B22</f>
        <v>45139</v>
      </c>
      <c r="C31" s="31">
        <f>'WP 5 CAISO Charges'!M10</f>
        <v>-7472275.3600000003</v>
      </c>
      <c r="D31" s="31">
        <v>0</v>
      </c>
      <c r="E31" s="31">
        <f t="shared" si="1"/>
        <v>-7472275.3600000003</v>
      </c>
      <c r="F31" s="23" t="str">
        <f>F11</f>
        <v>Work paper No. 5; Page 5.1 and 5.2; Line 4</v>
      </c>
      <c r="G31" s="264">
        <f t="shared" si="2"/>
        <v>21</v>
      </c>
    </row>
    <row r="32" spans="1:7" x14ac:dyDescent="0.35">
      <c r="A32" s="263">
        <f t="shared" si="0"/>
        <v>22</v>
      </c>
      <c r="B32" s="10"/>
      <c r="C32" s="31"/>
      <c r="D32" s="31"/>
      <c r="E32" s="31"/>
      <c r="F32" s="10"/>
      <c r="G32" s="264">
        <f t="shared" si="2"/>
        <v>22</v>
      </c>
    </row>
    <row r="33" spans="1:7" ht="16" thickBot="1" x14ac:dyDescent="0.4">
      <c r="A33" s="301">
        <f t="shared" si="0"/>
        <v>23</v>
      </c>
      <c r="B33" s="650">
        <f>'Stmnt BD - Recorded KWH'!B23</f>
        <v>45170</v>
      </c>
      <c r="C33" s="58">
        <f>'WP 5 CAISO Charges'!N10</f>
        <v>-5182129.5</v>
      </c>
      <c r="D33" s="58">
        <v>0</v>
      </c>
      <c r="E33" s="82">
        <f t="shared" si="1"/>
        <v>-5182129.5</v>
      </c>
      <c r="F33" s="651" t="str">
        <f>F11</f>
        <v>Work paper No. 5; Page 5.1 and 5.2; Line 4</v>
      </c>
      <c r="G33" s="302">
        <f t="shared" si="2"/>
        <v>23</v>
      </c>
    </row>
    <row r="34" spans="1:7" x14ac:dyDescent="0.35">
      <c r="A34" s="263">
        <f t="shared" si="0"/>
        <v>24</v>
      </c>
      <c r="B34" s="10"/>
      <c r="C34" s="19"/>
      <c r="D34" s="19"/>
      <c r="E34" s="19"/>
      <c r="F34" s="10"/>
      <c r="G34" s="264">
        <f t="shared" si="2"/>
        <v>24</v>
      </c>
    </row>
    <row r="35" spans="1:7" ht="16" thickBot="1" x14ac:dyDescent="0.4">
      <c r="A35" s="263">
        <f t="shared" si="0"/>
        <v>25</v>
      </c>
      <c r="B35" s="75" t="s">
        <v>407</v>
      </c>
      <c r="C35" s="73">
        <f>SUM(C11:C33)</f>
        <v>-36715216.289999999</v>
      </c>
      <c r="D35" s="529">
        <f>SUM(D11:D33)</f>
        <v>0</v>
      </c>
      <c r="E35" s="73">
        <f>SUM(E11:E33)</f>
        <v>-36715216.289999999</v>
      </c>
      <c r="F35" s="29" t="s">
        <v>408</v>
      </c>
      <c r="G35" s="264">
        <f t="shared" si="2"/>
        <v>25</v>
      </c>
    </row>
    <row r="36" spans="1:7" ht="16" thickTop="1" x14ac:dyDescent="0.35">
      <c r="A36" s="263">
        <f t="shared" si="0"/>
        <v>26</v>
      </c>
      <c r="B36" s="75"/>
      <c r="C36" s="793"/>
      <c r="D36" s="661"/>
      <c r="E36" s="641"/>
      <c r="F36" s="23"/>
      <c r="G36" s="264">
        <f t="shared" si="2"/>
        <v>26</v>
      </c>
    </row>
    <row r="37" spans="1:7" ht="16" thickBot="1" x14ac:dyDescent="0.4">
      <c r="A37" s="263">
        <f t="shared" si="0"/>
        <v>27</v>
      </c>
      <c r="B37" s="75" t="s">
        <v>409</v>
      </c>
      <c r="C37" s="154">
        <f>C35</f>
        <v>-36715216.289999999</v>
      </c>
      <c r="D37" s="73">
        <f>D35</f>
        <v>0</v>
      </c>
      <c r="E37" s="660">
        <f>E35</f>
        <v>-36715216.289999999</v>
      </c>
      <c r="F37" s="29" t="s">
        <v>410</v>
      </c>
      <c r="G37" s="264">
        <f t="shared" si="2"/>
        <v>27</v>
      </c>
    </row>
    <row r="38" spans="1:7" ht="16.5" thickTop="1" thickBot="1" x14ac:dyDescent="0.4">
      <c r="A38" s="301">
        <f>A37+1</f>
        <v>28</v>
      </c>
      <c r="B38" s="561"/>
      <c r="C38" s="662"/>
      <c r="D38" s="652"/>
      <c r="E38" s="653"/>
      <c r="F38" s="57"/>
      <c r="G38" s="302">
        <f>G37+1</f>
        <v>28</v>
      </c>
    </row>
    <row r="39" spans="1:7" hidden="1" x14ac:dyDescent="0.35">
      <c r="A39" s="10"/>
      <c r="B39" s="22"/>
      <c r="G39" s="10"/>
    </row>
    <row r="40" spans="1:7" ht="16" hidden="1" thickBot="1" x14ac:dyDescent="0.4">
      <c r="A40" s="57"/>
      <c r="B40" s="80"/>
      <c r="C40" s="80"/>
      <c r="D40" s="80"/>
      <c r="E40" s="604"/>
      <c r="F40" s="80"/>
      <c r="G40" s="57"/>
    </row>
    <row r="41" spans="1:7" x14ac:dyDescent="0.35">
      <c r="A41" s="37"/>
      <c r="B41" s="156"/>
      <c r="C41" s="654"/>
      <c r="D41" s="654"/>
      <c r="E41" s="37"/>
      <c r="F41" s="37"/>
      <c r="G41" s="37"/>
    </row>
    <row r="42" spans="1:7" x14ac:dyDescent="0.35">
      <c r="A42" s="37"/>
      <c r="B42" s="68"/>
      <c r="C42" s="90"/>
      <c r="D42" s="90"/>
      <c r="E42" s="90"/>
      <c r="F42" s="37"/>
      <c r="G42" s="37"/>
    </row>
    <row r="43" spans="1:7" x14ac:dyDescent="0.35">
      <c r="A43" s="37"/>
      <c r="C43" s="72"/>
      <c r="D43" s="72"/>
      <c r="E43" s="37"/>
      <c r="F43" s="37"/>
      <c r="G43" s="37"/>
    </row>
    <row r="44" spans="1:7" x14ac:dyDescent="0.35">
      <c r="A44" s="37"/>
      <c r="C44" s="28"/>
      <c r="D44" s="435"/>
      <c r="E44" s="37"/>
      <c r="F44" s="37"/>
      <c r="G44" s="37"/>
    </row>
    <row r="45" spans="1:7" x14ac:dyDescent="0.35">
      <c r="A45" s="37"/>
      <c r="C45" s="72"/>
      <c r="D45" s="90"/>
      <c r="E45" s="37"/>
      <c r="F45" s="37"/>
      <c r="G45" s="37"/>
    </row>
    <row r="46" spans="1:7" x14ac:dyDescent="0.35">
      <c r="A46" s="37"/>
      <c r="C46" s="435"/>
      <c r="D46" s="435"/>
      <c r="E46" s="37"/>
      <c r="F46" s="37"/>
      <c r="G46" s="37"/>
    </row>
    <row r="47" spans="1:7" x14ac:dyDescent="0.35">
      <c r="A47" s="37"/>
      <c r="B47" s="68"/>
      <c r="C47" s="37"/>
      <c r="D47" s="37"/>
      <c r="E47" s="37"/>
      <c r="F47" s="37"/>
      <c r="G47" s="37"/>
    </row>
    <row r="48" spans="1:7" x14ac:dyDescent="0.35">
      <c r="A48" s="37"/>
      <c r="B48" s="68"/>
      <c r="C48" s="37"/>
      <c r="D48" s="37"/>
      <c r="E48" s="37"/>
      <c r="F48" s="37"/>
      <c r="G48" s="37"/>
    </row>
    <row r="49" spans="1:7" x14ac:dyDescent="0.35">
      <c r="A49" s="37"/>
      <c r="C49" s="655"/>
      <c r="D49" s="655"/>
      <c r="E49" s="37"/>
      <c r="F49" s="37"/>
      <c r="G49" s="37"/>
    </row>
    <row r="50" spans="1:7" x14ac:dyDescent="0.35">
      <c r="A50" s="37"/>
      <c r="C50" s="656"/>
      <c r="D50" s="656"/>
      <c r="E50" s="37"/>
      <c r="F50" s="37"/>
      <c r="G50" s="37"/>
    </row>
    <row r="51" spans="1:7" x14ac:dyDescent="0.35">
      <c r="A51" s="37"/>
      <c r="C51" s="657"/>
      <c r="D51" s="657"/>
      <c r="E51" s="37"/>
      <c r="F51" s="37"/>
      <c r="G51" s="37"/>
    </row>
    <row r="52" spans="1:7" x14ac:dyDescent="0.35">
      <c r="A52" s="37"/>
      <c r="B52" s="68"/>
      <c r="C52" s="435"/>
      <c r="D52" s="435"/>
      <c r="E52" s="37"/>
      <c r="F52" s="37"/>
      <c r="G52" s="37"/>
    </row>
    <row r="53" spans="1:7" x14ac:dyDescent="0.35">
      <c r="A53" s="37"/>
      <c r="B53" s="68"/>
      <c r="C53" s="37"/>
      <c r="D53" s="37"/>
      <c r="E53" s="37"/>
      <c r="F53" s="37"/>
      <c r="G53" s="37"/>
    </row>
    <row r="54" spans="1:7" x14ac:dyDescent="0.35">
      <c r="A54" s="37"/>
      <c r="C54" s="655"/>
      <c r="D54" s="655"/>
      <c r="E54" s="37"/>
      <c r="F54" s="37"/>
      <c r="G54" s="37"/>
    </row>
    <row r="55" spans="1:7" x14ac:dyDescent="0.35">
      <c r="A55" s="37"/>
      <c r="C55" s="656"/>
      <c r="D55" s="656"/>
      <c r="E55" s="37"/>
      <c r="F55" s="37"/>
      <c r="G55" s="37"/>
    </row>
    <row r="56" spans="1:7" x14ac:dyDescent="0.35">
      <c r="A56" s="37"/>
      <c r="C56" s="657"/>
      <c r="D56" s="657"/>
      <c r="E56" s="37"/>
      <c r="F56" s="37"/>
      <c r="G56" s="37"/>
    </row>
    <row r="57" spans="1:7" x14ac:dyDescent="0.35">
      <c r="A57" s="37"/>
      <c r="B57" s="68"/>
      <c r="C57" s="435"/>
      <c r="D57" s="435"/>
      <c r="E57" s="37"/>
      <c r="F57" s="37"/>
      <c r="G57" s="37"/>
    </row>
    <row r="58" spans="1:7" x14ac:dyDescent="0.35">
      <c r="A58" s="37"/>
      <c r="B58" s="68"/>
      <c r="C58" s="435"/>
      <c r="D58" s="435"/>
      <c r="E58" s="37"/>
      <c r="F58" s="37"/>
      <c r="G58" s="37"/>
    </row>
    <row r="59" spans="1:7" x14ac:dyDescent="0.35">
      <c r="A59" s="37"/>
      <c r="B59" s="68"/>
      <c r="C59" s="658"/>
      <c r="D59" s="658"/>
      <c r="E59" s="37"/>
      <c r="F59" s="37"/>
      <c r="G59" s="37"/>
    </row>
    <row r="60" spans="1:7" x14ac:dyDescent="0.35">
      <c r="A60" s="37"/>
      <c r="E60" s="37"/>
      <c r="F60" s="37"/>
      <c r="G60" s="37"/>
    </row>
    <row r="61" spans="1:7" x14ac:dyDescent="0.35">
      <c r="A61" s="37"/>
      <c r="B61" s="22"/>
      <c r="G61" s="37"/>
    </row>
    <row r="62" spans="1:7" x14ac:dyDescent="0.35">
      <c r="A62" s="37"/>
      <c r="B62" s="22"/>
      <c r="E62" s="90"/>
      <c r="G62" s="37"/>
    </row>
    <row r="63" spans="1:7" x14ac:dyDescent="0.35">
      <c r="A63" s="37"/>
      <c r="B63" s="156"/>
      <c r="E63" s="37"/>
      <c r="F63" s="37"/>
      <c r="G63" s="37"/>
    </row>
    <row r="64" spans="1:7" x14ac:dyDescent="0.35">
      <c r="A64" s="37"/>
      <c r="D64" s="659"/>
      <c r="E64" s="37"/>
      <c r="F64" s="37"/>
      <c r="G64" s="37"/>
    </row>
    <row r="65" spans="1:7" x14ac:dyDescent="0.35">
      <c r="A65" s="37"/>
      <c r="B65" s="92"/>
      <c r="E65" s="90"/>
      <c r="F65" s="37"/>
      <c r="G65" s="37"/>
    </row>
    <row r="66" spans="1:7" x14ac:dyDescent="0.35">
      <c r="A66" s="37"/>
      <c r="B66" s="156"/>
      <c r="C66" s="654"/>
      <c r="D66" s="654"/>
      <c r="E66" s="37"/>
      <c r="F66" s="37"/>
      <c r="G66" s="37"/>
    </row>
    <row r="67" spans="1:7" x14ac:dyDescent="0.35">
      <c r="A67" s="37"/>
      <c r="B67" s="68"/>
      <c r="C67" s="90"/>
      <c r="D67" s="90"/>
      <c r="E67" s="37"/>
      <c r="F67" s="37"/>
      <c r="G67" s="37"/>
    </row>
    <row r="68" spans="1:7" x14ac:dyDescent="0.35">
      <c r="A68" s="37"/>
      <c r="C68" s="72"/>
      <c r="D68" s="72"/>
      <c r="E68" s="37"/>
      <c r="F68" s="37"/>
      <c r="G68" s="37"/>
    </row>
    <row r="69" spans="1:7" x14ac:dyDescent="0.35">
      <c r="A69" s="37"/>
      <c r="C69" s="28"/>
      <c r="D69" s="435"/>
      <c r="E69" s="37"/>
      <c r="F69" s="37"/>
      <c r="G69" s="37"/>
    </row>
    <row r="70" spans="1:7" x14ac:dyDescent="0.35">
      <c r="A70" s="37"/>
      <c r="C70" s="72"/>
      <c r="D70" s="90"/>
      <c r="E70" s="37"/>
      <c r="F70" s="37"/>
      <c r="G70" s="37"/>
    </row>
    <row r="71" spans="1:7" x14ac:dyDescent="0.35">
      <c r="A71" s="37"/>
      <c r="C71" s="435"/>
      <c r="D71" s="435"/>
      <c r="E71" s="37"/>
      <c r="F71" s="37"/>
      <c r="G71" s="37"/>
    </row>
    <row r="72" spans="1:7" x14ac:dyDescent="0.35">
      <c r="A72" s="37"/>
      <c r="B72" s="68"/>
      <c r="C72" s="37"/>
      <c r="D72" s="37"/>
      <c r="E72" s="37"/>
      <c r="F72" s="37"/>
      <c r="G72" s="37"/>
    </row>
    <row r="73" spans="1:7" x14ac:dyDescent="0.35">
      <c r="A73" s="37"/>
      <c r="B73" s="68"/>
      <c r="C73" s="37"/>
      <c r="D73" s="37"/>
      <c r="E73" s="37"/>
      <c r="F73" s="37"/>
      <c r="G73" s="37"/>
    </row>
    <row r="74" spans="1:7" x14ac:dyDescent="0.35">
      <c r="A74" s="37"/>
      <c r="C74" s="655"/>
      <c r="D74" s="655"/>
      <c r="E74" s="37"/>
      <c r="F74" s="37"/>
      <c r="G74" s="37"/>
    </row>
    <row r="75" spans="1:7" x14ac:dyDescent="0.35">
      <c r="A75" s="37"/>
      <c r="C75" s="656"/>
      <c r="D75" s="656"/>
      <c r="E75" s="37"/>
      <c r="F75" s="37"/>
      <c r="G75" s="37"/>
    </row>
    <row r="76" spans="1:7" x14ac:dyDescent="0.35">
      <c r="A76" s="37"/>
      <c r="C76" s="657"/>
      <c r="D76" s="657"/>
      <c r="E76" s="37"/>
      <c r="F76" s="37"/>
      <c r="G76" s="37"/>
    </row>
    <row r="77" spans="1:7" x14ac:dyDescent="0.35">
      <c r="A77" s="37"/>
      <c r="B77" s="68"/>
      <c r="C77" s="435"/>
      <c r="D77" s="435"/>
      <c r="E77" s="37"/>
      <c r="F77" s="37"/>
      <c r="G77" s="37"/>
    </row>
    <row r="78" spans="1:7" x14ac:dyDescent="0.35">
      <c r="A78" s="37"/>
      <c r="B78" s="68"/>
      <c r="C78" s="37"/>
      <c r="D78" s="37"/>
      <c r="E78" s="37"/>
      <c r="F78" s="37"/>
      <c r="G78" s="37"/>
    </row>
    <row r="79" spans="1:7" x14ac:dyDescent="0.35">
      <c r="A79" s="37"/>
      <c r="C79" s="655"/>
      <c r="D79" s="655"/>
      <c r="E79" s="37"/>
      <c r="F79" s="37"/>
      <c r="G79" s="37"/>
    </row>
    <row r="80" spans="1:7" x14ac:dyDescent="0.35">
      <c r="A80" s="37"/>
      <c r="C80" s="656"/>
      <c r="D80" s="656"/>
      <c r="E80" s="37"/>
      <c r="F80" s="37"/>
      <c r="G80" s="37"/>
    </row>
    <row r="81" spans="1:7" x14ac:dyDescent="0.35">
      <c r="A81" s="37"/>
      <c r="C81" s="657"/>
      <c r="D81" s="657"/>
      <c r="E81" s="37"/>
      <c r="F81" s="37"/>
      <c r="G81" s="37"/>
    </row>
    <row r="82" spans="1:7" x14ac:dyDescent="0.35">
      <c r="A82" s="37"/>
      <c r="B82" s="68"/>
      <c r="C82" s="435"/>
      <c r="D82" s="435"/>
      <c r="E82" s="37"/>
      <c r="F82" s="37"/>
      <c r="G82" s="37"/>
    </row>
    <row r="83" spans="1:7" x14ac:dyDescent="0.35">
      <c r="A83" s="37"/>
      <c r="B83" s="68"/>
      <c r="C83" s="435"/>
      <c r="D83" s="435"/>
      <c r="E83" s="37"/>
      <c r="F83" s="37"/>
      <c r="G83" s="37"/>
    </row>
    <row r="84" spans="1:7" x14ac:dyDescent="0.35">
      <c r="A84" s="37"/>
      <c r="B84" s="68"/>
      <c r="C84" s="658"/>
      <c r="D84" s="658"/>
      <c r="E84" s="37"/>
      <c r="F84" s="37"/>
      <c r="G84" s="37"/>
    </row>
    <row r="85" spans="1:7" x14ac:dyDescent="0.35">
      <c r="A85" s="37"/>
      <c r="E85" s="37"/>
      <c r="F85" s="37"/>
      <c r="G85" s="37"/>
    </row>
  </sheetData>
  <mergeCells count="1">
    <mergeCell ref="A3:G3"/>
  </mergeCells>
  <phoneticPr fontId="15" type="noConversion"/>
  <printOptions horizontalCentered="1"/>
  <pageMargins left="0.5" right="0.5" top="0.5" bottom="0.5" header="0.25" footer="0.25"/>
  <pageSetup scale="86" orientation="landscape" r:id="rId1"/>
  <headerFooter alignWithMargins="0">
    <oddFooter>&amp;L&amp;"Times New Roman,Regular"&amp;12&amp;F&amp;C&amp;"Times New Roman,Regular"&amp;12Page 7.1&amp;R&amp;"Times New Roman,Regular"&amp;12&amp;A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2:G43"/>
  <sheetViews>
    <sheetView zoomScale="80" zoomScaleNormal="80" workbookViewId="0"/>
  </sheetViews>
  <sheetFormatPr defaultColWidth="9.453125" defaultRowHeight="15.5" x14ac:dyDescent="0.35"/>
  <cols>
    <col min="1" max="1" width="5.54296875" style="107" customWidth="1"/>
    <col min="2" max="2" width="55.1796875" style="111" customWidth="1"/>
    <col min="3" max="3" width="25.54296875" style="112" customWidth="1"/>
    <col min="4" max="4" width="46.90625" style="107" customWidth="1"/>
    <col min="5" max="5" width="5.54296875" style="107" customWidth="1"/>
    <col min="6" max="6" width="2.453125" style="107" bestFit="1" customWidth="1"/>
    <col min="7" max="16384" width="9.453125" style="107"/>
  </cols>
  <sheetData>
    <row r="2" spans="1:7" ht="15.75" customHeight="1" x14ac:dyDescent="0.35">
      <c r="A2" s="976" t="s">
        <v>1</v>
      </c>
      <c r="B2" s="976"/>
      <c r="C2" s="976"/>
      <c r="D2" s="976"/>
      <c r="E2" s="976"/>
      <c r="F2" s="663"/>
      <c r="G2" s="663"/>
    </row>
    <row r="3" spans="1:7" ht="15.75" customHeight="1" x14ac:dyDescent="0.35">
      <c r="A3" s="976" t="str">
        <f>'WP 7 Wheeling Revenues'!A3:G3</f>
        <v>2024 - TRBAA Rate Filing</v>
      </c>
      <c r="B3" s="976"/>
      <c r="C3" s="976"/>
      <c r="D3" s="976"/>
      <c r="E3" s="976"/>
      <c r="F3" s="664"/>
      <c r="G3" s="664"/>
    </row>
    <row r="4" spans="1:7" ht="15.75" customHeight="1" x14ac:dyDescent="0.35">
      <c r="A4" s="976" t="s">
        <v>411</v>
      </c>
      <c r="B4" s="976"/>
      <c r="C4" s="976"/>
      <c r="D4" s="976"/>
      <c r="E4" s="976"/>
      <c r="F4" s="663"/>
      <c r="G4" s="663"/>
    </row>
    <row r="5" spans="1:7" ht="16.5" customHeight="1" thickBot="1" x14ac:dyDescent="0.4">
      <c r="A5" s="339"/>
      <c r="B5" s="665"/>
      <c r="C5" s="666"/>
      <c r="D5" s="666"/>
      <c r="E5" s="339"/>
    </row>
    <row r="6" spans="1:7" ht="45.5" thickBot="1" x14ac:dyDescent="0.4">
      <c r="A6" s="667" t="s">
        <v>69</v>
      </c>
      <c r="B6" s="338" t="s">
        <v>403</v>
      </c>
      <c r="C6" s="668" t="s">
        <v>412</v>
      </c>
      <c r="D6" s="593" t="s">
        <v>16</v>
      </c>
      <c r="E6" s="669" t="s">
        <v>69</v>
      </c>
    </row>
    <row r="7" spans="1:7" x14ac:dyDescent="0.35">
      <c r="A7" s="670"/>
      <c r="B7" s="792"/>
      <c r="C7" s="671"/>
      <c r="D7" s="10"/>
      <c r="E7" s="672"/>
    </row>
    <row r="8" spans="1:7" x14ac:dyDescent="0.35">
      <c r="A8" s="335">
        <v>1</v>
      </c>
      <c r="B8" s="108">
        <f>'WP 7 Wheeling Revenues'!B11</f>
        <v>44835</v>
      </c>
      <c r="C8" s="19">
        <f>'WP 5 CAISO Charges'!C13</f>
        <v>1500</v>
      </c>
      <c r="D8" s="23" t="s">
        <v>413</v>
      </c>
      <c r="E8" s="336">
        <v>1</v>
      </c>
      <c r="F8" s="788"/>
    </row>
    <row r="9" spans="1:7" x14ac:dyDescent="0.35">
      <c r="A9" s="335">
        <f>A8+1</f>
        <v>2</v>
      </c>
      <c r="B9" s="108"/>
      <c r="C9" s="19"/>
      <c r="D9" s="10"/>
      <c r="E9" s="336">
        <f>A9</f>
        <v>2</v>
      </c>
      <c r="F9" s="788"/>
    </row>
    <row r="10" spans="1:7" x14ac:dyDescent="0.35">
      <c r="A10" s="335">
        <f t="shared" ref="A10:A35" si="0">A9+1</f>
        <v>3</v>
      </c>
      <c r="B10" s="108">
        <f>'WP 7 Wheeling Revenues'!B13</f>
        <v>44866</v>
      </c>
      <c r="C10" s="31">
        <f>'WP 5 CAISO Charges'!D13</f>
        <v>1500</v>
      </c>
      <c r="D10" s="23" t="str">
        <f>D8</f>
        <v>Work paper No. 5; Page 5.1 and 5.2; Line 7</v>
      </c>
      <c r="E10" s="336">
        <f t="shared" ref="E10:E34" si="1">A10</f>
        <v>3</v>
      </c>
    </row>
    <row r="11" spans="1:7" x14ac:dyDescent="0.35">
      <c r="A11" s="335">
        <f t="shared" si="0"/>
        <v>4</v>
      </c>
      <c r="B11" s="108"/>
      <c r="C11" s="31"/>
      <c r="D11" s="10"/>
      <c r="E11" s="336">
        <f t="shared" si="1"/>
        <v>4</v>
      </c>
    </row>
    <row r="12" spans="1:7" ht="16" thickBot="1" x14ac:dyDescent="0.4">
      <c r="A12" s="337">
        <f t="shared" si="0"/>
        <v>5</v>
      </c>
      <c r="B12" s="109">
        <f>'WP 7 Wheeling Revenues'!B15</f>
        <v>44896</v>
      </c>
      <c r="C12" s="58">
        <f>'WP 5 CAISO Charges'!E13</f>
        <v>1500</v>
      </c>
      <c r="D12" s="651" t="str">
        <f>D8</f>
        <v>Work paper No. 5; Page 5.1 and 5.2; Line 7</v>
      </c>
      <c r="E12" s="340">
        <f t="shared" si="1"/>
        <v>5</v>
      </c>
    </row>
    <row r="13" spans="1:7" x14ac:dyDescent="0.35">
      <c r="A13" s="335">
        <f t="shared" si="0"/>
        <v>6</v>
      </c>
      <c r="B13" s="108"/>
      <c r="C13" s="31"/>
      <c r="D13" s="23"/>
      <c r="E13" s="336">
        <f t="shared" si="1"/>
        <v>6</v>
      </c>
    </row>
    <row r="14" spans="1:7" x14ac:dyDescent="0.35">
      <c r="A14" s="335">
        <f t="shared" si="0"/>
        <v>7</v>
      </c>
      <c r="B14" s="108">
        <f>'WP 7 Wheeling Revenues'!B17</f>
        <v>44927</v>
      </c>
      <c r="C14" s="31">
        <f>'WP 5 CAISO Charges'!F13</f>
        <v>1500</v>
      </c>
      <c r="D14" s="23" t="str">
        <f>D8</f>
        <v>Work paper No. 5; Page 5.1 and 5.2; Line 7</v>
      </c>
      <c r="E14" s="336">
        <f t="shared" si="1"/>
        <v>7</v>
      </c>
    </row>
    <row r="15" spans="1:7" x14ac:dyDescent="0.35">
      <c r="A15" s="335">
        <f t="shared" si="0"/>
        <v>8</v>
      </c>
      <c r="B15" s="108"/>
      <c r="C15" s="31"/>
      <c r="D15" s="10"/>
      <c r="E15" s="336">
        <f t="shared" si="1"/>
        <v>8</v>
      </c>
    </row>
    <row r="16" spans="1:7" x14ac:dyDescent="0.35">
      <c r="A16" s="335">
        <f t="shared" si="0"/>
        <v>9</v>
      </c>
      <c r="B16" s="108">
        <f>'WP 7 Wheeling Revenues'!B19</f>
        <v>44958</v>
      </c>
      <c r="C16" s="31">
        <f>'WP 5 CAISO Charges'!G13</f>
        <v>1500</v>
      </c>
      <c r="D16" s="23" t="str">
        <f>D8</f>
        <v>Work paper No. 5; Page 5.1 and 5.2; Line 7</v>
      </c>
      <c r="E16" s="336">
        <f t="shared" si="1"/>
        <v>9</v>
      </c>
    </row>
    <row r="17" spans="1:5" x14ac:dyDescent="0.35">
      <c r="A17" s="335">
        <f t="shared" si="0"/>
        <v>10</v>
      </c>
      <c r="B17" s="108"/>
      <c r="C17" s="31"/>
      <c r="D17" s="10"/>
      <c r="E17" s="336">
        <f t="shared" si="1"/>
        <v>10</v>
      </c>
    </row>
    <row r="18" spans="1:5" ht="16" thickBot="1" x14ac:dyDescent="0.4">
      <c r="A18" s="337">
        <f t="shared" si="0"/>
        <v>11</v>
      </c>
      <c r="B18" s="109">
        <f>'WP 7 Wheeling Revenues'!B21</f>
        <v>44986</v>
      </c>
      <c r="C18" s="58">
        <f>'WP 5 CAISO Charges'!H13</f>
        <v>1500</v>
      </c>
      <c r="D18" s="651" t="str">
        <f>D8</f>
        <v>Work paper No. 5; Page 5.1 and 5.2; Line 7</v>
      </c>
      <c r="E18" s="340">
        <f t="shared" si="1"/>
        <v>11</v>
      </c>
    </row>
    <row r="19" spans="1:5" x14ac:dyDescent="0.35">
      <c r="A19" s="335">
        <f t="shared" si="0"/>
        <v>12</v>
      </c>
      <c r="B19" s="108"/>
      <c r="C19" s="31"/>
      <c r="D19" s="10"/>
      <c r="E19" s="336">
        <f t="shared" si="1"/>
        <v>12</v>
      </c>
    </row>
    <row r="20" spans="1:5" x14ac:dyDescent="0.35">
      <c r="A20" s="335">
        <f t="shared" si="0"/>
        <v>13</v>
      </c>
      <c r="B20" s="108">
        <f>'WP 7 Wheeling Revenues'!B23</f>
        <v>45017</v>
      </c>
      <c r="C20" s="31">
        <f>'WP 5 CAISO Charges'!I13</f>
        <v>1500</v>
      </c>
      <c r="D20" s="23" t="str">
        <f>D8</f>
        <v>Work paper No. 5; Page 5.1 and 5.2; Line 7</v>
      </c>
      <c r="E20" s="336">
        <f t="shared" si="1"/>
        <v>13</v>
      </c>
    </row>
    <row r="21" spans="1:5" x14ac:dyDescent="0.35">
      <c r="A21" s="335">
        <f t="shared" si="0"/>
        <v>14</v>
      </c>
      <c r="B21" s="108"/>
      <c r="C21" s="31"/>
      <c r="D21" s="10"/>
      <c r="E21" s="336">
        <f t="shared" si="1"/>
        <v>14</v>
      </c>
    </row>
    <row r="22" spans="1:5" x14ac:dyDescent="0.35">
      <c r="A22" s="335">
        <f t="shared" si="0"/>
        <v>15</v>
      </c>
      <c r="B22" s="108">
        <f>'WP 7 Wheeling Revenues'!B25</f>
        <v>45047</v>
      </c>
      <c r="C22" s="31">
        <f>'WP 5 CAISO Charges'!J13</f>
        <v>1500</v>
      </c>
      <c r="D22" s="23" t="str">
        <f>D8</f>
        <v>Work paper No. 5; Page 5.1 and 5.2; Line 7</v>
      </c>
      <c r="E22" s="336">
        <f t="shared" si="1"/>
        <v>15</v>
      </c>
    </row>
    <row r="23" spans="1:5" x14ac:dyDescent="0.35">
      <c r="A23" s="335">
        <f t="shared" si="0"/>
        <v>16</v>
      </c>
      <c r="B23" s="108"/>
      <c r="C23" s="31"/>
      <c r="D23" s="10"/>
      <c r="E23" s="336">
        <f t="shared" si="1"/>
        <v>16</v>
      </c>
    </row>
    <row r="24" spans="1:5" ht="16" thickBot="1" x14ac:dyDescent="0.4">
      <c r="A24" s="337">
        <f t="shared" si="0"/>
        <v>17</v>
      </c>
      <c r="B24" s="109">
        <f>'WP 7 Wheeling Revenues'!B27</f>
        <v>45078</v>
      </c>
      <c r="C24" s="58">
        <f>'WP 5 CAISO Charges'!K13</f>
        <v>1500</v>
      </c>
      <c r="D24" s="651" t="str">
        <f>D8</f>
        <v>Work paper No. 5; Page 5.1 and 5.2; Line 7</v>
      </c>
      <c r="E24" s="340">
        <f t="shared" si="1"/>
        <v>17</v>
      </c>
    </row>
    <row r="25" spans="1:5" x14ac:dyDescent="0.35">
      <c r="A25" s="335">
        <f t="shared" si="0"/>
        <v>18</v>
      </c>
      <c r="B25" s="108"/>
      <c r="C25" s="31"/>
      <c r="D25" s="10"/>
      <c r="E25" s="336">
        <f t="shared" si="1"/>
        <v>18</v>
      </c>
    </row>
    <row r="26" spans="1:5" x14ac:dyDescent="0.35">
      <c r="A26" s="335">
        <f t="shared" si="0"/>
        <v>19</v>
      </c>
      <c r="B26" s="108">
        <f>'WP 7 Wheeling Revenues'!B29</f>
        <v>45108</v>
      </c>
      <c r="C26" s="31">
        <f>'WP 5 CAISO Charges'!L13</f>
        <v>1500</v>
      </c>
      <c r="D26" s="23" t="str">
        <f>D8</f>
        <v>Work paper No. 5; Page 5.1 and 5.2; Line 7</v>
      </c>
      <c r="E26" s="336">
        <f t="shared" si="1"/>
        <v>19</v>
      </c>
    </row>
    <row r="27" spans="1:5" x14ac:dyDescent="0.35">
      <c r="A27" s="335">
        <f t="shared" si="0"/>
        <v>20</v>
      </c>
      <c r="B27" s="108"/>
      <c r="C27" s="31"/>
      <c r="D27" s="10"/>
      <c r="E27" s="336">
        <f t="shared" si="1"/>
        <v>20</v>
      </c>
    </row>
    <row r="28" spans="1:5" x14ac:dyDescent="0.35">
      <c r="A28" s="335">
        <f t="shared" si="0"/>
        <v>21</v>
      </c>
      <c r="B28" s="108">
        <f>'WP 7 Wheeling Revenues'!B31</f>
        <v>45139</v>
      </c>
      <c r="C28" s="31">
        <f>'WP 5 CAISO Charges'!M13</f>
        <v>1500</v>
      </c>
      <c r="D28" s="23" t="str">
        <f>D8</f>
        <v>Work paper No. 5; Page 5.1 and 5.2; Line 7</v>
      </c>
      <c r="E28" s="336">
        <f t="shared" si="1"/>
        <v>21</v>
      </c>
    </row>
    <row r="29" spans="1:5" x14ac:dyDescent="0.35">
      <c r="A29" s="335">
        <f t="shared" si="0"/>
        <v>22</v>
      </c>
      <c r="B29" s="108"/>
      <c r="C29" s="31"/>
      <c r="D29" s="10"/>
      <c r="E29" s="336">
        <f t="shared" si="1"/>
        <v>22</v>
      </c>
    </row>
    <row r="30" spans="1:5" ht="16" thickBot="1" x14ac:dyDescent="0.4">
      <c r="A30" s="337">
        <f t="shared" si="0"/>
        <v>23</v>
      </c>
      <c r="B30" s="109">
        <f>'WP 7 Wheeling Revenues'!B33</f>
        <v>45170</v>
      </c>
      <c r="C30" s="82">
        <f>'WP 5 CAISO Charges'!N13</f>
        <v>1500</v>
      </c>
      <c r="D30" s="651" t="str">
        <f>D8</f>
        <v>Work paper No. 5; Page 5.1 and 5.2; Line 7</v>
      </c>
      <c r="E30" s="340">
        <f t="shared" si="1"/>
        <v>23</v>
      </c>
    </row>
    <row r="31" spans="1:5" x14ac:dyDescent="0.35">
      <c r="A31" s="335">
        <f t="shared" si="0"/>
        <v>24</v>
      </c>
      <c r="B31" s="108"/>
      <c r="C31" s="44"/>
      <c r="D31" s="23"/>
      <c r="E31" s="336">
        <f t="shared" si="1"/>
        <v>24</v>
      </c>
    </row>
    <row r="32" spans="1:5" ht="16" thickBot="1" x14ac:dyDescent="0.4">
      <c r="A32" s="335">
        <f t="shared" si="0"/>
        <v>25</v>
      </c>
      <c r="B32" s="132" t="s">
        <v>407</v>
      </c>
      <c r="C32" s="73">
        <f>SUM(C8:C30)</f>
        <v>18000</v>
      </c>
      <c r="D32" s="29" t="s">
        <v>408</v>
      </c>
      <c r="E32" s="336">
        <f t="shared" si="1"/>
        <v>25</v>
      </c>
    </row>
    <row r="33" spans="1:5" ht="16" thickTop="1" x14ac:dyDescent="0.35">
      <c r="A33" s="335">
        <f t="shared" si="0"/>
        <v>26</v>
      </c>
      <c r="B33" s="84"/>
      <c r="C33" s="161"/>
      <c r="E33" s="336">
        <f t="shared" si="1"/>
        <v>26</v>
      </c>
    </row>
    <row r="34" spans="1:5" ht="33" thickBot="1" x14ac:dyDescent="0.4">
      <c r="A34" s="673">
        <f t="shared" si="0"/>
        <v>27</v>
      </c>
      <c r="B34" s="674" t="s">
        <v>414</v>
      </c>
      <c r="C34" s="676">
        <f>C32</f>
        <v>18000</v>
      </c>
      <c r="D34" s="29" t="s">
        <v>410</v>
      </c>
      <c r="E34" s="675">
        <f t="shared" si="1"/>
        <v>27</v>
      </c>
    </row>
    <row r="35" spans="1:5" ht="16.5" thickTop="1" thickBot="1" x14ac:dyDescent="0.4">
      <c r="A35" s="337">
        <f t="shared" si="0"/>
        <v>28</v>
      </c>
      <c r="B35" s="363"/>
      <c r="C35" s="789"/>
      <c r="D35" s="249"/>
      <c r="E35" s="340">
        <f t="shared" ref="E35" si="2">E34+1</f>
        <v>28</v>
      </c>
    </row>
    <row r="36" spans="1:5" x14ac:dyDescent="0.35">
      <c r="B36" s="334"/>
      <c r="C36" s="72"/>
      <c r="D36" s="72"/>
    </row>
    <row r="37" spans="1:5" ht="20" x14ac:dyDescent="0.35">
      <c r="A37" s="164" t="s">
        <v>415</v>
      </c>
      <c r="B37" s="303" t="s">
        <v>416</v>
      </c>
      <c r="C37" s="107"/>
    </row>
    <row r="38" spans="1:5" x14ac:dyDescent="0.35">
      <c r="A38" s="37"/>
      <c r="B38" s="303" t="s">
        <v>417</v>
      </c>
      <c r="C38" s="129"/>
      <c r="D38" s="129"/>
    </row>
    <row r="39" spans="1:5" x14ac:dyDescent="0.35">
      <c r="A39" s="1"/>
      <c r="B39" s="303" t="s">
        <v>418</v>
      </c>
      <c r="C39" s="129"/>
      <c r="D39" s="129"/>
    </row>
    <row r="40" spans="1:5" x14ac:dyDescent="0.35">
      <c r="B40" s="129"/>
      <c r="C40" s="130"/>
      <c r="D40" s="129"/>
    </row>
    <row r="41" spans="1:5" x14ac:dyDescent="0.35">
      <c r="B41" s="129"/>
      <c r="C41" s="130"/>
      <c r="D41" s="129"/>
    </row>
    <row r="42" spans="1:5" x14ac:dyDescent="0.35">
      <c r="B42" s="129"/>
      <c r="C42" s="130"/>
      <c r="D42" s="129"/>
    </row>
    <row r="43" spans="1:5" x14ac:dyDescent="0.35">
      <c r="B43" s="131"/>
      <c r="C43" s="113"/>
      <c r="D43" s="113"/>
    </row>
  </sheetData>
  <mergeCells count="3">
    <mergeCell ref="A2:E2"/>
    <mergeCell ref="A3:E3"/>
    <mergeCell ref="A4:E4"/>
  </mergeCells>
  <printOptions horizontalCentered="1"/>
  <pageMargins left="0" right="0" top="0.5" bottom="0.5" header="0.25" footer="0.25"/>
  <pageSetup scale="77" orientation="landscape" r:id="rId1"/>
  <headerFooter scaleWithDoc="0" alignWithMargins="0">
    <oddFooter>&amp;L&amp;"Times New Roman,Regular"&amp;9&amp;F&amp;C&amp;"Times New Roman,Regular"&amp;9Page 8.1&amp;R&amp;"Times New Roman,Regular"&amp;9&amp;A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21F82-ACDE-4E3C-B78C-2E7BFB04A471}">
  <sheetPr>
    <pageSetUpPr fitToPage="1"/>
  </sheetPr>
  <dimension ref="A2:F43"/>
  <sheetViews>
    <sheetView zoomScale="80" zoomScaleNormal="80" workbookViewId="0"/>
  </sheetViews>
  <sheetFormatPr defaultColWidth="9.453125" defaultRowHeight="15.5" x14ac:dyDescent="0.35"/>
  <cols>
    <col min="1" max="1" width="5.453125" style="107" bestFit="1" customWidth="1"/>
    <col min="2" max="2" width="65.54296875" style="131" customWidth="1"/>
    <col min="3" max="3" width="22" style="107" bestFit="1" customWidth="1"/>
    <col min="4" max="4" width="48.453125" style="107" customWidth="1"/>
    <col min="5" max="5" width="5.453125" style="107" bestFit="1" customWidth="1"/>
    <col min="6" max="6" width="2.453125" style="107" bestFit="1" customWidth="1"/>
    <col min="7" max="16384" width="9.453125" style="107"/>
  </cols>
  <sheetData>
    <row r="2" spans="1:6" x14ac:dyDescent="0.35">
      <c r="A2" s="976" t="s">
        <v>1</v>
      </c>
      <c r="B2" s="976"/>
      <c r="C2" s="976"/>
      <c r="D2" s="976"/>
      <c r="E2" s="976"/>
    </row>
    <row r="3" spans="1:6" x14ac:dyDescent="0.35">
      <c r="A3" s="976" t="str">
        <f>'WP 7 Wheeling Revenues'!A3:G3</f>
        <v>2024 - TRBAA Rate Filing</v>
      </c>
      <c r="B3" s="976"/>
      <c r="C3" s="976"/>
      <c r="D3" s="976"/>
      <c r="E3" s="976"/>
    </row>
    <row r="4" spans="1:6" x14ac:dyDescent="0.35">
      <c r="A4" s="976" t="s">
        <v>419</v>
      </c>
      <c r="B4" s="976"/>
      <c r="C4" s="976"/>
      <c r="D4" s="976"/>
      <c r="E4" s="976"/>
    </row>
    <row r="5" spans="1:6" ht="16" thickBot="1" x14ac:dyDescent="0.4">
      <c r="A5" s="339"/>
      <c r="B5" s="665"/>
      <c r="C5" s="666"/>
      <c r="D5" s="666"/>
      <c r="E5" s="339"/>
    </row>
    <row r="6" spans="1:6" ht="52.5" customHeight="1" thickBot="1" x14ac:dyDescent="0.4">
      <c r="A6" s="667" t="s">
        <v>69</v>
      </c>
      <c r="B6" s="338" t="s">
        <v>403</v>
      </c>
      <c r="C6" s="677" t="s">
        <v>420</v>
      </c>
      <c r="D6" s="593" t="s">
        <v>16</v>
      </c>
      <c r="E6" s="669" t="s">
        <v>69</v>
      </c>
    </row>
    <row r="7" spans="1:6" x14ac:dyDescent="0.35">
      <c r="A7" s="678"/>
      <c r="B7" s="791"/>
      <c r="C7" s="431"/>
      <c r="D7" s="431"/>
      <c r="E7" s="679"/>
    </row>
    <row r="8" spans="1:6" x14ac:dyDescent="0.35">
      <c r="A8" s="335">
        <v>1</v>
      </c>
      <c r="B8" s="108">
        <f>'WP 7 Wheeling Revenues'!B11</f>
        <v>44835</v>
      </c>
      <c r="C8" s="19">
        <f>'WP 5 CAISO Charges'!C16</f>
        <v>-13371.33999999998</v>
      </c>
      <c r="D8" s="23" t="s">
        <v>421</v>
      </c>
      <c r="E8" s="336">
        <f>A8</f>
        <v>1</v>
      </c>
      <c r="F8" s="788"/>
    </row>
    <row r="9" spans="1:6" x14ac:dyDescent="0.35">
      <c r="A9" s="335">
        <f>A8+1</f>
        <v>2</v>
      </c>
      <c r="B9" s="108"/>
      <c r="C9" s="19"/>
      <c r="D9" s="10"/>
      <c r="E9" s="336">
        <f t="shared" ref="E9:E34" si="0">A9</f>
        <v>2</v>
      </c>
      <c r="F9" s="788"/>
    </row>
    <row r="10" spans="1:6" x14ac:dyDescent="0.35">
      <c r="A10" s="335">
        <f t="shared" ref="A10:A35" si="1">A9+1</f>
        <v>3</v>
      </c>
      <c r="B10" s="108">
        <f>'WP 7 Wheeling Revenues'!B13</f>
        <v>44866</v>
      </c>
      <c r="C10" s="31">
        <f>'WP 5 CAISO Charges'!D16</f>
        <v>-50024.370000000032</v>
      </c>
      <c r="D10" s="23" t="str">
        <f>D8</f>
        <v>Work paper No. 5; Page 5.1 and 5.2; Line 10</v>
      </c>
      <c r="E10" s="336">
        <f t="shared" si="0"/>
        <v>3</v>
      </c>
    </row>
    <row r="11" spans="1:6" x14ac:dyDescent="0.35">
      <c r="A11" s="335">
        <f t="shared" si="1"/>
        <v>4</v>
      </c>
      <c r="B11" s="108"/>
      <c r="C11" s="31"/>
      <c r="D11" s="10"/>
      <c r="E11" s="336">
        <f t="shared" si="0"/>
        <v>4</v>
      </c>
    </row>
    <row r="12" spans="1:6" ht="16" thickBot="1" x14ac:dyDescent="0.4">
      <c r="A12" s="337">
        <f t="shared" si="1"/>
        <v>5</v>
      </c>
      <c r="B12" s="109">
        <f>'WP 7 Wheeling Revenues'!B15</f>
        <v>44896</v>
      </c>
      <c r="C12" s="58">
        <f>'WP 5 CAISO Charges'!E16</f>
        <v>4262.9000000000033</v>
      </c>
      <c r="D12" s="651" t="str">
        <f>D8</f>
        <v>Work paper No. 5; Page 5.1 and 5.2; Line 10</v>
      </c>
      <c r="E12" s="340">
        <f t="shared" si="0"/>
        <v>5</v>
      </c>
    </row>
    <row r="13" spans="1:6" x14ac:dyDescent="0.35">
      <c r="A13" s="335">
        <f t="shared" si="1"/>
        <v>6</v>
      </c>
      <c r="B13" s="108"/>
      <c r="C13" s="31"/>
      <c r="D13" s="23"/>
      <c r="E13" s="336">
        <f t="shared" si="0"/>
        <v>6</v>
      </c>
    </row>
    <row r="14" spans="1:6" x14ac:dyDescent="0.35">
      <c r="A14" s="335">
        <f t="shared" si="1"/>
        <v>7</v>
      </c>
      <c r="B14" s="108">
        <f>'WP 7 Wheeling Revenues'!B17</f>
        <v>44927</v>
      </c>
      <c r="C14" s="31">
        <f>'WP 5 CAISO Charges'!F16</f>
        <v>5433.1399999999749</v>
      </c>
      <c r="D14" s="23" t="str">
        <f>D8</f>
        <v>Work paper No. 5; Page 5.1 and 5.2; Line 10</v>
      </c>
      <c r="E14" s="336">
        <f t="shared" si="0"/>
        <v>7</v>
      </c>
    </row>
    <row r="15" spans="1:6" x14ac:dyDescent="0.35">
      <c r="A15" s="335">
        <f t="shared" si="1"/>
        <v>8</v>
      </c>
      <c r="B15" s="108"/>
      <c r="C15" s="31"/>
      <c r="D15" s="10"/>
      <c r="E15" s="336">
        <f t="shared" si="0"/>
        <v>8</v>
      </c>
    </row>
    <row r="16" spans="1:6" x14ac:dyDescent="0.35">
      <c r="A16" s="335">
        <f t="shared" si="1"/>
        <v>9</v>
      </c>
      <c r="B16" s="108">
        <f>'WP 7 Wheeling Revenues'!B19</f>
        <v>44958</v>
      </c>
      <c r="C16" s="31">
        <f>'WP 5 CAISO Charges'!G16</f>
        <v>877997.29000000015</v>
      </c>
      <c r="D16" s="23" t="str">
        <f>D8</f>
        <v>Work paper No. 5; Page 5.1 and 5.2; Line 10</v>
      </c>
      <c r="E16" s="336">
        <f t="shared" si="0"/>
        <v>9</v>
      </c>
    </row>
    <row r="17" spans="1:5" x14ac:dyDescent="0.35">
      <c r="A17" s="335">
        <f t="shared" si="1"/>
        <v>10</v>
      </c>
      <c r="B17" s="108"/>
      <c r="C17" s="31"/>
      <c r="D17" s="10"/>
      <c r="E17" s="336">
        <f t="shared" si="0"/>
        <v>10</v>
      </c>
    </row>
    <row r="18" spans="1:5" ht="16" thickBot="1" x14ac:dyDescent="0.4">
      <c r="A18" s="337">
        <f t="shared" si="1"/>
        <v>11</v>
      </c>
      <c r="B18" s="109">
        <f>'WP 7 Wheeling Revenues'!B21</f>
        <v>44986</v>
      </c>
      <c r="C18" s="58">
        <f>'WP 5 CAISO Charges'!H16</f>
        <v>899778.47000000009</v>
      </c>
      <c r="D18" s="651" t="str">
        <f>D8</f>
        <v>Work paper No. 5; Page 5.1 and 5.2; Line 10</v>
      </c>
      <c r="E18" s="340">
        <f t="shared" si="0"/>
        <v>11</v>
      </c>
    </row>
    <row r="19" spans="1:5" x14ac:dyDescent="0.35">
      <c r="A19" s="335">
        <f t="shared" si="1"/>
        <v>12</v>
      </c>
      <c r="B19" s="108"/>
      <c r="C19" s="31"/>
      <c r="D19" s="10"/>
      <c r="E19" s="336">
        <f t="shared" si="0"/>
        <v>12</v>
      </c>
    </row>
    <row r="20" spans="1:5" x14ac:dyDescent="0.35">
      <c r="A20" s="335">
        <f t="shared" si="1"/>
        <v>13</v>
      </c>
      <c r="B20" s="108">
        <f>'WP 7 Wheeling Revenues'!B23</f>
        <v>45017</v>
      </c>
      <c r="C20" s="31">
        <f>'WP 5 CAISO Charges'!I16</f>
        <v>73228.609999999986</v>
      </c>
      <c r="D20" s="23" t="str">
        <f>D8</f>
        <v>Work paper No. 5; Page 5.1 and 5.2; Line 10</v>
      </c>
      <c r="E20" s="336">
        <f t="shared" si="0"/>
        <v>13</v>
      </c>
    </row>
    <row r="21" spans="1:5" x14ac:dyDescent="0.35">
      <c r="A21" s="335">
        <f t="shared" si="1"/>
        <v>14</v>
      </c>
      <c r="B21" s="108"/>
      <c r="C21" s="31"/>
      <c r="D21" s="10"/>
      <c r="E21" s="336">
        <f t="shared" si="0"/>
        <v>14</v>
      </c>
    </row>
    <row r="22" spans="1:5" x14ac:dyDescent="0.35">
      <c r="A22" s="335">
        <f t="shared" si="1"/>
        <v>15</v>
      </c>
      <c r="B22" s="108">
        <f>'WP 7 Wheeling Revenues'!B25</f>
        <v>45047</v>
      </c>
      <c r="C22" s="31">
        <f>'WP 5 CAISO Charges'!J16</f>
        <v>-16999.950000000063</v>
      </c>
      <c r="D22" s="23" t="str">
        <f>D8</f>
        <v>Work paper No. 5; Page 5.1 and 5.2; Line 10</v>
      </c>
      <c r="E22" s="336">
        <f t="shared" si="0"/>
        <v>15</v>
      </c>
    </row>
    <row r="23" spans="1:5" x14ac:dyDescent="0.35">
      <c r="A23" s="335">
        <f t="shared" si="1"/>
        <v>16</v>
      </c>
      <c r="B23" s="108"/>
      <c r="C23" s="31"/>
      <c r="D23" s="10"/>
      <c r="E23" s="336">
        <f t="shared" si="0"/>
        <v>16</v>
      </c>
    </row>
    <row r="24" spans="1:5" ht="16" thickBot="1" x14ac:dyDescent="0.4">
      <c r="A24" s="337">
        <f t="shared" si="1"/>
        <v>17</v>
      </c>
      <c r="B24" s="109">
        <f>'WP 7 Wheeling Revenues'!B27</f>
        <v>45078</v>
      </c>
      <c r="C24" s="58">
        <f>'WP 5 CAISO Charges'!K16</f>
        <v>-24735.650000000005</v>
      </c>
      <c r="D24" s="651" t="str">
        <f>D8</f>
        <v>Work paper No. 5; Page 5.1 and 5.2; Line 10</v>
      </c>
      <c r="E24" s="340">
        <f t="shared" si="0"/>
        <v>17</v>
      </c>
    </row>
    <row r="25" spans="1:5" x14ac:dyDescent="0.35">
      <c r="A25" s="335">
        <f t="shared" si="1"/>
        <v>18</v>
      </c>
      <c r="B25" s="108"/>
      <c r="C25" s="31"/>
      <c r="D25" s="10"/>
      <c r="E25" s="336">
        <f t="shared" si="0"/>
        <v>18</v>
      </c>
    </row>
    <row r="26" spans="1:5" x14ac:dyDescent="0.35">
      <c r="A26" s="335">
        <f t="shared" si="1"/>
        <v>19</v>
      </c>
      <c r="B26" s="108">
        <f>'WP 7 Wheeling Revenues'!B29</f>
        <v>45108</v>
      </c>
      <c r="C26" s="31">
        <f>'WP 5 CAISO Charges'!L16</f>
        <v>-89893.799999999988</v>
      </c>
      <c r="D26" s="23" t="str">
        <f>D8</f>
        <v>Work paper No. 5; Page 5.1 and 5.2; Line 10</v>
      </c>
      <c r="E26" s="336">
        <f t="shared" si="0"/>
        <v>19</v>
      </c>
    </row>
    <row r="27" spans="1:5" x14ac:dyDescent="0.35">
      <c r="A27" s="335">
        <f t="shared" si="1"/>
        <v>20</v>
      </c>
      <c r="B27" s="108"/>
      <c r="C27" s="31"/>
      <c r="D27" s="10"/>
      <c r="E27" s="336">
        <f t="shared" si="0"/>
        <v>20</v>
      </c>
    </row>
    <row r="28" spans="1:5" x14ac:dyDescent="0.35">
      <c r="A28" s="335">
        <f t="shared" si="1"/>
        <v>21</v>
      </c>
      <c r="B28" s="108">
        <f>'WP 7 Wheeling Revenues'!B31</f>
        <v>45139</v>
      </c>
      <c r="C28" s="31">
        <f>'WP 5 CAISO Charges'!M16</f>
        <v>72844.999999999971</v>
      </c>
      <c r="D28" s="23" t="str">
        <f>D8</f>
        <v>Work paper No. 5; Page 5.1 and 5.2; Line 10</v>
      </c>
      <c r="E28" s="336">
        <f t="shared" si="0"/>
        <v>21</v>
      </c>
    </row>
    <row r="29" spans="1:5" x14ac:dyDescent="0.35">
      <c r="A29" s="335">
        <f t="shared" si="1"/>
        <v>22</v>
      </c>
      <c r="B29" s="108"/>
      <c r="C29" s="31"/>
      <c r="D29" s="10"/>
      <c r="E29" s="336">
        <f t="shared" si="0"/>
        <v>22</v>
      </c>
    </row>
    <row r="30" spans="1:5" ht="16" thickBot="1" x14ac:dyDescent="0.4">
      <c r="A30" s="337">
        <f t="shared" si="1"/>
        <v>23</v>
      </c>
      <c r="B30" s="109">
        <f>'WP 7 Wheeling Revenues'!B33</f>
        <v>45170</v>
      </c>
      <c r="C30" s="82">
        <f>'WP 5 CAISO Charges'!N16</f>
        <v>383280.57909000007</v>
      </c>
      <c r="D30" s="651" t="str">
        <f>D8</f>
        <v>Work paper No. 5; Page 5.1 and 5.2; Line 10</v>
      </c>
      <c r="E30" s="340">
        <f t="shared" si="0"/>
        <v>23</v>
      </c>
    </row>
    <row r="31" spans="1:5" x14ac:dyDescent="0.35">
      <c r="A31" s="335">
        <f t="shared" si="1"/>
        <v>24</v>
      </c>
      <c r="B31" s="108"/>
      <c r="C31" s="44"/>
      <c r="D31" s="23"/>
      <c r="E31" s="336">
        <f t="shared" si="0"/>
        <v>24</v>
      </c>
    </row>
    <row r="32" spans="1:5" ht="16" thickBot="1" x14ac:dyDescent="0.4">
      <c r="A32" s="335">
        <f t="shared" si="1"/>
        <v>25</v>
      </c>
      <c r="B32" s="132" t="s">
        <v>407</v>
      </c>
      <c r="C32" s="73">
        <f>SUM(C8:C30)</f>
        <v>2121800.8790900004</v>
      </c>
      <c r="D32" s="29" t="s">
        <v>408</v>
      </c>
      <c r="E32" s="336">
        <f t="shared" si="0"/>
        <v>25</v>
      </c>
    </row>
    <row r="33" spans="1:5" ht="16" thickTop="1" x14ac:dyDescent="0.35">
      <c r="A33" s="335">
        <f t="shared" si="1"/>
        <v>26</v>
      </c>
      <c r="B33" s="10"/>
      <c r="C33" s="19"/>
      <c r="E33" s="336">
        <f t="shared" si="0"/>
        <v>26</v>
      </c>
    </row>
    <row r="34" spans="1:5" ht="35.75" customHeight="1" thickBot="1" x14ac:dyDescent="0.4">
      <c r="A34" s="673">
        <f t="shared" si="1"/>
        <v>27</v>
      </c>
      <c r="B34" s="680" t="s">
        <v>419</v>
      </c>
      <c r="C34" s="192">
        <f>C32</f>
        <v>2121800.8790900004</v>
      </c>
      <c r="D34" s="29" t="s">
        <v>410</v>
      </c>
      <c r="E34" s="675">
        <f t="shared" si="0"/>
        <v>27</v>
      </c>
    </row>
    <row r="35" spans="1:5" ht="16.5" thickTop="1" thickBot="1" x14ac:dyDescent="0.4">
      <c r="A35" s="337">
        <f t="shared" si="1"/>
        <v>28</v>
      </c>
      <c r="B35" s="363"/>
      <c r="C35" s="789"/>
      <c r="D35" s="249"/>
      <c r="E35" s="340">
        <f t="shared" ref="E35" si="2">E34+1</f>
        <v>28</v>
      </c>
    </row>
    <row r="36" spans="1:5" x14ac:dyDescent="0.35">
      <c r="B36" s="334"/>
      <c r="C36" s="72"/>
      <c r="D36" s="72"/>
    </row>
    <row r="37" spans="1:5" ht="18.5" x14ac:dyDescent="0.35">
      <c r="A37" s="681"/>
      <c r="B37" s="107"/>
      <c r="C37" s="28"/>
      <c r="D37" s="110"/>
    </row>
    <row r="38" spans="1:5" ht="12.75" customHeight="1" x14ac:dyDescent="0.35">
      <c r="A38" s="681"/>
      <c r="B38" s="107"/>
      <c r="C38" s="110"/>
      <c r="D38" s="110"/>
    </row>
    <row r="39" spans="1:5" ht="18.5" x14ac:dyDescent="0.35">
      <c r="A39" s="681"/>
      <c r="B39" s="133"/>
    </row>
    <row r="40" spans="1:5" x14ac:dyDescent="0.35">
      <c r="B40" s="129"/>
      <c r="C40" s="129"/>
      <c r="D40" s="129"/>
    </row>
    <row r="41" spans="1:5" x14ac:dyDescent="0.35">
      <c r="B41" s="129"/>
      <c r="C41" s="129"/>
      <c r="D41" s="129"/>
    </row>
    <row r="42" spans="1:5" x14ac:dyDescent="0.35">
      <c r="B42" s="129"/>
      <c r="C42" s="129"/>
      <c r="D42" s="129"/>
    </row>
    <row r="43" spans="1:5" x14ac:dyDescent="0.35">
      <c r="C43" s="113"/>
      <c r="D43" s="113"/>
    </row>
  </sheetData>
  <mergeCells count="3">
    <mergeCell ref="A2:E2"/>
    <mergeCell ref="A3:E3"/>
    <mergeCell ref="A4:E4"/>
  </mergeCells>
  <printOptions horizontalCentered="1"/>
  <pageMargins left="0" right="0" top="0.5" bottom="0.5" header="0.25" footer="0.25"/>
  <pageSetup scale="76" orientation="landscape" r:id="rId1"/>
  <headerFooter alignWithMargins="0">
    <oddFooter>&amp;L&amp;"Times New Roman,Regular"&amp;12&amp;F&amp;C&amp;"Times New Roman,Regular"&amp;12Page 9.1&amp;R&amp;"Times New Roman,Regular"&amp;12&amp;A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S93"/>
  <sheetViews>
    <sheetView zoomScale="80" zoomScaleNormal="80" zoomScaleSheetLayoutView="70"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ColWidth="9.453125" defaultRowHeight="12.5" x14ac:dyDescent="0.25"/>
  <cols>
    <col min="1" max="1" width="5.54296875" style="243" customWidth="1"/>
    <col min="2" max="2" width="9.08984375" style="243" bestFit="1" customWidth="1"/>
    <col min="3" max="3" width="59" style="243" customWidth="1"/>
    <col min="4" max="15" width="13.54296875" style="374" customWidth="1"/>
    <col min="16" max="16" width="15.54296875" style="374" customWidth="1"/>
    <col min="17" max="17" width="5.54296875" style="243" customWidth="1"/>
    <col min="18" max="18" width="9.90625" style="243" bestFit="1" customWidth="1"/>
    <col min="19" max="16384" width="9.453125" style="243"/>
  </cols>
  <sheetData>
    <row r="2" spans="1:18" ht="16" thickBot="1" x14ac:dyDescent="0.4">
      <c r="A2" s="55"/>
      <c r="B2" s="310"/>
      <c r="C2" s="790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1"/>
    </row>
    <row r="3" spans="1:18" ht="38.25" customHeight="1" thickBot="1" x14ac:dyDescent="0.35">
      <c r="A3" s="858" t="s">
        <v>69</v>
      </c>
      <c r="B3" s="315" t="s">
        <v>422</v>
      </c>
      <c r="C3" s="542" t="s">
        <v>423</v>
      </c>
      <c r="D3" s="366">
        <f>'WP 1.1 Recorded Sales'!C5</f>
        <v>44835</v>
      </c>
      <c r="E3" s="542">
        <f>'WP 1.1 Recorded Sales'!D5</f>
        <v>44866</v>
      </c>
      <c r="F3" s="366">
        <f>'WP 1.1 Recorded Sales'!E5</f>
        <v>44896</v>
      </c>
      <c r="G3" s="542">
        <f>'WP 1.1 Recorded Sales'!F5</f>
        <v>44927</v>
      </c>
      <c r="H3" s="366">
        <f>'WP 1.1 Recorded Sales'!G5</f>
        <v>44958</v>
      </c>
      <c r="I3" s="542">
        <f>'WP 1.1 Recorded Sales'!H5</f>
        <v>44986</v>
      </c>
      <c r="J3" s="366">
        <f>'WP 1.1 Recorded Sales'!I5</f>
        <v>45017</v>
      </c>
      <c r="K3" s="542">
        <f>'WP 1.1 Recorded Sales'!J5</f>
        <v>45047</v>
      </c>
      <c r="L3" s="366">
        <f>'WP 1.1 Recorded Sales'!K5</f>
        <v>45078</v>
      </c>
      <c r="M3" s="542">
        <f>'WP 1.1 Recorded Sales'!L5</f>
        <v>45108</v>
      </c>
      <c r="N3" s="366">
        <f>'WP 1.1 Recorded Sales'!M5</f>
        <v>45139</v>
      </c>
      <c r="O3" s="542">
        <f>'WP 1.1 Recorded Sales'!N5</f>
        <v>45170</v>
      </c>
      <c r="P3" s="366" t="s">
        <v>18</v>
      </c>
      <c r="Q3" s="315" t="s">
        <v>69</v>
      </c>
    </row>
    <row r="4" spans="1:18" ht="15.5" thickBot="1" x14ac:dyDescent="0.35">
      <c r="A4" s="940"/>
      <c r="B4" s="926"/>
      <c r="C4" s="957" t="s">
        <v>86</v>
      </c>
      <c r="D4" s="943"/>
      <c r="E4" s="927"/>
      <c r="F4" s="945"/>
      <c r="G4" s="928"/>
      <c r="H4" s="943"/>
      <c r="I4" s="928"/>
      <c r="J4" s="943"/>
      <c r="K4" s="928"/>
      <c r="L4" s="943"/>
      <c r="M4" s="928"/>
      <c r="N4" s="943"/>
      <c r="O4" s="927"/>
      <c r="P4" s="945"/>
      <c r="Q4" s="926"/>
    </row>
    <row r="5" spans="1:18" ht="15.5" x14ac:dyDescent="0.35">
      <c r="A5" s="187">
        <v>1</v>
      </c>
      <c r="B5" s="956">
        <v>1592</v>
      </c>
      <c r="C5" s="125" t="s">
        <v>424</v>
      </c>
      <c r="D5" s="341">
        <v>0</v>
      </c>
      <c r="E5" s="466">
        <v>0</v>
      </c>
      <c r="F5" s="328">
        <v>0</v>
      </c>
      <c r="G5" s="918">
        <v>0</v>
      </c>
      <c r="H5" s="341">
        <f>-4449.57-'WP 12 PTO'!H5</f>
        <v>-4266.2</v>
      </c>
      <c r="I5" s="918">
        <v>0</v>
      </c>
      <c r="J5" s="341">
        <v>0</v>
      </c>
      <c r="K5" s="918">
        <v>0</v>
      </c>
      <c r="L5" s="341">
        <v>0</v>
      </c>
      <c r="M5" s="918">
        <v>0</v>
      </c>
      <c r="N5" s="341">
        <v>0</v>
      </c>
      <c r="O5" s="466">
        <f>0-'WP 12 PTO'!O5</f>
        <v>0</v>
      </c>
      <c r="P5" s="328">
        <f t="shared" ref="P5:P24" si="0">SUM(D5:O5)</f>
        <v>-4266.2</v>
      </c>
      <c r="Q5" s="120">
        <f>A5</f>
        <v>1</v>
      </c>
      <c r="R5" s="22"/>
    </row>
    <row r="6" spans="1:18" ht="15.5" x14ac:dyDescent="0.35">
      <c r="A6" s="187">
        <f>A5+1</f>
        <v>2</v>
      </c>
      <c r="B6" s="527">
        <v>4989</v>
      </c>
      <c r="C6" s="125" t="s">
        <v>523</v>
      </c>
      <c r="D6" s="93">
        <v>0</v>
      </c>
      <c r="E6" s="148">
        <v>0</v>
      </c>
      <c r="F6" s="93">
        <v>0</v>
      </c>
      <c r="G6" s="148">
        <v>0</v>
      </c>
      <c r="H6" s="93">
        <v>0</v>
      </c>
      <c r="I6" s="148">
        <v>0</v>
      </c>
      <c r="J6" s="93">
        <v>0</v>
      </c>
      <c r="K6" s="148">
        <v>-70.260000000000005</v>
      </c>
      <c r="L6" s="93">
        <v>0</v>
      </c>
      <c r="M6" s="148">
        <v>0</v>
      </c>
      <c r="N6" s="93">
        <v>70.260000000000005</v>
      </c>
      <c r="O6" s="954">
        <v>0</v>
      </c>
      <c r="P6" s="93">
        <f t="shared" si="0"/>
        <v>0</v>
      </c>
      <c r="Q6" s="120">
        <f>Q5+1</f>
        <v>2</v>
      </c>
      <c r="R6" s="22"/>
    </row>
    <row r="7" spans="1:18" ht="15.5" x14ac:dyDescent="0.35">
      <c r="A7" s="187">
        <f>A6+1</f>
        <v>3</v>
      </c>
      <c r="B7" s="120">
        <v>6011</v>
      </c>
      <c r="C7" s="125" t="s">
        <v>425</v>
      </c>
      <c r="D7" s="93">
        <v>107106.31999999999</v>
      </c>
      <c r="E7" s="148">
        <v>-144.76999999999953</v>
      </c>
      <c r="F7" s="93">
        <v>-68018.28</v>
      </c>
      <c r="G7" s="148">
        <v>-82956.140000000014</v>
      </c>
      <c r="H7" s="93">
        <v>5459.79</v>
      </c>
      <c r="I7" s="148">
        <v>28849.83</v>
      </c>
      <c r="J7" s="93">
        <v>-21490.79</v>
      </c>
      <c r="K7" s="148">
        <v>-33783.020000000004</v>
      </c>
      <c r="L7" s="93">
        <v>-16872.64</v>
      </c>
      <c r="M7" s="148">
        <v>-73958.680000000008</v>
      </c>
      <c r="N7" s="93">
        <v>33908.630000000005</v>
      </c>
      <c r="O7" s="148">
        <v>52183.149999999994</v>
      </c>
      <c r="P7" s="93">
        <f t="shared" si="0"/>
        <v>-69716.600000000035</v>
      </c>
      <c r="Q7" s="120">
        <f t="shared" ref="Q7:Q54" si="1">A7</f>
        <v>3</v>
      </c>
      <c r="R7" s="22"/>
    </row>
    <row r="8" spans="1:18" ht="15.5" x14ac:dyDescent="0.35">
      <c r="A8" s="187">
        <f t="shared" ref="A8:A54" si="2">A7+1</f>
        <v>4</v>
      </c>
      <c r="B8" s="120">
        <v>6090</v>
      </c>
      <c r="C8" s="125" t="s">
        <v>426</v>
      </c>
      <c r="D8" s="93">
        <v>0</v>
      </c>
      <c r="E8" s="148">
        <v>0</v>
      </c>
      <c r="F8" s="93">
        <v>-0.04</v>
      </c>
      <c r="G8" s="148">
        <v>0</v>
      </c>
      <c r="H8" s="93">
        <v>0</v>
      </c>
      <c r="I8" s="148">
        <v>-0.05</v>
      </c>
      <c r="J8" s="93">
        <v>0</v>
      </c>
      <c r="K8" s="148">
        <v>-0.30000000000000004</v>
      </c>
      <c r="L8" s="93">
        <v>-146.16999999999999</v>
      </c>
      <c r="M8" s="148">
        <v>0</v>
      </c>
      <c r="N8" s="93">
        <v>-14.68</v>
      </c>
      <c r="O8" s="148">
        <v>-1.55</v>
      </c>
      <c r="P8" s="93">
        <f t="shared" si="0"/>
        <v>-162.79</v>
      </c>
      <c r="Q8" s="120">
        <f t="shared" si="1"/>
        <v>4</v>
      </c>
      <c r="R8" s="22"/>
    </row>
    <row r="9" spans="1:18" ht="16" thickBot="1" x14ac:dyDescent="0.4">
      <c r="A9" s="642">
        <f t="shared" si="2"/>
        <v>5</v>
      </c>
      <c r="B9" s="121">
        <v>6194</v>
      </c>
      <c r="C9" s="126" t="s">
        <v>427</v>
      </c>
      <c r="D9" s="931">
        <v>-53.01</v>
      </c>
      <c r="E9" s="721">
        <v>-23.879999999999995</v>
      </c>
      <c r="F9" s="931">
        <v>-34.72</v>
      </c>
      <c r="G9" s="721">
        <v>-32.090000000000003</v>
      </c>
      <c r="H9" s="931">
        <v>-51.300000000000004</v>
      </c>
      <c r="I9" s="721">
        <v>-64.17</v>
      </c>
      <c r="J9" s="931">
        <v>-17.2</v>
      </c>
      <c r="K9" s="721">
        <v>-22.189999999999998</v>
      </c>
      <c r="L9" s="931">
        <v>25.7</v>
      </c>
      <c r="M9" s="721">
        <v>-5.0600000000000005</v>
      </c>
      <c r="N9" s="931">
        <v>71.190000000000026</v>
      </c>
      <c r="O9" s="721">
        <v>-20.2</v>
      </c>
      <c r="P9" s="931">
        <f t="shared" si="0"/>
        <v>-226.92999999999998</v>
      </c>
      <c r="Q9" s="121">
        <f t="shared" si="1"/>
        <v>5</v>
      </c>
      <c r="R9" s="22"/>
    </row>
    <row r="10" spans="1:18" ht="15.5" x14ac:dyDescent="0.35">
      <c r="A10" s="187">
        <f t="shared" si="2"/>
        <v>6</v>
      </c>
      <c r="B10" s="120">
        <v>6294</v>
      </c>
      <c r="C10" s="125" t="s">
        <v>428</v>
      </c>
      <c r="D10" s="93">
        <v>-14.75</v>
      </c>
      <c r="E10" s="148">
        <v>-3.18</v>
      </c>
      <c r="F10" s="93">
        <v>-1.63</v>
      </c>
      <c r="G10" s="148">
        <v>-2.3600000000000003</v>
      </c>
      <c r="H10" s="93">
        <v>-2.95</v>
      </c>
      <c r="I10" s="148">
        <v>-6.26</v>
      </c>
      <c r="J10" s="93">
        <v>-28.19</v>
      </c>
      <c r="K10" s="148">
        <v>-39.559999999999995</v>
      </c>
      <c r="L10" s="93">
        <v>8.6499999999999986</v>
      </c>
      <c r="M10" s="148">
        <v>-7.71</v>
      </c>
      <c r="N10" s="93">
        <v>275.63000000000005</v>
      </c>
      <c r="O10" s="148">
        <v>-0.62</v>
      </c>
      <c r="P10" s="93">
        <f t="shared" si="0"/>
        <v>177.07000000000005</v>
      </c>
      <c r="Q10" s="120">
        <f t="shared" si="1"/>
        <v>6</v>
      </c>
      <c r="R10" s="22"/>
    </row>
    <row r="11" spans="1:18" ht="15.5" x14ac:dyDescent="0.35">
      <c r="A11" s="187">
        <f>A10+1</f>
        <v>7</v>
      </c>
      <c r="B11" s="120">
        <v>6458</v>
      </c>
      <c r="C11" s="149" t="s">
        <v>429</v>
      </c>
      <c r="D11" s="93">
        <v>0</v>
      </c>
      <c r="E11" s="148">
        <v>-0.03</v>
      </c>
      <c r="F11" s="93">
        <v>0.97</v>
      </c>
      <c r="G11" s="148">
        <v>0</v>
      </c>
      <c r="H11" s="93">
        <v>51.010000000000005</v>
      </c>
      <c r="I11" s="148">
        <v>0</v>
      </c>
      <c r="J11" s="93">
        <v>4.49</v>
      </c>
      <c r="K11" s="148">
        <v>-52.95</v>
      </c>
      <c r="L11" s="93">
        <v>0.08</v>
      </c>
      <c r="M11" s="148">
        <v>0</v>
      </c>
      <c r="N11" s="93">
        <v>-82.649999999999991</v>
      </c>
      <c r="O11" s="148">
        <v>0</v>
      </c>
      <c r="P11" s="93">
        <f t="shared" si="0"/>
        <v>-79.079999999999984</v>
      </c>
      <c r="Q11" s="120">
        <f t="shared" si="1"/>
        <v>7</v>
      </c>
      <c r="R11" s="22"/>
    </row>
    <row r="12" spans="1:18" ht="15.5" x14ac:dyDescent="0.35">
      <c r="A12" s="187">
        <f t="shared" si="2"/>
        <v>8</v>
      </c>
      <c r="B12" s="120">
        <v>6478</v>
      </c>
      <c r="C12" s="149" t="s">
        <v>430</v>
      </c>
      <c r="D12" s="93">
        <v>101.53000000000002</v>
      </c>
      <c r="E12" s="148">
        <v>17.75</v>
      </c>
      <c r="F12" s="93">
        <v>68.95999999999998</v>
      </c>
      <c r="G12" s="148">
        <v>-156.32</v>
      </c>
      <c r="H12" s="93">
        <v>40.629999999999995</v>
      </c>
      <c r="I12" s="148">
        <v>-73.040000000000006</v>
      </c>
      <c r="J12" s="93">
        <v>43.14</v>
      </c>
      <c r="K12" s="148">
        <v>-78.2</v>
      </c>
      <c r="L12" s="93">
        <v>66.77000000000001</v>
      </c>
      <c r="M12" s="148">
        <v>-9.4500000000000011</v>
      </c>
      <c r="N12" s="93">
        <v>-27.46</v>
      </c>
      <c r="O12" s="148">
        <v>-20.93</v>
      </c>
      <c r="P12" s="93">
        <f t="shared" si="0"/>
        <v>-26.61999999999999</v>
      </c>
      <c r="Q12" s="120">
        <f t="shared" si="1"/>
        <v>8</v>
      </c>
      <c r="R12" s="22"/>
    </row>
    <row r="13" spans="1:18" ht="15.5" x14ac:dyDescent="0.35">
      <c r="A13" s="187">
        <f t="shared" si="2"/>
        <v>9</v>
      </c>
      <c r="B13" s="120">
        <v>6479</v>
      </c>
      <c r="C13" s="149" t="s">
        <v>529</v>
      </c>
      <c r="D13" s="93">
        <v>0</v>
      </c>
      <c r="E13" s="148">
        <v>0</v>
      </c>
      <c r="F13" s="93">
        <v>0</v>
      </c>
      <c r="G13" s="148">
        <v>0</v>
      </c>
      <c r="H13" s="93">
        <v>0</v>
      </c>
      <c r="I13" s="148">
        <v>0</v>
      </c>
      <c r="J13" s="93">
        <v>0</v>
      </c>
      <c r="K13" s="148">
        <v>0</v>
      </c>
      <c r="L13" s="93">
        <v>0</v>
      </c>
      <c r="M13" s="148">
        <v>0</v>
      </c>
      <c r="N13" s="93">
        <v>-0.41</v>
      </c>
      <c r="O13" s="148">
        <v>-128.59</v>
      </c>
      <c r="P13" s="93">
        <f t="shared" si="0"/>
        <v>-129</v>
      </c>
      <c r="Q13" s="120">
        <f t="shared" si="1"/>
        <v>9</v>
      </c>
      <c r="R13" s="22"/>
    </row>
    <row r="14" spans="1:18" ht="16" thickBot="1" x14ac:dyDescent="0.4">
      <c r="A14" s="642">
        <f t="shared" si="2"/>
        <v>10</v>
      </c>
      <c r="B14" s="121">
        <v>6706</v>
      </c>
      <c r="C14" s="126" t="s">
        <v>431</v>
      </c>
      <c r="D14" s="931">
        <v>4.9400000000000004</v>
      </c>
      <c r="E14" s="721">
        <v>-1.18</v>
      </c>
      <c r="F14" s="931">
        <v>15.78</v>
      </c>
      <c r="G14" s="721">
        <v>0.02</v>
      </c>
      <c r="H14" s="931">
        <v>113.11</v>
      </c>
      <c r="I14" s="721">
        <v>-2.14</v>
      </c>
      <c r="J14" s="931">
        <v>23.63</v>
      </c>
      <c r="K14" s="721">
        <v>3.12</v>
      </c>
      <c r="L14" s="931">
        <v>2.29</v>
      </c>
      <c r="M14" s="721">
        <v>0</v>
      </c>
      <c r="N14" s="931">
        <v>-881.3900000000001</v>
      </c>
      <c r="O14" s="721">
        <v>396128.28</v>
      </c>
      <c r="P14" s="931">
        <f t="shared" si="0"/>
        <v>395406.46</v>
      </c>
      <c r="Q14" s="121">
        <f t="shared" si="1"/>
        <v>10</v>
      </c>
      <c r="R14" s="22"/>
    </row>
    <row r="15" spans="1:18" ht="15.5" x14ac:dyDescent="0.35">
      <c r="A15" s="187">
        <f t="shared" si="2"/>
        <v>11</v>
      </c>
      <c r="B15" s="527">
        <v>6788</v>
      </c>
      <c r="C15" s="125" t="s">
        <v>432</v>
      </c>
      <c r="D15" s="93">
        <v>-7604.9599999999991</v>
      </c>
      <c r="E15" s="148">
        <v>3897.6100000000006</v>
      </c>
      <c r="F15" s="93">
        <v>41427.56</v>
      </c>
      <c r="G15" s="148">
        <v>17969.689999999999</v>
      </c>
      <c r="H15" s="93">
        <v>72445.930000000008</v>
      </c>
      <c r="I15" s="148">
        <v>1242308.99</v>
      </c>
      <c r="J15" s="93">
        <v>129006.16</v>
      </c>
      <c r="K15" s="148">
        <v>14161.34</v>
      </c>
      <c r="L15" s="93">
        <v>955.2399999999999</v>
      </c>
      <c r="M15" s="148">
        <v>257.8</v>
      </c>
      <c r="N15" s="93">
        <v>31175.379999999997</v>
      </c>
      <c r="O15" s="148">
        <v>56938.61</v>
      </c>
      <c r="P15" s="93">
        <f t="shared" si="0"/>
        <v>1602939.35</v>
      </c>
      <c r="Q15" s="120">
        <f t="shared" si="1"/>
        <v>11</v>
      </c>
      <c r="R15" s="22"/>
    </row>
    <row r="16" spans="1:18" ht="15.5" x14ac:dyDescent="0.35">
      <c r="A16" s="187">
        <f t="shared" si="2"/>
        <v>12</v>
      </c>
      <c r="B16" s="120">
        <v>6791</v>
      </c>
      <c r="C16" s="149" t="s">
        <v>433</v>
      </c>
      <c r="D16" s="93">
        <v>0</v>
      </c>
      <c r="E16" s="148">
        <v>0</v>
      </c>
      <c r="F16" s="93">
        <v>0.02</v>
      </c>
      <c r="G16" s="148">
        <v>0</v>
      </c>
      <c r="H16" s="93">
        <v>0</v>
      </c>
      <c r="I16" s="148">
        <v>-0.02</v>
      </c>
      <c r="J16" s="93">
        <v>0</v>
      </c>
      <c r="K16" s="148">
        <v>0</v>
      </c>
      <c r="L16" s="93">
        <v>0.02</v>
      </c>
      <c r="M16" s="148">
        <v>-0.01</v>
      </c>
      <c r="N16" s="93">
        <v>-6.34</v>
      </c>
      <c r="O16" s="148">
        <v>-85242.55</v>
      </c>
      <c r="P16" s="93">
        <f t="shared" si="0"/>
        <v>-85248.88</v>
      </c>
      <c r="Q16" s="120">
        <f t="shared" si="1"/>
        <v>12</v>
      </c>
      <c r="R16" s="22"/>
    </row>
    <row r="17" spans="1:18" s="532" customFormat="1" ht="15.5" x14ac:dyDescent="0.35">
      <c r="A17" s="941">
        <f t="shared" si="2"/>
        <v>13</v>
      </c>
      <c r="B17" s="531">
        <v>6947</v>
      </c>
      <c r="C17" s="958" t="s">
        <v>434</v>
      </c>
      <c r="D17" s="944">
        <v>-162206.29999999999</v>
      </c>
      <c r="E17" s="722">
        <v>-103640.61000000002</v>
      </c>
      <c r="F17" s="944">
        <v>-12853.02</v>
      </c>
      <c r="G17" s="722">
        <v>-51621.25</v>
      </c>
      <c r="H17" s="944">
        <v>-253.74999999999997</v>
      </c>
      <c r="I17" s="722">
        <v>-26083.93</v>
      </c>
      <c r="J17" s="944">
        <v>-197.54999999999998</v>
      </c>
      <c r="K17" s="722">
        <v>3725.0099999999998</v>
      </c>
      <c r="L17" s="944">
        <v>-12347.72</v>
      </c>
      <c r="M17" s="922">
        <v>-29425.579999999998</v>
      </c>
      <c r="N17" s="944">
        <v>-85966.1</v>
      </c>
      <c r="O17" s="722">
        <v>-69487.47</v>
      </c>
      <c r="P17" s="944">
        <f t="shared" si="0"/>
        <v>-550358.27</v>
      </c>
      <c r="Q17" s="120">
        <f t="shared" si="1"/>
        <v>13</v>
      </c>
      <c r="R17" s="193"/>
    </row>
    <row r="18" spans="1:18" ht="31" x14ac:dyDescent="0.35">
      <c r="A18" s="942">
        <f t="shared" si="2"/>
        <v>14</v>
      </c>
      <c r="B18" s="901">
        <v>6977</v>
      </c>
      <c r="C18" s="959" t="s">
        <v>435</v>
      </c>
      <c r="D18" s="93">
        <v>0</v>
      </c>
      <c r="E18" s="148">
        <v>0</v>
      </c>
      <c r="F18" s="93">
        <v>0.63</v>
      </c>
      <c r="G18" s="148">
        <v>0</v>
      </c>
      <c r="H18" s="93">
        <v>119.55</v>
      </c>
      <c r="I18" s="148">
        <v>0</v>
      </c>
      <c r="J18" s="93">
        <v>4.99</v>
      </c>
      <c r="K18" s="148">
        <v>5.82</v>
      </c>
      <c r="L18" s="93">
        <v>0</v>
      </c>
      <c r="M18" s="148">
        <v>0</v>
      </c>
      <c r="N18" s="93">
        <v>-186.70999999999998</v>
      </c>
      <c r="O18" s="148">
        <v>0</v>
      </c>
      <c r="P18" s="93">
        <f t="shared" si="0"/>
        <v>-55.72</v>
      </c>
      <c r="Q18" s="120">
        <f t="shared" si="1"/>
        <v>14</v>
      </c>
      <c r="R18" s="22"/>
    </row>
    <row r="19" spans="1:18" ht="16" thickBot="1" x14ac:dyDescent="0.4">
      <c r="A19" s="642">
        <f t="shared" si="2"/>
        <v>15</v>
      </c>
      <c r="B19" s="121">
        <v>7070</v>
      </c>
      <c r="C19" s="960" t="s">
        <v>436</v>
      </c>
      <c r="D19" s="931">
        <v>0</v>
      </c>
      <c r="E19" s="721">
        <v>0</v>
      </c>
      <c r="F19" s="931">
        <v>0</v>
      </c>
      <c r="G19" s="721">
        <v>0</v>
      </c>
      <c r="H19" s="931">
        <v>0</v>
      </c>
      <c r="I19" s="721">
        <v>56.62</v>
      </c>
      <c r="J19" s="931">
        <v>0</v>
      </c>
      <c r="K19" s="721">
        <v>0</v>
      </c>
      <c r="L19" s="931">
        <v>0</v>
      </c>
      <c r="M19" s="721">
        <v>0.06</v>
      </c>
      <c r="N19" s="931">
        <v>-2500.17</v>
      </c>
      <c r="O19" s="721">
        <v>14.88</v>
      </c>
      <c r="P19" s="931">
        <f t="shared" si="0"/>
        <v>-2428.61</v>
      </c>
      <c r="Q19" s="121">
        <f t="shared" si="1"/>
        <v>15</v>
      </c>
      <c r="R19" s="22"/>
    </row>
    <row r="20" spans="1:18" ht="15.5" x14ac:dyDescent="0.35">
      <c r="A20" s="187">
        <f t="shared" si="2"/>
        <v>16</v>
      </c>
      <c r="B20" s="120">
        <v>7078</v>
      </c>
      <c r="C20" s="125" t="s">
        <v>437</v>
      </c>
      <c r="D20" s="93">
        <v>-310.18</v>
      </c>
      <c r="E20" s="148">
        <v>11.31</v>
      </c>
      <c r="F20" s="93">
        <v>-1.06</v>
      </c>
      <c r="G20" s="148">
        <v>7.37</v>
      </c>
      <c r="H20" s="93">
        <v>-126.74000000000001</v>
      </c>
      <c r="I20" s="148">
        <v>132.85000000000002</v>
      </c>
      <c r="J20" s="93">
        <v>-20.720000000000002</v>
      </c>
      <c r="K20" s="148">
        <v>131.63</v>
      </c>
      <c r="L20" s="93">
        <v>-206.6</v>
      </c>
      <c r="M20" s="148">
        <v>14.99</v>
      </c>
      <c r="N20" s="93">
        <v>-70.510000000000005</v>
      </c>
      <c r="O20" s="148">
        <v>-68.569999999999993</v>
      </c>
      <c r="P20" s="93">
        <f t="shared" si="0"/>
        <v>-506.22999999999996</v>
      </c>
      <c r="Q20" s="120">
        <f t="shared" si="1"/>
        <v>16</v>
      </c>
      <c r="R20" s="22"/>
    </row>
    <row r="21" spans="1:18" ht="15.5" x14ac:dyDescent="0.35">
      <c r="A21" s="187">
        <f t="shared" si="2"/>
        <v>17</v>
      </c>
      <c r="B21" s="120">
        <v>7989</v>
      </c>
      <c r="C21" s="125" t="s">
        <v>438</v>
      </c>
      <c r="D21" s="93">
        <f>-25838.13-'WP 12 PTO'!D7</f>
        <v>0</v>
      </c>
      <c r="E21" s="148">
        <f>-114749-'WP 12 PTO'!E7</f>
        <v>-30.899999999994179</v>
      </c>
      <c r="F21" s="93">
        <f>-67984.84-'WP 12 PTO'!F7</f>
        <v>0</v>
      </c>
      <c r="G21" s="148">
        <f>-43317.69-'WP 12 PTO'!G7</f>
        <v>114594.73999999999</v>
      </c>
      <c r="H21" s="93">
        <f>-5.87-'WP 12 PTO'!H7</f>
        <v>112354.82</v>
      </c>
      <c r="I21" s="148">
        <f>-235506.7-'WP 12 PTO'!I7</f>
        <v>-228698.14</v>
      </c>
      <c r="J21" s="93">
        <f>-133322.82-'WP 12 PTO'!J7</f>
        <v>-2.4800000000104774</v>
      </c>
      <c r="K21" s="148">
        <f>-275791.65-'WP 12 PTO'!K7</f>
        <v>-23.500000000058208</v>
      </c>
      <c r="L21" s="93">
        <f>-132858.37-'WP 12 PTO'!L7</f>
        <v>-75.450000000011642</v>
      </c>
      <c r="M21" s="148">
        <f>-15695.47-'WP 12 PTO'!M7</f>
        <v>-45.940000000000509</v>
      </c>
      <c r="N21" s="93">
        <f>-5759.83-'WP 12 PTO'!N7</f>
        <v>0</v>
      </c>
      <c r="O21" s="148">
        <f>-4683.6-'WP 12 PTO'!O7</f>
        <v>-375.85000000000036</v>
      </c>
      <c r="P21" s="93">
        <f t="shared" si="0"/>
        <v>-2302.7000000000917</v>
      </c>
      <c r="Q21" s="120">
        <f t="shared" si="1"/>
        <v>17</v>
      </c>
      <c r="R21" s="22"/>
    </row>
    <row r="22" spans="1:18" ht="15.5" x14ac:dyDescent="0.35">
      <c r="A22" s="187">
        <f t="shared" si="2"/>
        <v>18</v>
      </c>
      <c r="B22" s="120">
        <v>8526</v>
      </c>
      <c r="C22" s="125" t="s">
        <v>439</v>
      </c>
      <c r="D22" s="93">
        <v>0</v>
      </c>
      <c r="E22" s="148">
        <v>0</v>
      </c>
      <c r="F22" s="93">
        <v>0</v>
      </c>
      <c r="G22" s="148">
        <v>0</v>
      </c>
      <c r="H22" s="93">
        <f>-400.82-'WP 12 PTO'!H11</f>
        <v>-384.3</v>
      </c>
      <c r="I22" s="148">
        <v>0</v>
      </c>
      <c r="J22" s="93">
        <v>0</v>
      </c>
      <c r="K22" s="148">
        <v>0</v>
      </c>
      <c r="L22" s="93">
        <v>0</v>
      </c>
      <c r="M22" s="148">
        <v>0</v>
      </c>
      <c r="N22" s="93">
        <v>0</v>
      </c>
      <c r="O22" s="148">
        <f>-147968.44-'WP 12 PTO'!O11</f>
        <v>-9.1000000247731805E-4</v>
      </c>
      <c r="P22" s="93">
        <f t="shared" si="0"/>
        <v>-384.30091000000249</v>
      </c>
      <c r="Q22" s="120">
        <f t="shared" si="1"/>
        <v>18</v>
      </c>
      <c r="R22" s="22"/>
    </row>
    <row r="23" spans="1:18" ht="15.5" x14ac:dyDescent="0.35">
      <c r="A23" s="187">
        <f t="shared" si="2"/>
        <v>19</v>
      </c>
      <c r="B23" s="120">
        <v>8989</v>
      </c>
      <c r="C23" s="125" t="s">
        <v>473</v>
      </c>
      <c r="D23" s="93">
        <v>0</v>
      </c>
      <c r="E23" s="148">
        <v>0</v>
      </c>
      <c r="F23" s="93">
        <v>0</v>
      </c>
      <c r="G23" s="148">
        <v>0</v>
      </c>
      <c r="H23" s="93">
        <v>0</v>
      </c>
      <c r="I23" s="148">
        <v>0</v>
      </c>
      <c r="J23" s="93">
        <v>0</v>
      </c>
      <c r="K23" s="148">
        <v>0</v>
      </c>
      <c r="L23" s="93">
        <f>0.37-'WP 12 PTO'!L13</f>
        <v>0.37</v>
      </c>
      <c r="M23" s="148">
        <v>0</v>
      </c>
      <c r="N23" s="93">
        <v>0</v>
      </c>
      <c r="O23" s="148">
        <f>0-'WP 12 PTO'!O13</f>
        <v>0</v>
      </c>
      <c r="P23" s="93">
        <f t="shared" si="0"/>
        <v>0.37</v>
      </c>
      <c r="Q23" s="120">
        <f t="shared" si="1"/>
        <v>19</v>
      </c>
      <c r="R23" s="22"/>
    </row>
    <row r="24" spans="1:18" ht="15.5" x14ac:dyDescent="0.35">
      <c r="A24" s="187">
        <f>A23+1</f>
        <v>20</v>
      </c>
      <c r="B24" s="120">
        <v>8999</v>
      </c>
      <c r="C24" s="125" t="s">
        <v>472</v>
      </c>
      <c r="D24" s="93">
        <v>0</v>
      </c>
      <c r="E24" s="148">
        <v>0</v>
      </c>
      <c r="F24" s="93">
        <v>0</v>
      </c>
      <c r="G24" s="148">
        <v>0</v>
      </c>
      <c r="H24" s="93">
        <v>0</v>
      </c>
      <c r="I24" s="148">
        <v>0</v>
      </c>
      <c r="J24" s="93">
        <v>0</v>
      </c>
      <c r="K24" s="148">
        <v>0</v>
      </c>
      <c r="L24" s="93">
        <v>0</v>
      </c>
      <c r="M24" s="148">
        <v>0</v>
      </c>
      <c r="N24" s="93">
        <v>0</v>
      </c>
      <c r="O24" s="148">
        <f>0-'WP 12 PTO'!O15</f>
        <v>0</v>
      </c>
      <c r="P24" s="93">
        <f t="shared" si="0"/>
        <v>0</v>
      </c>
      <c r="Q24" s="120">
        <f t="shared" si="1"/>
        <v>20</v>
      </c>
      <c r="R24" s="22"/>
    </row>
    <row r="25" spans="1:18" ht="16" thickBot="1" x14ac:dyDescent="0.4">
      <c r="A25" s="187">
        <f>A24+1</f>
        <v>21</v>
      </c>
      <c r="B25" s="120"/>
      <c r="C25" s="125"/>
      <c r="D25" s="931"/>
      <c r="E25" s="721"/>
      <c r="F25" s="931"/>
      <c r="G25" s="721"/>
      <c r="H25" s="931"/>
      <c r="I25" s="721"/>
      <c r="J25" s="931"/>
      <c r="K25" s="148"/>
      <c r="L25" s="93"/>
      <c r="M25" s="148"/>
      <c r="N25" s="93"/>
      <c r="O25" s="148"/>
      <c r="P25" s="931"/>
      <c r="Q25" s="120">
        <f t="shared" si="1"/>
        <v>21</v>
      </c>
      <c r="R25" s="22"/>
    </row>
    <row r="26" spans="1:18" ht="16" thickBot="1" x14ac:dyDescent="0.4">
      <c r="A26" s="925">
        <f>A25+1</f>
        <v>22</v>
      </c>
      <c r="B26" s="926"/>
      <c r="C26" s="957" t="s">
        <v>440</v>
      </c>
      <c r="D26" s="945"/>
      <c r="E26" s="927"/>
      <c r="F26" s="945"/>
      <c r="G26" s="927"/>
      <c r="H26" s="945"/>
      <c r="I26" s="927"/>
      <c r="J26" s="945"/>
      <c r="K26" s="927"/>
      <c r="L26" s="955"/>
      <c r="M26" s="927"/>
      <c r="N26" s="945"/>
      <c r="O26" s="927"/>
      <c r="P26" s="963"/>
      <c r="Q26" s="964">
        <f t="shared" si="1"/>
        <v>22</v>
      </c>
    </row>
    <row r="27" spans="1:18" ht="15.5" x14ac:dyDescent="0.35">
      <c r="A27" s="187">
        <f>A26+1</f>
        <v>23</v>
      </c>
      <c r="B27" s="527" t="s">
        <v>441</v>
      </c>
      <c r="C27" s="125" t="s">
        <v>442</v>
      </c>
      <c r="D27" s="93">
        <v>0</v>
      </c>
      <c r="E27" s="148">
        <v>0.5</v>
      </c>
      <c r="F27" s="93">
        <v>0</v>
      </c>
      <c r="G27" s="148">
        <v>0</v>
      </c>
      <c r="H27" s="93">
        <v>0</v>
      </c>
      <c r="I27" s="148">
        <v>0.96</v>
      </c>
      <c r="J27" s="93">
        <v>0</v>
      </c>
      <c r="K27" s="148">
        <v>0</v>
      </c>
      <c r="L27" s="93">
        <v>-0.96</v>
      </c>
      <c r="M27" s="148">
        <v>0</v>
      </c>
      <c r="N27" s="93">
        <v>117.78</v>
      </c>
      <c r="O27" s="148">
        <v>0</v>
      </c>
      <c r="P27" s="93">
        <f t="shared" ref="P27:P47" si="3">SUM(D27:O27)</f>
        <v>118.28</v>
      </c>
      <c r="Q27" s="120">
        <f t="shared" si="1"/>
        <v>23</v>
      </c>
      <c r="R27" s="22"/>
    </row>
    <row r="28" spans="1:18" ht="15.5" x14ac:dyDescent="0.35">
      <c r="A28" s="187">
        <f>A27+1</f>
        <v>24</v>
      </c>
      <c r="B28" s="527">
        <v>4515</v>
      </c>
      <c r="C28" s="125" t="s">
        <v>443</v>
      </c>
      <c r="D28" s="93">
        <v>29.380000000000003</v>
      </c>
      <c r="E28" s="148">
        <v>24.619999999999997</v>
      </c>
      <c r="F28" s="93">
        <v>16.470000000000002</v>
      </c>
      <c r="G28" s="148">
        <v>7.92</v>
      </c>
      <c r="H28" s="93">
        <v>15.84</v>
      </c>
      <c r="I28" s="148">
        <v>28.939999999999998</v>
      </c>
      <c r="J28" s="93">
        <v>10.049999999999999</v>
      </c>
      <c r="K28" s="148">
        <v>8.4</v>
      </c>
      <c r="L28" s="93">
        <v>14.419999999999998</v>
      </c>
      <c r="M28" s="148">
        <v>20.100000000000001</v>
      </c>
      <c r="N28" s="93">
        <v>22.48</v>
      </c>
      <c r="O28" s="148">
        <v>17.66</v>
      </c>
      <c r="P28" s="93">
        <f t="shared" si="3"/>
        <v>216.27999999999997</v>
      </c>
      <c r="Q28" s="120">
        <f t="shared" si="1"/>
        <v>24</v>
      </c>
      <c r="R28" s="22"/>
    </row>
    <row r="29" spans="1:18" ht="15.5" x14ac:dyDescent="0.35">
      <c r="A29" s="187">
        <f t="shared" si="2"/>
        <v>25</v>
      </c>
      <c r="B29" s="120">
        <v>4560</v>
      </c>
      <c r="C29" s="125" t="s">
        <v>444</v>
      </c>
      <c r="D29" s="93">
        <v>4003.29</v>
      </c>
      <c r="E29" s="148">
        <v>1400.15</v>
      </c>
      <c r="F29" s="93">
        <v>5438.11</v>
      </c>
      <c r="G29" s="148">
        <v>248.66</v>
      </c>
      <c r="H29" s="93">
        <v>40447.480000000003</v>
      </c>
      <c r="I29" s="148">
        <v>85840.8</v>
      </c>
      <c r="J29" s="93">
        <v>16726.749999999996</v>
      </c>
      <c r="K29" s="148">
        <v>633.54000000000008</v>
      </c>
      <c r="L29" s="93">
        <v>748.19</v>
      </c>
      <c r="M29" s="148">
        <v>320.18</v>
      </c>
      <c r="N29" s="93">
        <v>1666.08</v>
      </c>
      <c r="O29" s="148">
        <v>1336.4</v>
      </c>
      <c r="P29" s="93">
        <f t="shared" si="3"/>
        <v>158809.62999999998</v>
      </c>
      <c r="Q29" s="120">
        <f t="shared" si="1"/>
        <v>25</v>
      </c>
      <c r="R29" s="22"/>
    </row>
    <row r="30" spans="1:18" ht="15.5" x14ac:dyDescent="0.35">
      <c r="A30" s="187">
        <f t="shared" si="2"/>
        <v>26</v>
      </c>
      <c r="B30" s="120">
        <v>4561</v>
      </c>
      <c r="C30" s="125" t="s">
        <v>445</v>
      </c>
      <c r="D30" s="93">
        <v>129.87</v>
      </c>
      <c r="E30" s="148">
        <v>134.69</v>
      </c>
      <c r="F30" s="93">
        <v>142.22</v>
      </c>
      <c r="G30" s="148">
        <v>82</v>
      </c>
      <c r="H30" s="93">
        <v>-121.51</v>
      </c>
      <c r="I30" s="148">
        <v>207.82000000000002</v>
      </c>
      <c r="J30" s="93">
        <v>129.38</v>
      </c>
      <c r="K30" s="148">
        <v>171.66</v>
      </c>
      <c r="L30" s="93">
        <v>138.91</v>
      </c>
      <c r="M30" s="148">
        <v>139.12</v>
      </c>
      <c r="N30" s="93">
        <v>390.2</v>
      </c>
      <c r="O30" s="148">
        <v>32.64</v>
      </c>
      <c r="P30" s="93">
        <f t="shared" si="3"/>
        <v>1577</v>
      </c>
      <c r="Q30" s="120">
        <f t="shared" si="1"/>
        <v>26</v>
      </c>
      <c r="R30" s="22"/>
    </row>
    <row r="31" spans="1:18" ht="16" thickBot="1" x14ac:dyDescent="0.4">
      <c r="A31" s="642">
        <f t="shared" si="2"/>
        <v>27</v>
      </c>
      <c r="B31" s="121">
        <v>4563</v>
      </c>
      <c r="C31" s="126" t="s">
        <v>446</v>
      </c>
      <c r="D31" s="931">
        <v>24664.32</v>
      </c>
      <c r="E31" s="721">
        <v>22283.46</v>
      </c>
      <c r="F31" s="931">
        <v>10290.06</v>
      </c>
      <c r="G31" s="721">
        <v>4702.32</v>
      </c>
      <c r="H31" s="931">
        <v>240.02999999999997</v>
      </c>
      <c r="I31" s="721">
        <v>2526.9300000000003</v>
      </c>
      <c r="J31" s="931">
        <v>82.62</v>
      </c>
      <c r="K31" s="721">
        <v>-304.29000000000002</v>
      </c>
      <c r="L31" s="931">
        <v>4456.8900000000003</v>
      </c>
      <c r="M31" s="721">
        <v>10935.72</v>
      </c>
      <c r="N31" s="931">
        <v>17366.72</v>
      </c>
      <c r="O31" s="721">
        <v>17077.32</v>
      </c>
      <c r="P31" s="931">
        <f t="shared" si="3"/>
        <v>114322.1</v>
      </c>
      <c r="Q31" s="121">
        <f t="shared" si="1"/>
        <v>27</v>
      </c>
      <c r="R31" s="22"/>
    </row>
    <row r="32" spans="1:18" ht="15.5" x14ac:dyDescent="0.35">
      <c r="A32" s="187">
        <f t="shared" si="2"/>
        <v>28</v>
      </c>
      <c r="B32" s="120">
        <v>4575</v>
      </c>
      <c r="C32" s="125" t="s">
        <v>447</v>
      </c>
      <c r="D32" s="93">
        <v>1500</v>
      </c>
      <c r="E32" s="148">
        <v>1500</v>
      </c>
      <c r="F32" s="93">
        <v>1500</v>
      </c>
      <c r="G32" s="148">
        <v>1500</v>
      </c>
      <c r="H32" s="93">
        <v>1500</v>
      </c>
      <c r="I32" s="148">
        <v>1500</v>
      </c>
      <c r="J32" s="93">
        <v>1500</v>
      </c>
      <c r="K32" s="148">
        <v>1500</v>
      </c>
      <c r="L32" s="93">
        <v>1500</v>
      </c>
      <c r="M32" s="148">
        <v>1500</v>
      </c>
      <c r="N32" s="93">
        <v>1500</v>
      </c>
      <c r="O32" s="148">
        <v>1500</v>
      </c>
      <c r="P32" s="93">
        <f t="shared" si="3"/>
        <v>18000</v>
      </c>
      <c r="Q32" s="120">
        <f t="shared" si="1"/>
        <v>28</v>
      </c>
      <c r="R32" s="22"/>
    </row>
    <row r="33" spans="1:19" ht="17.25" customHeight="1" x14ac:dyDescent="0.35">
      <c r="A33" s="187">
        <f t="shared" si="2"/>
        <v>29</v>
      </c>
      <c r="B33" s="527">
        <v>6196</v>
      </c>
      <c r="C33" s="125" t="s">
        <v>448</v>
      </c>
      <c r="D33" s="93">
        <v>0</v>
      </c>
      <c r="E33" s="148">
        <v>-0.13</v>
      </c>
      <c r="F33" s="93">
        <v>-2.4700000000000002</v>
      </c>
      <c r="G33" s="148">
        <v>0</v>
      </c>
      <c r="H33" s="93">
        <v>0</v>
      </c>
      <c r="I33" s="148">
        <v>0</v>
      </c>
      <c r="J33" s="93">
        <v>0</v>
      </c>
      <c r="K33" s="148">
        <v>0.36</v>
      </c>
      <c r="L33" s="93">
        <v>7.88</v>
      </c>
      <c r="M33" s="148">
        <v>0</v>
      </c>
      <c r="N33" s="93">
        <v>6.09</v>
      </c>
      <c r="O33" s="148">
        <v>0</v>
      </c>
      <c r="P33" s="93">
        <f t="shared" si="3"/>
        <v>11.73</v>
      </c>
      <c r="Q33" s="120">
        <f t="shared" si="1"/>
        <v>29</v>
      </c>
      <c r="R33" s="22"/>
    </row>
    <row r="34" spans="1:19" ht="15.5" x14ac:dyDescent="0.35">
      <c r="A34" s="187">
        <f t="shared" si="2"/>
        <v>30</v>
      </c>
      <c r="B34" s="120">
        <v>6296</v>
      </c>
      <c r="C34" s="125" t="s">
        <v>449</v>
      </c>
      <c r="D34" s="93">
        <v>0</v>
      </c>
      <c r="E34" s="148">
        <v>0</v>
      </c>
      <c r="F34" s="93">
        <v>-0.22</v>
      </c>
      <c r="G34" s="148">
        <v>0</v>
      </c>
      <c r="H34" s="93">
        <v>0</v>
      </c>
      <c r="I34" s="148">
        <v>-0.01</v>
      </c>
      <c r="J34" s="93">
        <v>0</v>
      </c>
      <c r="K34" s="148">
        <v>0.32</v>
      </c>
      <c r="L34" s="93">
        <v>4.72</v>
      </c>
      <c r="M34" s="148">
        <v>0</v>
      </c>
      <c r="N34" s="93">
        <v>22.25</v>
      </c>
      <c r="O34" s="148">
        <v>0</v>
      </c>
      <c r="P34" s="93">
        <f t="shared" si="3"/>
        <v>27.06</v>
      </c>
      <c r="Q34" s="120">
        <f t="shared" si="1"/>
        <v>30</v>
      </c>
      <c r="R34" s="22"/>
    </row>
    <row r="35" spans="1:19" ht="15.5" x14ac:dyDescent="0.35">
      <c r="A35" s="187">
        <f t="shared" si="2"/>
        <v>31</v>
      </c>
      <c r="B35" s="120">
        <v>6456</v>
      </c>
      <c r="C35" s="125" t="s">
        <v>450</v>
      </c>
      <c r="D35" s="93">
        <v>0</v>
      </c>
      <c r="E35" s="148">
        <v>0</v>
      </c>
      <c r="F35" s="93">
        <v>0</v>
      </c>
      <c r="G35" s="148">
        <v>0</v>
      </c>
      <c r="H35" s="93">
        <v>670281.14</v>
      </c>
      <c r="I35" s="148">
        <v>0</v>
      </c>
      <c r="J35" s="93">
        <v>-1818.3</v>
      </c>
      <c r="K35" s="148">
        <v>-512.16999999999996</v>
      </c>
      <c r="L35" s="93">
        <v>0</v>
      </c>
      <c r="M35" s="148">
        <v>0</v>
      </c>
      <c r="N35" s="93">
        <v>22660.18</v>
      </c>
      <c r="O35" s="148">
        <v>0</v>
      </c>
      <c r="P35" s="93">
        <f t="shared" si="3"/>
        <v>690610.85</v>
      </c>
      <c r="Q35" s="120">
        <f t="shared" si="1"/>
        <v>31</v>
      </c>
      <c r="R35" s="22"/>
    </row>
    <row r="36" spans="1:19" ht="16" thickBot="1" x14ac:dyDescent="0.4">
      <c r="A36" s="642">
        <f t="shared" si="2"/>
        <v>32</v>
      </c>
      <c r="B36" s="528">
        <v>6460</v>
      </c>
      <c r="C36" s="126" t="s">
        <v>451</v>
      </c>
      <c r="D36" s="931">
        <v>27305.670000000002</v>
      </c>
      <c r="E36" s="721">
        <v>-370.72000000000025</v>
      </c>
      <c r="F36" s="931">
        <v>12248.32</v>
      </c>
      <c r="G36" s="721">
        <v>10.46</v>
      </c>
      <c r="H36" s="931">
        <v>-19385.789999999997</v>
      </c>
      <c r="I36" s="721">
        <v>-204685.41999999998</v>
      </c>
      <c r="J36" s="931">
        <v>-50763.71</v>
      </c>
      <c r="K36" s="721">
        <v>0</v>
      </c>
      <c r="L36" s="931">
        <v>-573.91</v>
      </c>
      <c r="M36" s="721">
        <v>-72.67</v>
      </c>
      <c r="N36" s="931">
        <v>-38151.910000000003</v>
      </c>
      <c r="O36" s="721">
        <v>6040.25</v>
      </c>
      <c r="P36" s="931">
        <f t="shared" si="3"/>
        <v>-268399.43</v>
      </c>
      <c r="Q36" s="121">
        <f t="shared" si="1"/>
        <v>32</v>
      </c>
      <c r="R36" s="22"/>
    </row>
    <row r="37" spans="1:19" ht="15.5" x14ac:dyDescent="0.35">
      <c r="A37" s="187">
        <f t="shared" si="2"/>
        <v>33</v>
      </c>
      <c r="B37" s="120">
        <v>6470</v>
      </c>
      <c r="C37" s="125" t="s">
        <v>452</v>
      </c>
      <c r="D37" s="93">
        <v>-20523.63</v>
      </c>
      <c r="E37" s="148">
        <v>-90.46</v>
      </c>
      <c r="F37" s="93">
        <v>617.51</v>
      </c>
      <c r="G37" s="148">
        <v>-46.97</v>
      </c>
      <c r="H37" s="93">
        <v>-819.86</v>
      </c>
      <c r="I37" s="148">
        <v>-361.34</v>
      </c>
      <c r="J37" s="93">
        <v>1552.51</v>
      </c>
      <c r="K37" s="148">
        <v>-2431.9499999999998</v>
      </c>
      <c r="L37" s="93">
        <v>-2400.4199999999996</v>
      </c>
      <c r="M37" s="148">
        <v>-408.75</v>
      </c>
      <c r="N37" s="93">
        <v>93319.96</v>
      </c>
      <c r="O37" s="148">
        <v>374.51</v>
      </c>
      <c r="P37" s="93">
        <f t="shared" si="3"/>
        <v>68781.11</v>
      </c>
      <c r="Q37" s="120">
        <f t="shared" si="1"/>
        <v>33</v>
      </c>
      <c r="R37" s="22"/>
    </row>
    <row r="38" spans="1:19" ht="15.5" x14ac:dyDescent="0.35">
      <c r="A38" s="187">
        <f t="shared" si="2"/>
        <v>34</v>
      </c>
      <c r="B38" s="120">
        <v>6477</v>
      </c>
      <c r="C38" s="125" t="s">
        <v>453</v>
      </c>
      <c r="D38" s="93">
        <v>0</v>
      </c>
      <c r="E38" s="148">
        <v>-7.94</v>
      </c>
      <c r="F38" s="93">
        <v>-0.60000000000000009</v>
      </c>
      <c r="G38" s="148">
        <v>-39.200000000000003</v>
      </c>
      <c r="H38" s="93">
        <v>-1380.47</v>
      </c>
      <c r="I38" s="148">
        <v>0</v>
      </c>
      <c r="J38" s="93">
        <v>26.84</v>
      </c>
      <c r="K38" s="148">
        <v>-804.87</v>
      </c>
      <c r="L38" s="93">
        <v>0.37999999999999989</v>
      </c>
      <c r="M38" s="148">
        <v>-0.02</v>
      </c>
      <c r="N38" s="93">
        <v>978.49999999999989</v>
      </c>
      <c r="O38" s="148">
        <v>-7.0000000000000007E-2</v>
      </c>
      <c r="P38" s="93">
        <f t="shared" si="3"/>
        <v>-1227.45</v>
      </c>
      <c r="Q38" s="120">
        <f t="shared" si="1"/>
        <v>34</v>
      </c>
      <c r="R38" s="22"/>
    </row>
    <row r="39" spans="1:19" ht="15.5" x14ac:dyDescent="0.35">
      <c r="A39" s="187">
        <f>A38+1</f>
        <v>35</v>
      </c>
      <c r="B39" s="120" t="s">
        <v>454</v>
      </c>
      <c r="C39" s="125" t="s">
        <v>455</v>
      </c>
      <c r="D39" s="93">
        <v>0</v>
      </c>
      <c r="E39" s="148">
        <v>0</v>
      </c>
      <c r="F39" s="93">
        <v>0</v>
      </c>
      <c r="G39" s="148">
        <v>0</v>
      </c>
      <c r="H39" s="93">
        <v>0</v>
      </c>
      <c r="I39" s="148">
        <v>0</v>
      </c>
      <c r="J39" s="93">
        <v>0</v>
      </c>
      <c r="K39" s="148">
        <v>0</v>
      </c>
      <c r="L39" s="93">
        <v>0</v>
      </c>
      <c r="M39" s="148">
        <v>0</v>
      </c>
      <c r="N39" s="93">
        <v>0.03</v>
      </c>
      <c r="O39" s="148">
        <v>0</v>
      </c>
      <c r="P39" s="93">
        <f t="shared" si="3"/>
        <v>0.03</v>
      </c>
      <c r="Q39" s="120">
        <f t="shared" si="1"/>
        <v>35</v>
      </c>
      <c r="R39" s="22"/>
    </row>
    <row r="40" spans="1:19" ht="15.5" x14ac:dyDescent="0.35">
      <c r="A40" s="187">
        <f>A39+1</f>
        <v>36</v>
      </c>
      <c r="B40" s="120">
        <v>6678</v>
      </c>
      <c r="C40" s="125" t="s">
        <v>456</v>
      </c>
      <c r="D40" s="93">
        <v>0</v>
      </c>
      <c r="E40" s="148">
        <v>4.28</v>
      </c>
      <c r="F40" s="93">
        <v>10.34</v>
      </c>
      <c r="G40" s="148">
        <v>0</v>
      </c>
      <c r="H40" s="93">
        <v>812.40000000000009</v>
      </c>
      <c r="I40" s="148">
        <v>0</v>
      </c>
      <c r="J40" s="93">
        <v>-24.17</v>
      </c>
      <c r="K40" s="148">
        <v>-23.35</v>
      </c>
      <c r="L40" s="93">
        <v>0</v>
      </c>
      <c r="M40" s="148">
        <v>-0.59</v>
      </c>
      <c r="N40" s="93">
        <v>453.23</v>
      </c>
      <c r="O40" s="148">
        <v>-0.1</v>
      </c>
      <c r="P40" s="93">
        <f t="shared" si="3"/>
        <v>1232.0400000000002</v>
      </c>
      <c r="Q40" s="120">
        <f t="shared" si="1"/>
        <v>36</v>
      </c>
      <c r="R40" s="22"/>
    </row>
    <row r="41" spans="1:19" ht="16" thickBot="1" x14ac:dyDescent="0.4">
      <c r="A41" s="642">
        <f t="shared" si="2"/>
        <v>37</v>
      </c>
      <c r="B41" s="121">
        <v>6774</v>
      </c>
      <c r="C41" s="126" t="s">
        <v>457</v>
      </c>
      <c r="D41" s="931">
        <v>0</v>
      </c>
      <c r="E41" s="721">
        <v>6.38</v>
      </c>
      <c r="F41" s="931">
        <v>17.53</v>
      </c>
      <c r="G41" s="721">
        <v>0.01</v>
      </c>
      <c r="H41" s="931">
        <v>178.49</v>
      </c>
      <c r="I41" s="721">
        <v>1.39</v>
      </c>
      <c r="J41" s="931">
        <v>-38.46</v>
      </c>
      <c r="K41" s="721">
        <v>193.61</v>
      </c>
      <c r="L41" s="931">
        <v>-0.89999999999999991</v>
      </c>
      <c r="M41" s="721">
        <v>0</v>
      </c>
      <c r="N41" s="931">
        <v>842.39999999999986</v>
      </c>
      <c r="O41" s="721">
        <v>0</v>
      </c>
      <c r="P41" s="931">
        <f t="shared" si="3"/>
        <v>1200.4499999999998</v>
      </c>
      <c r="Q41" s="121">
        <f t="shared" si="1"/>
        <v>37</v>
      </c>
      <c r="R41" s="22"/>
    </row>
    <row r="42" spans="1:19" ht="17.25" customHeight="1" x14ac:dyDescent="0.35">
      <c r="A42" s="187">
        <f t="shared" si="2"/>
        <v>38</v>
      </c>
      <c r="B42" s="120">
        <v>6790</v>
      </c>
      <c r="C42" s="125" t="s">
        <v>458</v>
      </c>
      <c r="D42" s="93">
        <v>0</v>
      </c>
      <c r="E42" s="148">
        <v>-2.13</v>
      </c>
      <c r="F42" s="93">
        <v>2.1399999999999997</v>
      </c>
      <c r="G42" s="148">
        <v>0.01</v>
      </c>
      <c r="H42" s="93">
        <v>232.92000000000002</v>
      </c>
      <c r="I42" s="148">
        <v>0</v>
      </c>
      <c r="J42" s="93">
        <v>8.68</v>
      </c>
      <c r="K42" s="148">
        <v>6.01</v>
      </c>
      <c r="L42" s="93">
        <v>0</v>
      </c>
      <c r="M42" s="148">
        <v>0</v>
      </c>
      <c r="N42" s="93">
        <v>74.429999999999993</v>
      </c>
      <c r="O42" s="148">
        <v>0</v>
      </c>
      <c r="P42" s="93">
        <f t="shared" si="3"/>
        <v>322.06</v>
      </c>
      <c r="Q42" s="120">
        <f t="shared" si="1"/>
        <v>38</v>
      </c>
      <c r="R42" s="22"/>
    </row>
    <row r="43" spans="1:19" ht="15.5" x14ac:dyDescent="0.35">
      <c r="A43" s="187">
        <f t="shared" si="2"/>
        <v>39</v>
      </c>
      <c r="B43" s="120">
        <v>6985</v>
      </c>
      <c r="C43" s="125" t="s">
        <v>459</v>
      </c>
      <c r="D43" s="93">
        <v>12269.76</v>
      </c>
      <c r="E43" s="148">
        <v>24967.55</v>
      </c>
      <c r="F43" s="93">
        <v>13239.91</v>
      </c>
      <c r="G43" s="148">
        <v>1054.22</v>
      </c>
      <c r="H43" s="93">
        <v>489.87</v>
      </c>
      <c r="I43" s="148">
        <v>-1791.67</v>
      </c>
      <c r="J43" s="93">
        <v>-1517.09</v>
      </c>
      <c r="K43" s="148">
        <v>394.94000000000005</v>
      </c>
      <c r="L43" s="93">
        <v>-513.24</v>
      </c>
      <c r="M43" s="148">
        <v>825.85000000000014</v>
      </c>
      <c r="N43" s="93">
        <v>-4290.57</v>
      </c>
      <c r="O43" s="148">
        <v>6729.45</v>
      </c>
      <c r="P43" s="93">
        <f t="shared" si="3"/>
        <v>51858.98000000001</v>
      </c>
      <c r="Q43" s="120">
        <f t="shared" si="1"/>
        <v>39</v>
      </c>
      <c r="R43" s="22"/>
    </row>
    <row r="44" spans="1:19" ht="15.5" x14ac:dyDescent="0.35">
      <c r="A44" s="187">
        <f t="shared" si="2"/>
        <v>40</v>
      </c>
      <c r="B44" s="527">
        <v>7077</v>
      </c>
      <c r="C44" s="125" t="s">
        <v>460</v>
      </c>
      <c r="D44" s="93">
        <v>0</v>
      </c>
      <c r="E44" s="148">
        <v>0</v>
      </c>
      <c r="F44" s="93">
        <v>-1.84</v>
      </c>
      <c r="G44" s="148">
        <v>0</v>
      </c>
      <c r="H44" s="93">
        <v>0</v>
      </c>
      <c r="I44" s="148">
        <v>0</v>
      </c>
      <c r="J44" s="93">
        <v>0</v>
      </c>
      <c r="K44" s="148">
        <v>-2.52</v>
      </c>
      <c r="L44" s="93">
        <v>293.08999999999997</v>
      </c>
      <c r="M44" s="148">
        <v>7.0000000000000007E-2</v>
      </c>
      <c r="N44" s="93">
        <v>97.09</v>
      </c>
      <c r="O44" s="148">
        <v>93.46</v>
      </c>
      <c r="P44" s="93">
        <f t="shared" si="3"/>
        <v>479.34999999999997</v>
      </c>
      <c r="Q44" s="120">
        <f t="shared" si="1"/>
        <v>40</v>
      </c>
      <c r="R44" s="22"/>
    </row>
    <row r="45" spans="1:19" ht="15.5" x14ac:dyDescent="0.35">
      <c r="A45" s="187">
        <f t="shared" si="2"/>
        <v>41</v>
      </c>
      <c r="B45" s="120">
        <v>7087</v>
      </c>
      <c r="C45" s="125" t="s">
        <v>461</v>
      </c>
      <c r="D45" s="93">
        <v>0</v>
      </c>
      <c r="E45" s="148">
        <v>0</v>
      </c>
      <c r="F45" s="93">
        <v>0</v>
      </c>
      <c r="G45" s="148">
        <v>0</v>
      </c>
      <c r="H45" s="93">
        <v>0</v>
      </c>
      <c r="I45" s="148">
        <v>0</v>
      </c>
      <c r="J45" s="93">
        <v>0</v>
      </c>
      <c r="K45" s="148">
        <v>0.05</v>
      </c>
      <c r="L45" s="93">
        <v>0.3</v>
      </c>
      <c r="M45" s="148">
        <v>0.06</v>
      </c>
      <c r="N45" s="93">
        <v>10.15</v>
      </c>
      <c r="O45" s="148">
        <v>0.01</v>
      </c>
      <c r="P45" s="93">
        <f t="shared" si="3"/>
        <v>10.57</v>
      </c>
      <c r="Q45" s="120">
        <f t="shared" si="1"/>
        <v>41</v>
      </c>
      <c r="R45" s="22"/>
    </row>
    <row r="46" spans="1:19" ht="15.5" x14ac:dyDescent="0.35">
      <c r="A46" s="187">
        <f t="shared" si="2"/>
        <v>42</v>
      </c>
      <c r="B46" s="120">
        <v>7088</v>
      </c>
      <c r="C46" s="149" t="s">
        <v>462</v>
      </c>
      <c r="D46" s="93">
        <v>0</v>
      </c>
      <c r="E46" s="148">
        <v>-0.04</v>
      </c>
      <c r="F46" s="93">
        <v>4.07</v>
      </c>
      <c r="G46" s="148">
        <v>0.01</v>
      </c>
      <c r="H46" s="93">
        <v>0.01</v>
      </c>
      <c r="I46" s="148">
        <v>0.01</v>
      </c>
      <c r="J46" s="93">
        <v>0.24</v>
      </c>
      <c r="K46" s="148">
        <v>0</v>
      </c>
      <c r="L46" s="93">
        <v>1.71</v>
      </c>
      <c r="M46" s="148">
        <v>-0.03</v>
      </c>
      <c r="N46" s="93">
        <v>-8.44</v>
      </c>
      <c r="O46" s="148">
        <v>0.66</v>
      </c>
      <c r="P46" s="93">
        <f t="shared" si="3"/>
        <v>-1.7999999999999998</v>
      </c>
      <c r="Q46" s="120">
        <f t="shared" si="1"/>
        <v>42</v>
      </c>
      <c r="R46" s="22"/>
    </row>
    <row r="47" spans="1:19" ht="15.5" x14ac:dyDescent="0.35">
      <c r="A47" s="187">
        <f t="shared" si="2"/>
        <v>43</v>
      </c>
      <c r="B47" s="120">
        <v>7999</v>
      </c>
      <c r="C47" s="149" t="s">
        <v>463</v>
      </c>
      <c r="D47" s="482">
        <f>226.41-'WP 12 PTO'!D9</f>
        <v>226.41</v>
      </c>
      <c r="E47" s="939">
        <f>43.3-'WP 12 PTO'!E9</f>
        <v>43.3</v>
      </c>
      <c r="F47" s="482">
        <f>663.9-'WP 12 PTO'!F9</f>
        <v>136.17999999999995</v>
      </c>
      <c r="G47" s="939">
        <f>1266.89-'WP 12 PTO'!G9</f>
        <v>110.03999999999996</v>
      </c>
      <c r="H47" s="482">
        <f>24346.45-'WP 12 PTO'!H9</f>
        <v>7.1400000000030559</v>
      </c>
      <c r="I47" s="939">
        <f>20698.52-'WP 12 PTO'!I9</f>
        <v>89.520000000000437</v>
      </c>
      <c r="J47" s="482">
        <f>13713.02-'WP 12 PTO'!J9</f>
        <v>27.790000000000873</v>
      </c>
      <c r="K47" s="939">
        <f>216.33-'WP 12 PTO'!K9</f>
        <v>213.37</v>
      </c>
      <c r="L47" s="482">
        <f>9902.06-'WP 12 PTO'!L9</f>
        <v>176.75</v>
      </c>
      <c r="M47" s="939">
        <f>26.74-'WP 12 PTO'!M9</f>
        <v>26.74</v>
      </c>
      <c r="N47" s="482">
        <f>258.46-'WP 12 PTO'!N9</f>
        <v>3.6799999999999784</v>
      </c>
      <c r="O47" s="939">
        <v>159.79999999999995</v>
      </c>
      <c r="P47" s="482">
        <f t="shared" si="3"/>
        <v>1220.7200000000041</v>
      </c>
      <c r="Q47" s="120">
        <f t="shared" si="1"/>
        <v>43</v>
      </c>
      <c r="R47" s="952"/>
      <c r="S47" s="953"/>
    </row>
    <row r="48" spans="1:19" ht="15.5" x14ac:dyDescent="0.35">
      <c r="A48" s="187">
        <f>A47+1</f>
        <v>44</v>
      </c>
      <c r="B48" s="120"/>
      <c r="C48" s="125"/>
      <c r="D48" s="93"/>
      <c r="E48" s="148"/>
      <c r="F48" s="93"/>
      <c r="G48" s="148"/>
      <c r="H48" s="93"/>
      <c r="I48" s="148"/>
      <c r="J48" s="93"/>
      <c r="K48" s="148"/>
      <c r="L48" s="93"/>
      <c r="M48" s="148"/>
      <c r="N48" s="93"/>
      <c r="O48" s="148"/>
      <c r="P48" s="93"/>
      <c r="Q48" s="120">
        <f t="shared" si="1"/>
        <v>44</v>
      </c>
      <c r="R48" s="22"/>
    </row>
    <row r="49" spans="1:19" ht="16" thickBot="1" x14ac:dyDescent="0.4">
      <c r="A49" s="187">
        <f t="shared" si="2"/>
        <v>45</v>
      </c>
      <c r="B49" s="186"/>
      <c r="C49" s="354" t="s">
        <v>464</v>
      </c>
      <c r="D49" s="486">
        <f t="shared" ref="D49:P49" si="4">SUM(D4:D47)</f>
        <v>-13371.33999999998</v>
      </c>
      <c r="E49" s="488">
        <f t="shared" si="4"/>
        <v>-50024.370000000032</v>
      </c>
      <c r="F49" s="486">
        <f t="shared" si="4"/>
        <v>4262.9000000000033</v>
      </c>
      <c r="G49" s="488">
        <f t="shared" si="4"/>
        <v>5433.1399999999749</v>
      </c>
      <c r="H49" s="486">
        <f t="shared" si="4"/>
        <v>877997.29000000015</v>
      </c>
      <c r="I49" s="488">
        <f t="shared" si="4"/>
        <v>899778.47000000009</v>
      </c>
      <c r="J49" s="486">
        <f t="shared" si="4"/>
        <v>73228.609999999986</v>
      </c>
      <c r="K49" s="488">
        <f t="shared" si="4"/>
        <v>-16999.950000000063</v>
      </c>
      <c r="L49" s="486">
        <f t="shared" si="4"/>
        <v>-24735.650000000005</v>
      </c>
      <c r="M49" s="488">
        <f t="shared" si="4"/>
        <v>-89893.799999999988</v>
      </c>
      <c r="N49" s="486">
        <f t="shared" si="4"/>
        <v>72844.999999999971</v>
      </c>
      <c r="O49" s="488">
        <f t="shared" si="4"/>
        <v>383280.57909000007</v>
      </c>
      <c r="P49" s="486">
        <f t="shared" si="4"/>
        <v>2121800.8790900009</v>
      </c>
      <c r="Q49" s="120">
        <f t="shared" si="1"/>
        <v>45</v>
      </c>
      <c r="R49" s="22"/>
    </row>
    <row r="50" spans="1:19" ht="16.5" thickTop="1" thickBot="1" x14ac:dyDescent="0.4">
      <c r="A50" s="642">
        <f t="shared" si="2"/>
        <v>46</v>
      </c>
      <c r="B50" s="126"/>
      <c r="C50" s="961"/>
      <c r="D50" s="946"/>
      <c r="E50" s="919"/>
      <c r="F50" s="946"/>
      <c r="G50" s="919"/>
      <c r="H50" s="946"/>
      <c r="I50" s="919"/>
      <c r="J50" s="318"/>
      <c r="K50" s="452"/>
      <c r="L50" s="318"/>
      <c r="M50" s="919"/>
      <c r="N50" s="946"/>
      <c r="O50" s="919"/>
      <c r="P50" s="318"/>
      <c r="Q50" s="121">
        <f t="shared" si="1"/>
        <v>46</v>
      </c>
      <c r="R50" s="22"/>
      <c r="S50" s="373"/>
    </row>
    <row r="51" spans="1:19" ht="15.5" x14ac:dyDescent="0.35">
      <c r="A51" s="640">
        <f t="shared" si="2"/>
        <v>47</v>
      </c>
      <c r="B51" s="247"/>
      <c r="C51" s="962"/>
      <c r="D51" s="950"/>
      <c r="E51" s="920"/>
      <c r="F51" s="950"/>
      <c r="G51" s="723"/>
      <c r="H51" s="78"/>
      <c r="I51" s="723"/>
      <c r="J51" s="950"/>
      <c r="K51" s="920"/>
      <c r="L51" s="950"/>
      <c r="M51" s="920"/>
      <c r="N51" s="950"/>
      <c r="O51" s="920"/>
      <c r="P51" s="78"/>
      <c r="Q51" s="150">
        <f t="shared" si="1"/>
        <v>47</v>
      </c>
      <c r="R51" s="22"/>
      <c r="S51" s="373"/>
    </row>
    <row r="52" spans="1:19" ht="15.5" x14ac:dyDescent="0.35">
      <c r="A52" s="187">
        <f t="shared" si="2"/>
        <v>48</v>
      </c>
      <c r="B52" s="125"/>
      <c r="C52" s="125" t="s">
        <v>485</v>
      </c>
      <c r="D52" s="947">
        <f t="shared" ref="D52:P52" si="5">D49</f>
        <v>-13371.33999999998</v>
      </c>
      <c r="E52" s="724">
        <f t="shared" si="5"/>
        <v>-50024.370000000032</v>
      </c>
      <c r="F52" s="947">
        <f t="shared" si="5"/>
        <v>4262.9000000000033</v>
      </c>
      <c r="G52" s="724">
        <f t="shared" si="5"/>
        <v>5433.1399999999749</v>
      </c>
      <c r="H52" s="947">
        <f t="shared" si="5"/>
        <v>877997.29000000015</v>
      </c>
      <c r="I52" s="724">
        <f t="shared" si="5"/>
        <v>899778.47000000009</v>
      </c>
      <c r="J52" s="947">
        <f t="shared" si="5"/>
        <v>73228.609999999986</v>
      </c>
      <c r="K52" s="724">
        <f t="shared" si="5"/>
        <v>-16999.950000000063</v>
      </c>
      <c r="L52" s="947">
        <f t="shared" si="5"/>
        <v>-24735.650000000005</v>
      </c>
      <c r="M52" s="724">
        <f t="shared" si="5"/>
        <v>-89893.799999999988</v>
      </c>
      <c r="N52" s="947">
        <f t="shared" si="5"/>
        <v>72844.999999999971</v>
      </c>
      <c r="O52" s="724">
        <f t="shared" si="5"/>
        <v>383280.57909000007</v>
      </c>
      <c r="P52" s="947">
        <f t="shared" si="5"/>
        <v>2121800.8790900009</v>
      </c>
      <c r="Q52" s="120">
        <f t="shared" si="1"/>
        <v>48</v>
      </c>
      <c r="R52" s="22"/>
    </row>
    <row r="53" spans="1:19" ht="15.5" x14ac:dyDescent="0.35">
      <c r="A53" s="187">
        <f t="shared" si="2"/>
        <v>49</v>
      </c>
      <c r="B53" s="125"/>
      <c r="C53" s="125" t="s">
        <v>465</v>
      </c>
      <c r="D53" s="948">
        <f>'WP 4 Monthly TRBAA '!C19</f>
        <v>-13371.33999999998</v>
      </c>
      <c r="E53" s="725">
        <f>'WP 4 Monthly TRBAA '!D19</f>
        <v>-50024.370000000032</v>
      </c>
      <c r="F53" s="948">
        <f>'WP 4 Monthly TRBAA '!E19</f>
        <v>4262.9000000000033</v>
      </c>
      <c r="G53" s="725">
        <f>'WP 4 Monthly TRBAA '!F19</f>
        <v>5433.1399999999749</v>
      </c>
      <c r="H53" s="948">
        <f>'WP 4 Monthly TRBAA '!G19</f>
        <v>877997.29000000015</v>
      </c>
      <c r="I53" s="725">
        <f>'WP 4 Monthly TRBAA '!H19</f>
        <v>899778.47000000009</v>
      </c>
      <c r="J53" s="948">
        <f>'WP 4 Monthly TRBAA '!I19</f>
        <v>73228.609999999986</v>
      </c>
      <c r="K53" s="725">
        <f>'WP 4 Monthly TRBAA '!J19</f>
        <v>-16999.950000000063</v>
      </c>
      <c r="L53" s="948">
        <f>'WP 4 Monthly TRBAA '!K19</f>
        <v>-24735.650000000005</v>
      </c>
      <c r="M53" s="923">
        <f>'WP 4 Monthly TRBAA '!L19</f>
        <v>-89893.799999999988</v>
      </c>
      <c r="N53" s="948">
        <f>'WP 4 Monthly TRBAA '!M19</f>
        <v>72844.999999999971</v>
      </c>
      <c r="O53" s="725">
        <f>'WP 4 Monthly TRBAA '!N19</f>
        <v>383280.57909000007</v>
      </c>
      <c r="P53" s="948">
        <f>SUM(D53:O53)</f>
        <v>2121800.8790900004</v>
      </c>
      <c r="Q53" s="120">
        <f t="shared" si="1"/>
        <v>49</v>
      </c>
      <c r="R53" s="22"/>
    </row>
    <row r="54" spans="1:19" ht="16" thickBot="1" x14ac:dyDescent="0.4">
      <c r="A54" s="642">
        <f t="shared" si="2"/>
        <v>50</v>
      </c>
      <c r="B54" s="126"/>
      <c r="C54" s="126" t="s">
        <v>75</v>
      </c>
      <c r="D54" s="949">
        <f>D52-D53</f>
        <v>0</v>
      </c>
      <c r="E54" s="924">
        <f t="shared" ref="E54:P54" si="6">E52-E53</f>
        <v>0</v>
      </c>
      <c r="F54" s="951">
        <f t="shared" si="6"/>
        <v>0</v>
      </c>
      <c r="G54" s="727">
        <f t="shared" si="6"/>
        <v>0</v>
      </c>
      <c r="H54" s="949">
        <f t="shared" si="6"/>
        <v>0</v>
      </c>
      <c r="I54" s="727">
        <f t="shared" si="6"/>
        <v>0</v>
      </c>
      <c r="J54" s="949">
        <f t="shared" si="6"/>
        <v>0</v>
      </c>
      <c r="K54" s="727">
        <f t="shared" si="6"/>
        <v>0</v>
      </c>
      <c r="L54" s="949">
        <f t="shared" si="6"/>
        <v>0</v>
      </c>
      <c r="M54" s="921">
        <f t="shared" si="6"/>
        <v>0</v>
      </c>
      <c r="N54" s="949">
        <f t="shared" si="6"/>
        <v>0</v>
      </c>
      <c r="O54" s="727">
        <f t="shared" si="6"/>
        <v>0</v>
      </c>
      <c r="P54" s="949">
        <f t="shared" si="6"/>
        <v>0</v>
      </c>
      <c r="Q54" s="121">
        <f t="shared" si="1"/>
        <v>50</v>
      </c>
      <c r="R54" s="22"/>
    </row>
    <row r="55" spans="1:19" ht="15.5" x14ac:dyDescent="0.35">
      <c r="B55" s="22"/>
      <c r="C55" s="22"/>
      <c r="D55" s="78"/>
      <c r="E55" s="197"/>
      <c r="F55" s="197"/>
      <c r="G55" s="197"/>
      <c r="H55" s="197"/>
      <c r="I55" s="197"/>
      <c r="J55" s="197"/>
      <c r="K55" s="197"/>
      <c r="L55" s="197"/>
      <c r="M55" s="197"/>
      <c r="N55" s="197"/>
      <c r="O55" s="197"/>
      <c r="P55" s="140"/>
    </row>
    <row r="56" spans="1:19" ht="15.5" x14ac:dyDescent="0.35">
      <c r="B56" s="22"/>
      <c r="C56" s="22"/>
      <c r="D56" s="306"/>
      <c r="E56" s="307"/>
      <c r="F56" s="307"/>
      <c r="G56" s="307"/>
      <c r="H56" s="307"/>
      <c r="I56" s="307"/>
      <c r="J56" s="307"/>
      <c r="K56" s="307"/>
      <c r="L56" s="307"/>
      <c r="M56" s="307"/>
      <c r="N56" s="307"/>
      <c r="O56" s="307"/>
      <c r="P56" s="151"/>
    </row>
    <row r="57" spans="1:19" ht="15.5" x14ac:dyDescent="0.35">
      <c r="B57" s="22"/>
      <c r="C57" s="22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</row>
    <row r="58" spans="1:19" ht="15.5" x14ac:dyDescent="0.35">
      <c r="B58" s="22"/>
      <c r="C58" s="22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</row>
    <row r="59" spans="1:19" ht="15.5" x14ac:dyDescent="0.35">
      <c r="B59" s="22"/>
      <c r="C59" s="22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</row>
    <row r="60" spans="1:19" ht="15.5" x14ac:dyDescent="0.35">
      <c r="B60" s="22"/>
      <c r="C60" s="22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</row>
    <row r="61" spans="1:19" ht="15.5" x14ac:dyDescent="0.35">
      <c r="B61" s="22"/>
      <c r="C61" s="22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</row>
    <row r="62" spans="1:19" ht="15.5" x14ac:dyDescent="0.35">
      <c r="B62" s="22"/>
      <c r="C62" s="22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</row>
    <row r="63" spans="1:19" ht="15.5" x14ac:dyDescent="0.35">
      <c r="B63" s="22"/>
      <c r="C63" s="22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</row>
    <row r="64" spans="1:19" ht="15.5" x14ac:dyDescent="0.35">
      <c r="B64" s="22"/>
      <c r="C64" s="22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</row>
    <row r="65" spans="2:16" ht="15.5" x14ac:dyDescent="0.35">
      <c r="B65" s="22"/>
      <c r="C65" s="22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</row>
    <row r="66" spans="2:16" ht="15.5" x14ac:dyDescent="0.35">
      <c r="B66" s="22"/>
      <c r="C66" s="22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6" ht="15.5" x14ac:dyDescent="0.35">
      <c r="B67" s="22"/>
      <c r="C67" s="22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6" ht="15.5" x14ac:dyDescent="0.35">
      <c r="B68" s="22"/>
      <c r="C68" s="22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</row>
    <row r="69" spans="2:16" ht="15.5" x14ac:dyDescent="0.35">
      <c r="B69" s="22"/>
      <c r="C69" s="22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</row>
    <row r="70" spans="2:16" ht="15.5" x14ac:dyDescent="0.35">
      <c r="B70" s="22"/>
      <c r="C70" s="22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</row>
    <row r="71" spans="2:16" ht="15.5" x14ac:dyDescent="0.35">
      <c r="B71" s="22"/>
      <c r="C71" s="22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</row>
    <row r="72" spans="2:16" ht="15.5" x14ac:dyDescent="0.35">
      <c r="B72" s="22"/>
      <c r="C72" s="22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</row>
    <row r="73" spans="2:16" ht="15.5" x14ac:dyDescent="0.35">
      <c r="B73" s="22"/>
      <c r="C73" s="22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</row>
    <row r="74" spans="2:16" ht="15.5" x14ac:dyDescent="0.35">
      <c r="B74" s="22"/>
      <c r="C74" s="22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</row>
    <row r="75" spans="2:16" ht="15.5" x14ac:dyDescent="0.35">
      <c r="B75" s="22"/>
      <c r="C75" s="22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</row>
    <row r="76" spans="2:16" ht="15.5" x14ac:dyDescent="0.35">
      <c r="B76" s="22"/>
      <c r="C76" s="22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</row>
    <row r="77" spans="2:16" ht="15.5" x14ac:dyDescent="0.35">
      <c r="B77" s="22"/>
      <c r="C77" s="22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</row>
    <row r="78" spans="2:16" ht="15.5" x14ac:dyDescent="0.35">
      <c r="B78" s="22"/>
      <c r="C78" s="22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</row>
    <row r="79" spans="2:16" ht="15.5" x14ac:dyDescent="0.35">
      <c r="B79" s="22"/>
      <c r="C79" s="22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</row>
    <row r="80" spans="2:16" ht="15.5" x14ac:dyDescent="0.35">
      <c r="B80" s="22"/>
      <c r="C80" s="22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</row>
    <row r="81" spans="2:16" ht="15.5" x14ac:dyDescent="0.35">
      <c r="B81" s="22"/>
      <c r="C81" s="22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</row>
    <row r="82" spans="2:16" ht="15.5" x14ac:dyDescent="0.35">
      <c r="B82" s="22"/>
      <c r="C82" s="22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</row>
    <row r="83" spans="2:16" ht="15.5" x14ac:dyDescent="0.35">
      <c r="B83" s="22"/>
      <c r="C83" s="22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</row>
    <row r="84" spans="2:16" ht="15.5" x14ac:dyDescent="0.35">
      <c r="B84" s="22"/>
      <c r="C84" s="22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</row>
    <row r="85" spans="2:16" ht="15.5" x14ac:dyDescent="0.35">
      <c r="B85" s="22"/>
      <c r="C85" s="22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</row>
    <row r="86" spans="2:16" ht="15.5" x14ac:dyDescent="0.35">
      <c r="B86" s="22"/>
      <c r="C86" s="22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</row>
    <row r="87" spans="2:16" ht="15.5" x14ac:dyDescent="0.35">
      <c r="B87" s="22"/>
      <c r="C87" s="22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</row>
    <row r="88" spans="2:16" ht="15.5" x14ac:dyDescent="0.35">
      <c r="B88" s="22"/>
      <c r="C88" s="22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</row>
    <row r="89" spans="2:16" ht="15.5" x14ac:dyDescent="0.35">
      <c r="B89" s="22"/>
      <c r="C89" s="22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</row>
    <row r="90" spans="2:16" ht="15.5" x14ac:dyDescent="0.35">
      <c r="B90" s="22"/>
      <c r="C90" s="22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</row>
    <row r="91" spans="2:16" ht="15.5" x14ac:dyDescent="0.35">
      <c r="B91" s="22"/>
      <c r="C91" s="22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</row>
    <row r="92" spans="2:16" ht="15.5" x14ac:dyDescent="0.35">
      <c r="B92" s="22"/>
      <c r="C92" s="22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</row>
    <row r="93" spans="2:16" ht="15.5" x14ac:dyDescent="0.35">
      <c r="B93" s="22"/>
      <c r="C93" s="22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</row>
  </sheetData>
  <printOptions horizontalCentered="1"/>
  <pageMargins left="0" right="0" top="1.25" bottom="0.5" header="0.5" footer="0.25"/>
  <pageSetup scale="65" fitToWidth="2" fitToHeight="2" orientation="portrait" r:id="rId1"/>
  <headerFooter alignWithMargins="0">
    <oddHeader>&amp;C&amp;"Times New Roman,Bold"&amp;14San Diego Gas &amp;&amp; Electric Company
2024 TRBAA Rate Filing
Details of Monthly ETC Cost Differentials</oddHeader>
    <oddFooter>&amp;L&amp;"Times New Roman,Regular"&amp;12&amp;F&amp;C&amp;"Times New Roman,Regular"&amp;12Page - 10.&amp;P&amp;R&amp;"Times New Roman,Regular"&amp;12&amp;A</oddFooter>
  </headerFooter>
  <colBreaks count="2" manualBreakCount="2">
    <brk id="7" min="2" max="64" man="1"/>
    <brk id="11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2:F48"/>
  <sheetViews>
    <sheetView zoomScale="80" zoomScaleNormal="80" workbookViewId="0"/>
  </sheetViews>
  <sheetFormatPr defaultColWidth="9.453125" defaultRowHeight="15.5" x14ac:dyDescent="0.35"/>
  <cols>
    <col min="1" max="1" width="5.453125" style="107" bestFit="1" customWidth="1"/>
    <col min="2" max="2" width="38.54296875" style="131" bestFit="1" customWidth="1"/>
    <col min="3" max="3" width="28.81640625" style="107" bestFit="1" customWidth="1"/>
    <col min="4" max="4" width="47.90625" style="107" customWidth="1"/>
    <col min="5" max="5" width="5.453125" style="107" bestFit="1" customWidth="1"/>
    <col min="6" max="6" width="2.453125" style="107" bestFit="1" customWidth="1"/>
    <col min="7" max="11" width="9.453125" style="107"/>
    <col min="12" max="12" width="10.54296875" style="107" bestFit="1" customWidth="1"/>
    <col min="13" max="16384" width="9.453125" style="107"/>
  </cols>
  <sheetData>
    <row r="2" spans="1:6" x14ac:dyDescent="0.35">
      <c r="A2" s="976" t="s">
        <v>1</v>
      </c>
      <c r="B2" s="976"/>
      <c r="C2" s="976"/>
      <c r="D2" s="976"/>
      <c r="E2" s="976"/>
    </row>
    <row r="3" spans="1:6" x14ac:dyDescent="0.35">
      <c r="A3" s="976" t="str">
        <f>'WP 8 CT4575'!A3:E3</f>
        <v>2024 - TRBAA Rate Filing</v>
      </c>
      <c r="B3" s="976"/>
      <c r="C3" s="976"/>
      <c r="D3" s="976"/>
      <c r="E3" s="976"/>
    </row>
    <row r="4" spans="1:6" x14ac:dyDescent="0.35">
      <c r="A4" s="976" t="s">
        <v>466</v>
      </c>
      <c r="B4" s="976"/>
      <c r="C4" s="976"/>
      <c r="D4" s="976"/>
      <c r="E4" s="976"/>
    </row>
    <row r="5" spans="1:6" ht="16" thickBot="1" x14ac:dyDescent="0.4">
      <c r="A5" s="339"/>
      <c r="B5" s="665"/>
      <c r="C5" s="666"/>
      <c r="D5" s="339"/>
      <c r="E5" s="339"/>
    </row>
    <row r="6" spans="1:6" ht="39.75" customHeight="1" thickBot="1" x14ac:dyDescent="0.4">
      <c r="A6" s="667" t="s">
        <v>69</v>
      </c>
      <c r="B6" s="338" t="s">
        <v>403</v>
      </c>
      <c r="C6" s="682" t="s">
        <v>467</v>
      </c>
      <c r="D6" s="593" t="s">
        <v>16</v>
      </c>
      <c r="E6" s="669" t="s">
        <v>69</v>
      </c>
    </row>
    <row r="7" spans="1:6" x14ac:dyDescent="0.35">
      <c r="A7" s="454"/>
      <c r="B7" s="787"/>
      <c r="C7" s="432"/>
      <c r="D7" s="431"/>
      <c r="E7" s="455"/>
    </row>
    <row r="8" spans="1:6" x14ac:dyDescent="0.35">
      <c r="A8" s="335">
        <v>1</v>
      </c>
      <c r="B8" s="108">
        <f>'WP 7 Wheeling Revenues'!B11</f>
        <v>44835</v>
      </c>
      <c r="C8" s="19">
        <f>'WP 5 CAISO Charges'!C19</f>
        <v>-25838.129999999997</v>
      </c>
      <c r="D8" s="23" t="s">
        <v>468</v>
      </c>
      <c r="E8" s="336">
        <f>A8</f>
        <v>1</v>
      </c>
      <c r="F8" s="788"/>
    </row>
    <row r="9" spans="1:6" x14ac:dyDescent="0.35">
      <c r="A9" s="335">
        <f>A8+1</f>
        <v>2</v>
      </c>
      <c r="B9" s="108"/>
      <c r="C9" s="19"/>
      <c r="D9" s="10"/>
      <c r="E9" s="336">
        <f t="shared" ref="E9:E33" si="0">A9</f>
        <v>2</v>
      </c>
      <c r="F9" s="788"/>
    </row>
    <row r="10" spans="1:6" x14ac:dyDescent="0.35">
      <c r="A10" s="335">
        <f t="shared" ref="A10:A32" si="1">A9+1</f>
        <v>3</v>
      </c>
      <c r="B10" s="108">
        <f>'WP 7 Wheeling Revenues'!B13</f>
        <v>44866</v>
      </c>
      <c r="C10" s="31">
        <f>'WP 5 CAISO Charges'!D19</f>
        <v>-114718.1</v>
      </c>
      <c r="D10" s="23" t="str">
        <f>D8</f>
        <v>Work paper No. 5; Page 5.1 and 5.2; Line 13</v>
      </c>
      <c r="E10" s="336">
        <f t="shared" si="0"/>
        <v>3</v>
      </c>
    </row>
    <row r="11" spans="1:6" x14ac:dyDescent="0.35">
      <c r="A11" s="335">
        <f t="shared" si="1"/>
        <v>4</v>
      </c>
      <c r="B11" s="108"/>
      <c r="C11" s="31"/>
      <c r="D11" s="10"/>
      <c r="E11" s="336">
        <f t="shared" si="0"/>
        <v>4</v>
      </c>
    </row>
    <row r="12" spans="1:6" ht="16" thickBot="1" x14ac:dyDescent="0.4">
      <c r="A12" s="337">
        <f t="shared" si="1"/>
        <v>5</v>
      </c>
      <c r="B12" s="109">
        <f>'WP 7 Wheeling Revenues'!B15</f>
        <v>44896</v>
      </c>
      <c r="C12" s="58">
        <f>'WP 5 CAISO Charges'!E19</f>
        <v>-67457.119999999995</v>
      </c>
      <c r="D12" s="651" t="str">
        <f>D8</f>
        <v>Work paper No. 5; Page 5.1 and 5.2; Line 13</v>
      </c>
      <c r="E12" s="340">
        <f t="shared" si="0"/>
        <v>5</v>
      </c>
    </row>
    <row r="13" spans="1:6" x14ac:dyDescent="0.35">
      <c r="A13" s="335">
        <f t="shared" si="1"/>
        <v>6</v>
      </c>
      <c r="B13" s="108"/>
      <c r="C13" s="31"/>
      <c r="D13" s="23"/>
      <c r="E13" s="336">
        <f t="shared" si="0"/>
        <v>6</v>
      </c>
    </row>
    <row r="14" spans="1:6" x14ac:dyDescent="0.35">
      <c r="A14" s="335">
        <f t="shared" si="1"/>
        <v>7</v>
      </c>
      <c r="B14" s="108">
        <f>'WP 7 Wheeling Revenues'!B17</f>
        <v>44927</v>
      </c>
      <c r="C14" s="31">
        <f>'WP 5 CAISO Charges'!F19</f>
        <v>-156755.57999999999</v>
      </c>
      <c r="D14" s="23" t="str">
        <f>D8</f>
        <v>Work paper No. 5; Page 5.1 and 5.2; Line 13</v>
      </c>
      <c r="E14" s="336">
        <f t="shared" si="0"/>
        <v>7</v>
      </c>
    </row>
    <row r="15" spans="1:6" x14ac:dyDescent="0.35">
      <c r="A15" s="335">
        <f t="shared" si="1"/>
        <v>8</v>
      </c>
      <c r="B15" s="108"/>
      <c r="C15" s="31"/>
      <c r="D15" s="10"/>
      <c r="E15" s="336">
        <f t="shared" si="0"/>
        <v>8</v>
      </c>
    </row>
    <row r="16" spans="1:6" x14ac:dyDescent="0.35">
      <c r="A16" s="335">
        <f t="shared" si="1"/>
        <v>9</v>
      </c>
      <c r="B16" s="108">
        <f>'WP 7 Wheeling Revenues'!B19</f>
        <v>44958</v>
      </c>
      <c r="C16" s="31">
        <f>'WP 5 CAISO Charges'!G19</f>
        <v>-88221.27</v>
      </c>
      <c r="D16" s="23" t="str">
        <f>D8</f>
        <v>Work paper No. 5; Page 5.1 and 5.2; Line 13</v>
      </c>
      <c r="E16" s="336">
        <f t="shared" si="0"/>
        <v>9</v>
      </c>
    </row>
    <row r="17" spans="1:5" x14ac:dyDescent="0.35">
      <c r="A17" s="335">
        <f t="shared" si="1"/>
        <v>10</v>
      </c>
      <c r="B17" s="108"/>
      <c r="C17" s="31"/>
      <c r="D17" s="10"/>
      <c r="E17" s="336">
        <f t="shared" si="0"/>
        <v>10</v>
      </c>
    </row>
    <row r="18" spans="1:5" ht="16" thickBot="1" x14ac:dyDescent="0.4">
      <c r="A18" s="337">
        <f t="shared" si="1"/>
        <v>11</v>
      </c>
      <c r="B18" s="109">
        <f>'WP 7 Wheeling Revenues'!B21</f>
        <v>44986</v>
      </c>
      <c r="C18" s="58">
        <f>'WP 5 CAISO Charges'!H19</f>
        <v>13800.439999999999</v>
      </c>
      <c r="D18" s="651" t="str">
        <f>D8</f>
        <v>Work paper No. 5; Page 5.1 and 5.2; Line 13</v>
      </c>
      <c r="E18" s="340">
        <f t="shared" si="0"/>
        <v>11</v>
      </c>
    </row>
    <row r="19" spans="1:5" x14ac:dyDescent="0.35">
      <c r="A19" s="335">
        <f t="shared" si="1"/>
        <v>12</v>
      </c>
      <c r="B19" s="108"/>
      <c r="C19" s="31"/>
      <c r="D19" s="10"/>
      <c r="E19" s="336">
        <f t="shared" si="0"/>
        <v>12</v>
      </c>
    </row>
    <row r="20" spans="1:5" x14ac:dyDescent="0.35">
      <c r="A20" s="335">
        <f t="shared" si="1"/>
        <v>13</v>
      </c>
      <c r="B20" s="108">
        <f>'WP 7 Wheeling Revenues'!B23</f>
        <v>45017</v>
      </c>
      <c r="C20" s="31">
        <f>'WP 5 CAISO Charges'!I19</f>
        <v>-119635.11</v>
      </c>
      <c r="D20" s="23" t="str">
        <f>D8</f>
        <v>Work paper No. 5; Page 5.1 and 5.2; Line 13</v>
      </c>
      <c r="E20" s="336">
        <f t="shared" si="0"/>
        <v>13</v>
      </c>
    </row>
    <row r="21" spans="1:5" x14ac:dyDescent="0.35">
      <c r="A21" s="335">
        <f t="shared" si="1"/>
        <v>14</v>
      </c>
      <c r="B21" s="108"/>
      <c r="C21" s="31"/>
      <c r="D21" s="10"/>
      <c r="E21" s="336">
        <f t="shared" si="0"/>
        <v>14</v>
      </c>
    </row>
    <row r="22" spans="1:5" x14ac:dyDescent="0.35">
      <c r="A22" s="335">
        <f t="shared" si="1"/>
        <v>15</v>
      </c>
      <c r="B22" s="108">
        <f>'WP 7 Wheeling Revenues'!B25</f>
        <v>45047</v>
      </c>
      <c r="C22" s="31">
        <f>'WP 5 CAISO Charges'!J19</f>
        <v>-275765.18999999994</v>
      </c>
      <c r="D22" s="23" t="str">
        <f>D8</f>
        <v>Work paper No. 5; Page 5.1 and 5.2; Line 13</v>
      </c>
      <c r="E22" s="336">
        <f t="shared" si="0"/>
        <v>15</v>
      </c>
    </row>
    <row r="23" spans="1:5" x14ac:dyDescent="0.35">
      <c r="A23" s="335">
        <f t="shared" si="1"/>
        <v>16</v>
      </c>
      <c r="B23" s="108"/>
      <c r="C23" s="31"/>
      <c r="D23" s="10"/>
      <c r="E23" s="336">
        <f t="shared" si="0"/>
        <v>16</v>
      </c>
    </row>
    <row r="24" spans="1:5" ht="16" thickBot="1" x14ac:dyDescent="0.4">
      <c r="A24" s="337">
        <f t="shared" si="1"/>
        <v>17</v>
      </c>
      <c r="B24" s="109">
        <f>'WP 7 Wheeling Revenues'!B27</f>
        <v>45078</v>
      </c>
      <c r="C24" s="58">
        <f>'WP 5 CAISO Charges'!K19</f>
        <v>-123057.60999999999</v>
      </c>
      <c r="D24" s="651" t="str">
        <f>D8</f>
        <v>Work paper No. 5; Page 5.1 and 5.2; Line 13</v>
      </c>
      <c r="E24" s="340">
        <f t="shared" si="0"/>
        <v>17</v>
      </c>
    </row>
    <row r="25" spans="1:5" x14ac:dyDescent="0.35">
      <c r="A25" s="335">
        <f t="shared" si="1"/>
        <v>18</v>
      </c>
      <c r="B25" s="108"/>
      <c r="C25" s="31"/>
      <c r="D25" s="10"/>
      <c r="E25" s="336">
        <f t="shared" si="0"/>
        <v>18</v>
      </c>
    </row>
    <row r="26" spans="1:5" x14ac:dyDescent="0.35">
      <c r="A26" s="335">
        <f t="shared" si="1"/>
        <v>19</v>
      </c>
      <c r="B26" s="108">
        <f>'WP 7 Wheeling Revenues'!B29</f>
        <v>45108</v>
      </c>
      <c r="C26" s="31">
        <f>'WP 5 CAISO Charges'!L19</f>
        <v>-15649.529999999999</v>
      </c>
      <c r="D26" s="23" t="str">
        <f>D8</f>
        <v>Work paper No. 5; Page 5.1 and 5.2; Line 13</v>
      </c>
      <c r="E26" s="336">
        <f t="shared" si="0"/>
        <v>19</v>
      </c>
    </row>
    <row r="27" spans="1:5" x14ac:dyDescent="0.35">
      <c r="A27" s="335">
        <f t="shared" si="1"/>
        <v>20</v>
      </c>
      <c r="B27" s="108"/>
      <c r="C27" s="31"/>
      <c r="D27" s="10"/>
      <c r="E27" s="336">
        <f t="shared" si="0"/>
        <v>20</v>
      </c>
    </row>
    <row r="28" spans="1:5" x14ac:dyDescent="0.35">
      <c r="A28" s="335">
        <f t="shared" si="1"/>
        <v>21</v>
      </c>
      <c r="B28" s="108">
        <f>'WP 7 Wheeling Revenues'!B31</f>
        <v>45139</v>
      </c>
      <c r="C28" s="31">
        <f>'WP 5 CAISO Charges'!M19</f>
        <v>-5505.05</v>
      </c>
      <c r="D28" s="23" t="str">
        <f>D8</f>
        <v>Work paper No. 5; Page 5.1 and 5.2; Line 13</v>
      </c>
      <c r="E28" s="336">
        <f t="shared" si="0"/>
        <v>21</v>
      </c>
    </row>
    <row r="29" spans="1:5" x14ac:dyDescent="0.35">
      <c r="A29" s="335">
        <f t="shared" si="1"/>
        <v>22</v>
      </c>
      <c r="B29" s="108"/>
      <c r="C29" s="31"/>
      <c r="D29" s="10"/>
      <c r="E29" s="336">
        <f t="shared" si="0"/>
        <v>22</v>
      </c>
    </row>
    <row r="30" spans="1:5" ht="16" thickBot="1" x14ac:dyDescent="0.4">
      <c r="A30" s="337">
        <f t="shared" si="1"/>
        <v>23</v>
      </c>
      <c r="B30" s="109">
        <f>'WP 7 Wheeling Revenues'!B33</f>
        <v>45170</v>
      </c>
      <c r="C30" s="82">
        <f>'WP 5 CAISO Charges'!N19</f>
        <v>-151224.57909000001</v>
      </c>
      <c r="D30" s="651" t="str">
        <f>D8</f>
        <v>Work paper No. 5; Page 5.1 and 5.2; Line 13</v>
      </c>
      <c r="E30" s="340">
        <f t="shared" si="0"/>
        <v>23</v>
      </c>
    </row>
    <row r="31" spans="1:5" x14ac:dyDescent="0.35">
      <c r="A31" s="335">
        <f t="shared" si="1"/>
        <v>24</v>
      </c>
      <c r="B31" s="108"/>
      <c r="C31" s="44"/>
      <c r="D31" s="23"/>
      <c r="E31" s="336">
        <f t="shared" si="0"/>
        <v>24</v>
      </c>
    </row>
    <row r="32" spans="1:5" ht="16" thickBot="1" x14ac:dyDescent="0.4">
      <c r="A32" s="335">
        <f t="shared" si="1"/>
        <v>25</v>
      </c>
      <c r="B32" s="132" t="s">
        <v>407</v>
      </c>
      <c r="C32" s="73">
        <f>SUM(C8:C30)</f>
        <v>-1130026.8290900001</v>
      </c>
      <c r="D32" s="29" t="s">
        <v>408</v>
      </c>
      <c r="E32" s="336">
        <f t="shared" si="0"/>
        <v>25</v>
      </c>
    </row>
    <row r="33" spans="1:5" ht="16" thickTop="1" x14ac:dyDescent="0.35">
      <c r="A33" s="335">
        <f>A32+1</f>
        <v>26</v>
      </c>
      <c r="B33" s="683"/>
      <c r="C33" s="19"/>
      <c r="D33" s="684"/>
      <c r="E33" s="336">
        <f t="shared" si="0"/>
        <v>26</v>
      </c>
    </row>
    <row r="34" spans="1:5" ht="34.25" customHeight="1" thickBot="1" x14ac:dyDescent="0.4">
      <c r="A34" s="673">
        <f>A33+1</f>
        <v>27</v>
      </c>
      <c r="B34" s="680" t="s">
        <v>469</v>
      </c>
      <c r="C34" s="192">
        <f>C32</f>
        <v>-1130026.8290900001</v>
      </c>
      <c r="D34" s="29" t="s">
        <v>410</v>
      </c>
      <c r="E34" s="675">
        <f>E33+1</f>
        <v>27</v>
      </c>
    </row>
    <row r="35" spans="1:5" ht="16.5" thickTop="1" thickBot="1" x14ac:dyDescent="0.4">
      <c r="A35" s="337">
        <f>A34+1</f>
        <v>28</v>
      </c>
      <c r="B35" s="338"/>
      <c r="C35" s="789"/>
      <c r="D35" s="685"/>
      <c r="E35" s="340">
        <f>E34+1</f>
        <v>28</v>
      </c>
    </row>
    <row r="36" spans="1:5" x14ac:dyDescent="0.35">
      <c r="B36" s="334"/>
      <c r="C36" s="72"/>
    </row>
    <row r="37" spans="1:5" ht="18.5" x14ac:dyDescent="0.35">
      <c r="A37" s="681"/>
      <c r="B37" s="107"/>
      <c r="C37" s="133"/>
      <c r="D37" s="133"/>
    </row>
    <row r="38" spans="1:5" x14ac:dyDescent="0.35">
      <c r="B38" s="133"/>
      <c r="C38" s="133"/>
      <c r="D38" s="133"/>
    </row>
    <row r="39" spans="1:5" x14ac:dyDescent="0.35">
      <c r="B39" s="133"/>
      <c r="C39" s="133"/>
      <c r="D39" s="133"/>
    </row>
    <row r="40" spans="1:5" x14ac:dyDescent="0.35">
      <c r="A40" s="416"/>
      <c r="B40" s="317"/>
      <c r="C40" s="133"/>
      <c r="D40" s="133"/>
    </row>
    <row r="41" spans="1:5" x14ac:dyDescent="0.35">
      <c r="B41" s="193"/>
      <c r="C41" s="133"/>
      <c r="D41" s="133"/>
    </row>
    <row r="42" spans="1:5" x14ac:dyDescent="0.35">
      <c r="B42" s="193"/>
      <c r="C42" s="133"/>
      <c r="D42" s="133"/>
    </row>
    <row r="43" spans="1:5" x14ac:dyDescent="0.35">
      <c r="B43" s="193"/>
      <c r="C43" s="133"/>
      <c r="D43" s="133"/>
    </row>
    <row r="44" spans="1:5" x14ac:dyDescent="0.35">
      <c r="B44" s="317"/>
      <c r="C44" s="133"/>
      <c r="D44" s="133"/>
    </row>
    <row r="45" spans="1:5" x14ac:dyDescent="0.35">
      <c r="B45" s="133"/>
      <c r="C45" s="133"/>
      <c r="D45" s="133"/>
    </row>
    <row r="46" spans="1:5" x14ac:dyDescent="0.35">
      <c r="B46" s="316"/>
      <c r="C46" s="133"/>
      <c r="D46" s="133"/>
    </row>
    <row r="47" spans="1:5" x14ac:dyDescent="0.35">
      <c r="B47" s="193"/>
      <c r="C47" s="133"/>
      <c r="D47" s="133"/>
    </row>
    <row r="48" spans="1:5" x14ac:dyDescent="0.35">
      <c r="B48" s="133"/>
      <c r="C48" s="133"/>
      <c r="D48" s="133"/>
    </row>
  </sheetData>
  <mergeCells count="3">
    <mergeCell ref="A2:E2"/>
    <mergeCell ref="A3:E3"/>
    <mergeCell ref="A4:E4"/>
  </mergeCells>
  <printOptions horizontalCentered="1"/>
  <pageMargins left="0" right="0" top="0.5" bottom="0.75" header="0.25" footer="0.25"/>
  <pageSetup scale="89" orientation="landscape" r:id="rId1"/>
  <headerFooter alignWithMargins="0">
    <oddFooter>&amp;L&amp;"Times New Roman,Regular"&amp;12&amp;F&amp;C&amp;"Times New Roman,Regular"&amp;12Page 11.1&amp;R&amp;"Times New Roman,Regular"&amp;12&amp;A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K67"/>
  <sheetViews>
    <sheetView zoomScale="80" zoomScaleNormal="80" workbookViewId="0"/>
  </sheetViews>
  <sheetFormatPr defaultColWidth="8.54296875" defaultRowHeight="13" x14ac:dyDescent="0.3"/>
  <cols>
    <col min="1" max="1" width="5.54296875" style="1" customWidth="1"/>
    <col min="2" max="2" width="27.54296875" style="1" customWidth="1"/>
    <col min="3" max="3" width="22.54296875" style="1" customWidth="1"/>
    <col min="4" max="4" width="18.54296875" style="1" bestFit="1" customWidth="1"/>
    <col min="5" max="5" width="20.54296875" style="1" customWidth="1"/>
    <col min="6" max="6" width="26.1796875" style="1" bestFit="1" customWidth="1"/>
    <col min="7" max="7" width="46.453125" style="1" bestFit="1" customWidth="1"/>
    <col min="8" max="8" width="5.54296875" style="1" customWidth="1"/>
    <col min="9" max="9" width="8.54296875" style="1" customWidth="1"/>
    <col min="10" max="10" width="12.54296875" style="1" customWidth="1"/>
    <col min="11" max="11" width="12.54296875" style="1" bestFit="1" customWidth="1"/>
    <col min="12" max="16384" width="8.54296875" style="1"/>
  </cols>
  <sheetData>
    <row r="2" spans="1:11" s="3" customFormat="1" ht="18" customHeight="1" x14ac:dyDescent="0.3">
      <c r="A2" s="5" t="s">
        <v>0</v>
      </c>
      <c r="B2" s="5"/>
      <c r="C2" s="5"/>
      <c r="D2" s="5"/>
      <c r="E2" s="5"/>
      <c r="F2" s="5"/>
      <c r="G2" s="5"/>
      <c r="H2" s="41"/>
      <c r="I2" s="1"/>
      <c r="J2" s="1"/>
      <c r="K2" s="1"/>
    </row>
    <row r="3" spans="1:11" s="3" customFormat="1" ht="18" customHeight="1" x14ac:dyDescent="0.3">
      <c r="A3" s="5" t="s">
        <v>25</v>
      </c>
      <c r="B3" s="5"/>
      <c r="C3" s="5"/>
      <c r="D3" s="5"/>
      <c r="E3" s="5"/>
      <c r="F3" s="5"/>
      <c r="G3" s="5"/>
      <c r="H3" s="41"/>
      <c r="I3" s="1"/>
      <c r="J3" s="1"/>
      <c r="K3" s="1"/>
    </row>
    <row r="4" spans="1:11" s="3" customFormat="1" ht="18" customHeight="1" x14ac:dyDescent="0.3">
      <c r="A4" s="5" t="str">
        <f>'Stmnt BD - Forecast KWH'!A4</f>
        <v>2024 - TRBAA Rate Filing</v>
      </c>
      <c r="B4" s="5"/>
      <c r="C4" s="5"/>
      <c r="D4" s="5"/>
      <c r="E4" s="5"/>
      <c r="F4" s="5"/>
      <c r="G4" s="5"/>
      <c r="H4" s="41"/>
      <c r="I4" s="1"/>
      <c r="J4" s="1"/>
      <c r="K4" s="1"/>
    </row>
    <row r="5" spans="1:11" s="3" customFormat="1" ht="18" customHeight="1" x14ac:dyDescent="0.3">
      <c r="A5" s="5" t="s">
        <v>492</v>
      </c>
      <c r="B5" s="5"/>
      <c r="C5" s="5"/>
      <c r="D5" s="5"/>
      <c r="E5" s="5"/>
      <c r="F5" s="5"/>
      <c r="G5" s="5"/>
      <c r="H5" s="41"/>
      <c r="I5" s="1"/>
      <c r="J5" s="1"/>
      <c r="K5" s="1"/>
    </row>
    <row r="6" spans="1:11" ht="15.5" x14ac:dyDescent="0.3">
      <c r="A6" s="5" t="s">
        <v>26</v>
      </c>
      <c r="B6" s="5"/>
      <c r="C6" s="5"/>
      <c r="D6" s="5"/>
      <c r="E6" s="5"/>
      <c r="F6" s="41"/>
      <c r="G6" s="41"/>
      <c r="H6" s="41"/>
    </row>
    <row r="7" spans="1:11" ht="16" thickBot="1" x14ac:dyDescent="0.4">
      <c r="A7" s="22"/>
      <c r="B7" s="22"/>
      <c r="C7" s="22"/>
      <c r="D7" s="22"/>
      <c r="E7" s="22"/>
      <c r="F7" s="22"/>
      <c r="G7" s="22"/>
      <c r="H7" s="22"/>
    </row>
    <row r="8" spans="1:11" ht="15" x14ac:dyDescent="0.3">
      <c r="A8" s="287"/>
      <c r="B8" s="546"/>
      <c r="C8" s="456" t="s">
        <v>3</v>
      </c>
      <c r="D8" s="764" t="s">
        <v>4</v>
      </c>
      <c r="E8" s="547" t="s">
        <v>5</v>
      </c>
      <c r="F8" s="547" t="s">
        <v>27</v>
      </c>
      <c r="G8" s="555"/>
      <c r="H8" s="548"/>
    </row>
    <row r="9" spans="1:11" ht="15" x14ac:dyDescent="0.3">
      <c r="A9" s="549"/>
      <c r="B9" s="94"/>
      <c r="C9" s="94"/>
      <c r="D9" s="94"/>
      <c r="E9" s="75" t="s">
        <v>28</v>
      </c>
      <c r="F9" s="75" t="s">
        <v>29</v>
      </c>
      <c r="G9" s="75"/>
      <c r="H9" s="550"/>
    </row>
    <row r="10" spans="1:11" ht="15" x14ac:dyDescent="0.3">
      <c r="A10" s="551" t="s">
        <v>8</v>
      </c>
      <c r="B10" s="75"/>
      <c r="C10" s="75" t="s">
        <v>18</v>
      </c>
      <c r="D10" s="75" t="s">
        <v>7</v>
      </c>
      <c r="E10" s="158" t="s">
        <v>30</v>
      </c>
      <c r="F10" s="158" t="s">
        <v>31</v>
      </c>
      <c r="G10" s="75"/>
      <c r="H10" s="552" t="s">
        <v>8</v>
      </c>
    </row>
    <row r="11" spans="1:11" ht="15.5" thickBot="1" x14ac:dyDescent="0.35">
      <c r="A11" s="569" t="s">
        <v>11</v>
      </c>
      <c r="B11" s="153" t="s">
        <v>32</v>
      </c>
      <c r="C11" s="153" t="s">
        <v>33</v>
      </c>
      <c r="D11" s="153" t="s">
        <v>34</v>
      </c>
      <c r="E11" s="571" t="s">
        <v>9</v>
      </c>
      <c r="F11" s="571" t="s">
        <v>35</v>
      </c>
      <c r="G11" s="153" t="s">
        <v>16</v>
      </c>
      <c r="H11" s="570" t="s">
        <v>11</v>
      </c>
    </row>
    <row r="12" spans="1:11" ht="15.5" x14ac:dyDescent="0.35">
      <c r="A12" s="263"/>
      <c r="B12" s="768"/>
      <c r="C12" s="768"/>
      <c r="D12" s="768"/>
      <c r="E12" s="188"/>
      <c r="F12" s="188"/>
      <c r="G12" s="10"/>
      <c r="H12" s="264"/>
    </row>
    <row r="13" spans="1:11" ht="15.5" x14ac:dyDescent="0.35">
      <c r="A13" s="263">
        <v>1</v>
      </c>
      <c r="B13" s="106">
        <f>'Stmnt BD - Forecast KWH'!B12</f>
        <v>45292</v>
      </c>
      <c r="C13" s="492">
        <f>'WP 1.2 Forecast Sales'!C14</f>
        <v>1561645.7117476852</v>
      </c>
      <c r="D13" s="492">
        <f>'WP 1.2 Forecast Sales'!C13</f>
        <v>7.7248333333333328</v>
      </c>
      <c r="E13" s="44">
        <f>C13-D13</f>
        <v>1561637.9869143518</v>
      </c>
      <c r="F13" s="44">
        <f>E13*$E$31</f>
        <v>1626289.7995726061</v>
      </c>
      <c r="G13" s="241" t="s">
        <v>36</v>
      </c>
      <c r="H13" s="264">
        <v>1</v>
      </c>
      <c r="J13" s="179"/>
    </row>
    <row r="14" spans="1:11" ht="15.5" x14ac:dyDescent="0.35">
      <c r="A14" s="263">
        <f>A13+1</f>
        <v>2</v>
      </c>
      <c r="B14" s="106">
        <f>'Stmnt BD - Forecast KWH'!B13</f>
        <v>45323</v>
      </c>
      <c r="C14" s="492">
        <f>'WP 1.2 Forecast Sales'!D14</f>
        <v>1430496.9861291791</v>
      </c>
      <c r="D14" s="492">
        <f>'WP 1.2 Forecast Sales'!D13</f>
        <v>7.7248333333333328</v>
      </c>
      <c r="E14" s="44">
        <f t="shared" ref="E14:E24" si="0">C14-D14</f>
        <v>1430489.2612958457</v>
      </c>
      <c r="F14" s="44">
        <f t="shared" ref="F14:F24" si="1">E14*$E$31</f>
        <v>1489711.516713494</v>
      </c>
      <c r="G14" s="241" t="str">
        <f>$G$13</f>
        <v>Cols. A to C, WP No. 1; Page 1.2; Lines 10, 9 &amp; 12</v>
      </c>
      <c r="H14" s="264">
        <f>H13+1</f>
        <v>2</v>
      </c>
      <c r="J14" s="179"/>
    </row>
    <row r="15" spans="1:11" ht="15.5" x14ac:dyDescent="0.35">
      <c r="A15" s="263">
        <f t="shared" ref="A15:A40" si="2">A14+1</f>
        <v>3</v>
      </c>
      <c r="B15" s="106">
        <f>'Stmnt BD - Forecast KWH'!B14</f>
        <v>45352</v>
      </c>
      <c r="C15" s="492">
        <f>'WP 1.2 Forecast Sales'!E14</f>
        <v>1353352.279878428</v>
      </c>
      <c r="D15" s="492">
        <f>'WP 1.2 Forecast Sales'!E13</f>
        <v>7.7248333333333328</v>
      </c>
      <c r="E15" s="44">
        <f t="shared" si="0"/>
        <v>1353344.5550450946</v>
      </c>
      <c r="F15" s="44">
        <f t="shared" si="1"/>
        <v>1409373.0196239615</v>
      </c>
      <c r="G15" s="241" t="str">
        <f t="shared" ref="G15:G24" si="3">$G$13</f>
        <v>Cols. A to C, WP No. 1; Page 1.2; Lines 10, 9 &amp; 12</v>
      </c>
      <c r="H15" s="264">
        <f t="shared" ref="H15:H40" si="4">H14+1</f>
        <v>3</v>
      </c>
      <c r="J15" s="179"/>
    </row>
    <row r="16" spans="1:11" ht="15.5" x14ac:dyDescent="0.35">
      <c r="A16" s="263">
        <f t="shared" si="2"/>
        <v>4</v>
      </c>
      <c r="B16" s="106">
        <f>'Stmnt BD - Forecast KWH'!B15</f>
        <v>45383</v>
      </c>
      <c r="C16" s="492">
        <f>'WP 1.2 Forecast Sales'!F14</f>
        <v>1347287.2489048385</v>
      </c>
      <c r="D16" s="492">
        <f>'WP 1.2 Forecast Sales'!F13</f>
        <v>7.7248333333333328</v>
      </c>
      <c r="E16" s="44">
        <f t="shared" si="0"/>
        <v>1347279.5240715051</v>
      </c>
      <c r="F16" s="44">
        <f t="shared" si="1"/>
        <v>1403056.8963680656</v>
      </c>
      <c r="G16" s="241" t="str">
        <f t="shared" si="3"/>
        <v>Cols. A to C, WP No. 1; Page 1.2; Lines 10, 9 &amp; 12</v>
      </c>
      <c r="H16" s="264">
        <f t="shared" si="4"/>
        <v>4</v>
      </c>
      <c r="J16" s="179"/>
    </row>
    <row r="17" spans="1:11" ht="15.5" x14ac:dyDescent="0.35">
      <c r="A17" s="263">
        <f t="shared" si="2"/>
        <v>5</v>
      </c>
      <c r="B17" s="106">
        <f>'Stmnt BD - Forecast KWH'!B16</f>
        <v>45413</v>
      </c>
      <c r="C17" s="492">
        <f>'WP 1.2 Forecast Sales'!G14</f>
        <v>1329797.1852483954</v>
      </c>
      <c r="D17" s="492">
        <f>'WP 1.2 Forecast Sales'!G13</f>
        <v>7.7248333333333328</v>
      </c>
      <c r="E17" s="44">
        <f t="shared" si="0"/>
        <v>1329789.460415062</v>
      </c>
      <c r="F17" s="44">
        <f t="shared" si="1"/>
        <v>1384842.7440762457</v>
      </c>
      <c r="G17" s="241" t="str">
        <f t="shared" si="3"/>
        <v>Cols. A to C, WP No. 1; Page 1.2; Lines 10, 9 &amp; 12</v>
      </c>
      <c r="H17" s="264">
        <f t="shared" si="4"/>
        <v>5</v>
      </c>
      <c r="J17" s="179"/>
    </row>
    <row r="18" spans="1:11" ht="15.5" x14ac:dyDescent="0.35">
      <c r="A18" s="263">
        <f t="shared" si="2"/>
        <v>6</v>
      </c>
      <c r="B18" s="106">
        <f>'Stmnt BD - Forecast KWH'!B17</f>
        <v>45444</v>
      </c>
      <c r="C18" s="492">
        <f>'WP 1.2 Forecast Sales'!H14</f>
        <v>1437960.9989311814</v>
      </c>
      <c r="D18" s="492">
        <f>'WP 1.2 Forecast Sales'!H13</f>
        <v>7.7248333333333328</v>
      </c>
      <c r="E18" s="44">
        <f t="shared" si="0"/>
        <v>1437953.274097848</v>
      </c>
      <c r="F18" s="44">
        <f t="shared" si="1"/>
        <v>1497484.5396454991</v>
      </c>
      <c r="G18" s="241" t="str">
        <f t="shared" si="3"/>
        <v>Cols. A to C, WP No. 1; Page 1.2; Lines 10, 9 &amp; 12</v>
      </c>
      <c r="H18" s="264">
        <f t="shared" si="4"/>
        <v>6</v>
      </c>
      <c r="J18" s="179"/>
    </row>
    <row r="19" spans="1:11" ht="15.5" x14ac:dyDescent="0.35">
      <c r="A19" s="263">
        <f t="shared" si="2"/>
        <v>7</v>
      </c>
      <c r="B19" s="106">
        <f>'Stmnt BD - Forecast KWH'!B18</f>
        <v>45474</v>
      </c>
      <c r="C19" s="492">
        <f>'WP 1.2 Forecast Sales'!I14</f>
        <v>1638939.2197339442</v>
      </c>
      <c r="D19" s="492">
        <f>'WP 1.2 Forecast Sales'!I13</f>
        <v>7.7248333333333328</v>
      </c>
      <c r="E19" s="44">
        <f t="shared" si="0"/>
        <v>1638931.4949006108</v>
      </c>
      <c r="F19" s="44">
        <f t="shared" si="1"/>
        <v>1706783.2587894963</v>
      </c>
      <c r="G19" s="241" t="str">
        <f t="shared" si="3"/>
        <v>Cols. A to C, WP No. 1; Page 1.2; Lines 10, 9 &amp; 12</v>
      </c>
      <c r="H19" s="264">
        <f t="shared" si="4"/>
        <v>7</v>
      </c>
      <c r="J19" s="179"/>
    </row>
    <row r="20" spans="1:11" ht="15.5" x14ac:dyDescent="0.35">
      <c r="A20" s="263">
        <f t="shared" si="2"/>
        <v>8</v>
      </c>
      <c r="B20" s="106">
        <f>'Stmnt BD - Forecast KWH'!B19</f>
        <v>45505</v>
      </c>
      <c r="C20" s="492">
        <f>'WP 1.2 Forecast Sales'!J14</f>
        <v>1774799.9242180467</v>
      </c>
      <c r="D20" s="492">
        <f>'WP 1.2 Forecast Sales'!J13</f>
        <v>7.7248333333333328</v>
      </c>
      <c r="E20" s="44">
        <f t="shared" si="0"/>
        <v>1774792.1993847133</v>
      </c>
      <c r="F20" s="44">
        <f t="shared" si="1"/>
        <v>1848268.5964392407</v>
      </c>
      <c r="G20" s="241" t="str">
        <f t="shared" si="3"/>
        <v>Cols. A to C, WP No. 1; Page 1.2; Lines 10, 9 &amp; 12</v>
      </c>
      <c r="H20" s="264">
        <f t="shared" si="4"/>
        <v>8</v>
      </c>
      <c r="J20" s="179"/>
    </row>
    <row r="21" spans="1:11" ht="15.5" x14ac:dyDescent="0.35">
      <c r="A21" s="263">
        <f t="shared" si="2"/>
        <v>9</v>
      </c>
      <c r="B21" s="106">
        <f>'Stmnt BD - Forecast KWH'!B20</f>
        <v>45536</v>
      </c>
      <c r="C21" s="492">
        <f>'WP 1.2 Forecast Sales'!K14</f>
        <v>1830721.2685881283</v>
      </c>
      <c r="D21" s="492">
        <f>'WP 1.2 Forecast Sales'!K13</f>
        <v>7.7248333333333328</v>
      </c>
      <c r="E21" s="44">
        <f t="shared" si="0"/>
        <v>1830713.5437547949</v>
      </c>
      <c r="F21" s="44">
        <f t="shared" si="1"/>
        <v>1906505.0844662436</v>
      </c>
      <c r="G21" s="241" t="str">
        <f t="shared" si="3"/>
        <v>Cols. A to C, WP No. 1; Page 1.2; Lines 10, 9 &amp; 12</v>
      </c>
      <c r="H21" s="264">
        <f t="shared" si="4"/>
        <v>9</v>
      </c>
      <c r="J21" s="179"/>
    </row>
    <row r="22" spans="1:11" ht="15.5" x14ac:dyDescent="0.35">
      <c r="A22" s="263">
        <f t="shared" si="2"/>
        <v>10</v>
      </c>
      <c r="B22" s="106">
        <f>'Stmnt BD - Forecast KWH'!B21</f>
        <v>45566</v>
      </c>
      <c r="C22" s="492">
        <f>'WP 1.2 Forecast Sales'!L14</f>
        <v>1605278.4423735763</v>
      </c>
      <c r="D22" s="492">
        <f>'WP 1.2 Forecast Sales'!L13</f>
        <v>7.7248333333333328</v>
      </c>
      <c r="E22" s="44">
        <f t="shared" si="0"/>
        <v>1605270.7175402429</v>
      </c>
      <c r="F22" s="44">
        <f t="shared" si="1"/>
        <v>1671728.9252464091</v>
      </c>
      <c r="G22" s="241" t="str">
        <f t="shared" si="3"/>
        <v>Cols. A to C, WP No. 1; Page 1.2; Lines 10, 9 &amp; 12</v>
      </c>
      <c r="H22" s="264">
        <f t="shared" si="4"/>
        <v>10</v>
      </c>
      <c r="J22" s="179"/>
    </row>
    <row r="23" spans="1:11" ht="15.5" x14ac:dyDescent="0.35">
      <c r="A23" s="263">
        <f t="shared" si="2"/>
        <v>11</v>
      </c>
      <c r="B23" s="106">
        <f>'Stmnt BD - Forecast KWH'!B22</f>
        <v>45597</v>
      </c>
      <c r="C23" s="492">
        <f>'WP 1.2 Forecast Sales'!M14</f>
        <v>1478036.3344067724</v>
      </c>
      <c r="D23" s="492">
        <f>'WP 1.2 Forecast Sales'!M13</f>
        <v>7.7248333333333328</v>
      </c>
      <c r="E23" s="44">
        <f t="shared" si="0"/>
        <v>1478028.609573439</v>
      </c>
      <c r="F23" s="44">
        <f t="shared" si="1"/>
        <v>1539218.9940097795</v>
      </c>
      <c r="G23" s="241" t="str">
        <f t="shared" si="3"/>
        <v>Cols. A to C, WP No. 1; Page 1.2; Lines 10, 9 &amp; 12</v>
      </c>
      <c r="H23" s="264">
        <f t="shared" si="4"/>
        <v>11</v>
      </c>
      <c r="J23" s="179"/>
    </row>
    <row r="24" spans="1:11" ht="15.5" x14ac:dyDescent="0.35">
      <c r="A24" s="263">
        <f t="shared" si="2"/>
        <v>12</v>
      </c>
      <c r="B24" s="106">
        <f>'Stmnt BD - Forecast KWH'!B23</f>
        <v>45627</v>
      </c>
      <c r="C24" s="492">
        <f>'WP 1.2 Forecast Sales'!N14</f>
        <v>1502220.8154916777</v>
      </c>
      <c r="D24" s="492">
        <f>'WP 1.2 Forecast Sales'!N13</f>
        <v>7.7248333333333328</v>
      </c>
      <c r="E24" s="44">
        <f t="shared" si="0"/>
        <v>1502213.0906583443</v>
      </c>
      <c r="F24" s="51">
        <f t="shared" si="1"/>
        <v>1564404.7126115998</v>
      </c>
      <c r="G24" s="241" t="str">
        <f t="shared" si="3"/>
        <v>Cols. A to C, WP No. 1; Page 1.2; Lines 10, 9 &amp; 12</v>
      </c>
      <c r="H24" s="264">
        <f t="shared" si="4"/>
        <v>12</v>
      </c>
      <c r="J24" s="179"/>
    </row>
    <row r="25" spans="1:11" ht="15.5" x14ac:dyDescent="0.35">
      <c r="A25" s="263">
        <f t="shared" si="2"/>
        <v>13</v>
      </c>
      <c r="B25" s="52"/>
      <c r="C25" s="493"/>
      <c r="D25" s="52"/>
      <c r="E25" s="53"/>
      <c r="F25" s="45"/>
      <c r="G25" s="49"/>
      <c r="H25" s="264">
        <f t="shared" si="4"/>
        <v>13</v>
      </c>
    </row>
    <row r="26" spans="1:11" ht="16" thickBot="1" x14ac:dyDescent="0.4">
      <c r="A26" s="263">
        <f t="shared" si="2"/>
        <v>14</v>
      </c>
      <c r="B26" s="13" t="s">
        <v>18</v>
      </c>
      <c r="C26" s="499">
        <f>SUM(C13:C25)</f>
        <v>18290536.41565185</v>
      </c>
      <c r="D26" s="499">
        <f>SUM(D13:D25)</f>
        <v>92.698000000000022</v>
      </c>
      <c r="E26" s="47">
        <f>SUM(E13:E24)</f>
        <v>18290443.717651855</v>
      </c>
      <c r="F26" s="47">
        <f>SUM(F13:F24)</f>
        <v>19047668.087562639</v>
      </c>
      <c r="G26" s="49" t="s">
        <v>19</v>
      </c>
      <c r="H26" s="264">
        <f t="shared" si="4"/>
        <v>14</v>
      </c>
      <c r="J26" s="298"/>
      <c r="K26" s="179"/>
    </row>
    <row r="27" spans="1:11" ht="16" thickTop="1" x14ac:dyDescent="0.35">
      <c r="A27" s="263">
        <f t="shared" si="2"/>
        <v>15</v>
      </c>
      <c r="B27" s="32"/>
      <c r="C27" s="495"/>
      <c r="D27" s="495"/>
      <c r="E27" s="45"/>
      <c r="F27" s="502"/>
      <c r="G27" s="49"/>
      <c r="H27" s="264">
        <f t="shared" si="4"/>
        <v>15</v>
      </c>
      <c r="J27" s="298"/>
      <c r="K27" s="179"/>
    </row>
    <row r="28" spans="1:11" ht="16" thickBot="1" x14ac:dyDescent="0.4">
      <c r="A28" s="263">
        <f t="shared" si="2"/>
        <v>16</v>
      </c>
      <c r="B28" s="56" t="s">
        <v>37</v>
      </c>
      <c r="C28" s="495"/>
      <c r="D28" s="495"/>
      <c r="E28" s="505">
        <f>E26</f>
        <v>18290443.717651855</v>
      </c>
      <c r="F28" s="45"/>
      <c r="G28" s="506" t="s">
        <v>38</v>
      </c>
      <c r="H28" s="264">
        <f t="shared" si="4"/>
        <v>16</v>
      </c>
      <c r="J28" s="298"/>
      <c r="K28" s="179"/>
    </row>
    <row r="29" spans="1:11" ht="16" thickTop="1" x14ac:dyDescent="0.35">
      <c r="A29" s="263">
        <f t="shared" si="2"/>
        <v>17</v>
      </c>
      <c r="B29" s="496"/>
      <c r="C29" s="497"/>
      <c r="D29" s="497"/>
      <c r="E29" s="504"/>
      <c r="F29" s="503"/>
      <c r="G29" s="498"/>
      <c r="H29" s="264">
        <f t="shared" si="4"/>
        <v>17</v>
      </c>
      <c r="J29" s="298"/>
      <c r="K29" s="179"/>
    </row>
    <row r="30" spans="1:11" ht="15.5" x14ac:dyDescent="0.35">
      <c r="A30" s="263">
        <f t="shared" si="2"/>
        <v>18</v>
      </c>
      <c r="B30" s="32"/>
      <c r="C30" s="501"/>
      <c r="D30" s="501"/>
      <c r="E30" s="48"/>
      <c r="F30" s="45"/>
      <c r="G30" s="49"/>
      <c r="H30" s="264">
        <f t="shared" si="4"/>
        <v>18</v>
      </c>
      <c r="J30" s="298"/>
      <c r="K30" s="179"/>
    </row>
    <row r="31" spans="1:11" ht="19" thickBot="1" x14ac:dyDescent="0.4">
      <c r="A31" s="263">
        <f t="shared" si="2"/>
        <v>19</v>
      </c>
      <c r="B31" s="56" t="s">
        <v>39</v>
      </c>
      <c r="C31" s="492">
        <v>36158315</v>
      </c>
      <c r="D31" s="492">
        <v>37655118.597782016</v>
      </c>
      <c r="E31" s="543">
        <f>ROUND(D31/C31,4)</f>
        <v>1.0414000000000001</v>
      </c>
      <c r="F31" s="45"/>
      <c r="G31" s="49" t="s">
        <v>40</v>
      </c>
      <c r="H31" s="264">
        <f t="shared" si="4"/>
        <v>19</v>
      </c>
      <c r="J31" s="298"/>
      <c r="K31" s="179"/>
    </row>
    <row r="32" spans="1:11" ht="16" thickTop="1" x14ac:dyDescent="0.35">
      <c r="A32" s="263">
        <f t="shared" si="2"/>
        <v>20</v>
      </c>
      <c r="B32" s="500"/>
      <c r="C32" s="494"/>
      <c r="D32" s="494"/>
      <c r="E32" s="507"/>
      <c r="F32" s="503"/>
      <c r="G32" s="498"/>
      <c r="H32" s="264">
        <f t="shared" si="4"/>
        <v>20</v>
      </c>
      <c r="J32" s="298"/>
      <c r="K32" s="179"/>
    </row>
    <row r="33" spans="1:11" ht="15.5" x14ac:dyDescent="0.35">
      <c r="A33" s="263">
        <f t="shared" si="2"/>
        <v>21</v>
      </c>
      <c r="B33" s="56"/>
      <c r="C33" s="495"/>
      <c r="D33" s="495"/>
      <c r="E33" s="502"/>
      <c r="F33" s="502"/>
      <c r="G33" s="49"/>
      <c r="H33" s="264">
        <f t="shared" si="4"/>
        <v>21</v>
      </c>
      <c r="J33" s="298"/>
      <c r="K33" s="179"/>
    </row>
    <row r="34" spans="1:11" ht="15.5" x14ac:dyDescent="0.35">
      <c r="A34" s="263">
        <f t="shared" si="2"/>
        <v>22</v>
      </c>
      <c r="B34" s="56" t="s">
        <v>41</v>
      </c>
      <c r="C34" s="495"/>
      <c r="D34" s="495"/>
      <c r="E34" s="502"/>
      <c r="F34" s="502">
        <f>F26</f>
        <v>19047668.087562639</v>
      </c>
      <c r="G34" s="506" t="s">
        <v>42</v>
      </c>
      <c r="H34" s="264">
        <f t="shared" si="4"/>
        <v>22</v>
      </c>
      <c r="J34" s="298"/>
      <c r="K34" s="179"/>
    </row>
    <row r="35" spans="1:11" ht="15.5" x14ac:dyDescent="0.35">
      <c r="A35" s="263">
        <f t="shared" si="2"/>
        <v>23</v>
      </c>
      <c r="B35" s="56"/>
      <c r="C35" s="495"/>
      <c r="D35" s="495"/>
      <c r="E35" s="502"/>
      <c r="F35" s="502"/>
      <c r="G35" s="49"/>
      <c r="H35" s="264">
        <f t="shared" si="4"/>
        <v>23</v>
      </c>
      <c r="J35" s="298"/>
      <c r="K35" s="179"/>
    </row>
    <row r="36" spans="1:11" ht="18.5" x14ac:dyDescent="0.35">
      <c r="A36" s="263">
        <f t="shared" si="2"/>
        <v>24</v>
      </c>
      <c r="B36" s="56" t="s">
        <v>43</v>
      </c>
      <c r="C36" s="50"/>
      <c r="D36" s="50"/>
      <c r="E36" s="502"/>
      <c r="F36" s="502">
        <v>39980.830737074546</v>
      </c>
      <c r="G36" s="49" t="s">
        <v>44</v>
      </c>
      <c r="H36" s="264">
        <f t="shared" si="4"/>
        <v>24</v>
      </c>
      <c r="J36" s="298"/>
      <c r="K36" s="179"/>
    </row>
    <row r="37" spans="1:11" ht="15.5" x14ac:dyDescent="0.35">
      <c r="A37" s="263">
        <f t="shared" si="2"/>
        <v>25</v>
      </c>
      <c r="B37" s="56"/>
      <c r="C37" s="50"/>
      <c r="D37" s="50"/>
      <c r="E37" s="48"/>
      <c r="F37" s="45"/>
      <c r="G37" s="506"/>
      <c r="H37" s="264">
        <f t="shared" si="4"/>
        <v>25</v>
      </c>
      <c r="J37" s="298"/>
      <c r="K37" s="179"/>
    </row>
    <row r="38" spans="1:11" ht="18.5" x14ac:dyDescent="0.35">
      <c r="A38" s="187">
        <f t="shared" si="2"/>
        <v>26</v>
      </c>
      <c r="B38" s="56" t="s">
        <v>45</v>
      </c>
      <c r="C38" s="50"/>
      <c r="D38" s="50"/>
      <c r="E38" s="48"/>
      <c r="F38" s="46">
        <v>-44972.531100977983</v>
      </c>
      <c r="G38" s="49" t="s">
        <v>46</v>
      </c>
      <c r="H38" s="264">
        <f t="shared" si="4"/>
        <v>26</v>
      </c>
      <c r="J38" s="298"/>
      <c r="K38" s="179"/>
    </row>
    <row r="39" spans="1:11" ht="15.5" x14ac:dyDescent="0.35">
      <c r="A39" s="263">
        <f t="shared" si="2"/>
        <v>27</v>
      </c>
      <c r="B39" s="66"/>
      <c r="C39" s="22"/>
      <c r="D39" s="22"/>
      <c r="E39" s="91"/>
      <c r="F39" s="769"/>
      <c r="G39" s="49"/>
      <c r="H39" s="264">
        <f t="shared" si="4"/>
        <v>27</v>
      </c>
    </row>
    <row r="40" spans="1:11" ht="16" thickBot="1" x14ac:dyDescent="0.4">
      <c r="A40" s="187">
        <f t="shared" si="2"/>
        <v>28</v>
      </c>
      <c r="B40" s="66" t="s">
        <v>47</v>
      </c>
      <c r="C40" s="22"/>
      <c r="D40" s="22"/>
      <c r="E40" s="236"/>
      <c r="F40" s="770">
        <f>F34+F36+F38</f>
        <v>19042676.387198735</v>
      </c>
      <c r="G40" s="760" t="s">
        <v>48</v>
      </c>
      <c r="H40" s="264">
        <f t="shared" si="4"/>
        <v>28</v>
      </c>
    </row>
    <row r="41" spans="1:11" ht="16.5" thickTop="1" thickBot="1" x14ac:dyDescent="0.4">
      <c r="A41" s="301"/>
      <c r="B41" s="80"/>
      <c r="C41" s="80"/>
      <c r="D41" s="80"/>
      <c r="E41" s="556"/>
      <c r="F41" s="583"/>
      <c r="G41" s="81"/>
      <c r="H41" s="302"/>
    </row>
    <row r="42" spans="1:11" ht="15.5" x14ac:dyDescent="0.35">
      <c r="A42" s="22"/>
      <c r="B42" s="22"/>
      <c r="C42" s="22"/>
      <c r="D42" s="22"/>
      <c r="E42" s="22"/>
      <c r="F42" s="22"/>
      <c r="G42" s="22"/>
      <c r="H42" s="22"/>
    </row>
    <row r="43" spans="1:11" ht="18.5" x14ac:dyDescent="0.35">
      <c r="A43" s="414">
        <v>1</v>
      </c>
      <c r="B43" s="22" t="s">
        <v>49</v>
      </c>
      <c r="C43" s="22"/>
      <c r="D43" s="22"/>
      <c r="E43" s="54"/>
      <c r="F43" s="22"/>
      <c r="G43" s="22"/>
      <c r="H43" s="22"/>
    </row>
    <row r="44" spans="1:11" ht="18.5" x14ac:dyDescent="0.35">
      <c r="A44" s="414">
        <v>2</v>
      </c>
      <c r="B44" s="22" t="s">
        <v>493</v>
      </c>
      <c r="C44" s="22"/>
      <c r="D44" s="22"/>
      <c r="E44" s="22"/>
      <c r="F44" s="22"/>
      <c r="G44" s="22"/>
      <c r="H44" s="22"/>
    </row>
    <row r="45" spans="1:11" ht="15.5" x14ac:dyDescent="0.35">
      <c r="A45" s="22"/>
      <c r="B45" s="22" t="s">
        <v>494</v>
      </c>
      <c r="C45" s="22"/>
      <c r="D45" s="22"/>
      <c r="E45" s="22"/>
      <c r="F45" s="22"/>
      <c r="G45" s="22"/>
      <c r="H45" s="22"/>
    </row>
    <row r="46" spans="1:11" ht="18.5" x14ac:dyDescent="0.35">
      <c r="A46" s="414">
        <v>3</v>
      </c>
      <c r="B46" s="461" t="s">
        <v>50</v>
      </c>
      <c r="C46" s="461"/>
      <c r="D46" s="461"/>
      <c r="E46" s="22"/>
      <c r="F46" s="22"/>
      <c r="G46" s="22"/>
      <c r="H46" s="22"/>
    </row>
    <row r="47" spans="1:11" ht="18.5" x14ac:dyDescent="0.35">
      <c r="A47" s="414">
        <v>4</v>
      </c>
      <c r="B47" s="50" t="s">
        <v>51</v>
      </c>
      <c r="C47" s="50"/>
      <c r="D47" s="50"/>
      <c r="E47" s="22"/>
      <c r="F47" s="22"/>
      <c r="G47" s="22"/>
      <c r="H47" s="22"/>
    </row>
    <row r="48" spans="1:11" ht="15.5" x14ac:dyDescent="0.35">
      <c r="A48" s="22"/>
      <c r="B48" s="22"/>
      <c r="C48" s="22"/>
      <c r="D48" s="22"/>
      <c r="E48" s="22"/>
      <c r="F48" s="22"/>
      <c r="G48" s="22"/>
      <c r="H48" s="22"/>
    </row>
    <row r="49" spans="1:8" ht="15.5" x14ac:dyDescent="0.35">
      <c r="A49" s="22"/>
      <c r="B49" s="22"/>
      <c r="C49" s="22"/>
      <c r="D49" s="22"/>
      <c r="E49" s="22"/>
      <c r="F49" s="22"/>
      <c r="G49" s="22"/>
      <c r="H49" s="22"/>
    </row>
    <row r="50" spans="1:8" ht="15.5" x14ac:dyDescent="0.35">
      <c r="A50" s="22"/>
      <c r="B50" s="22"/>
      <c r="C50" s="22"/>
      <c r="D50" s="22"/>
      <c r="E50" s="22"/>
      <c r="F50" s="22"/>
      <c r="G50" s="22"/>
      <c r="H50" s="22"/>
    </row>
    <row r="51" spans="1:8" ht="15.5" x14ac:dyDescent="0.35">
      <c r="A51" s="22"/>
      <c r="B51" s="22"/>
      <c r="C51" s="22"/>
      <c r="D51" s="22"/>
      <c r="E51" s="22"/>
      <c r="F51" s="22"/>
      <c r="G51" s="22"/>
      <c r="H51" s="22"/>
    </row>
    <row r="52" spans="1:8" ht="15.5" x14ac:dyDescent="0.35">
      <c r="A52" s="22"/>
      <c r="B52" s="22"/>
      <c r="C52" s="22"/>
      <c r="D52" s="22"/>
      <c r="E52" s="22"/>
      <c r="F52" s="22"/>
      <c r="G52" s="22"/>
      <c r="H52" s="22"/>
    </row>
    <row r="53" spans="1:8" ht="15.5" x14ac:dyDescent="0.35">
      <c r="A53" s="22"/>
      <c r="B53" s="22"/>
      <c r="C53" s="22"/>
      <c r="D53" s="22"/>
      <c r="E53" s="22"/>
      <c r="F53" s="22"/>
      <c r="G53" s="22"/>
      <c r="H53" s="22"/>
    </row>
    <row r="54" spans="1:8" ht="15.5" x14ac:dyDescent="0.35">
      <c r="A54" s="22"/>
      <c r="B54" s="22"/>
      <c r="C54" s="22"/>
      <c r="D54" s="22"/>
      <c r="E54" s="22"/>
      <c r="F54" s="22"/>
      <c r="G54" s="22"/>
      <c r="H54" s="22"/>
    </row>
    <row r="55" spans="1:8" ht="15.5" x14ac:dyDescent="0.35">
      <c r="A55" s="22"/>
      <c r="B55" s="22"/>
      <c r="C55" s="22"/>
      <c r="D55" s="22"/>
      <c r="E55" s="22"/>
      <c r="F55" s="22"/>
      <c r="G55" s="22"/>
      <c r="H55" s="22"/>
    </row>
    <row r="56" spans="1:8" ht="15.5" x14ac:dyDescent="0.35">
      <c r="A56" s="22"/>
      <c r="B56" s="22"/>
      <c r="C56" s="22"/>
      <c r="D56" s="22"/>
      <c r="E56" s="22"/>
      <c r="F56" s="22"/>
      <c r="G56" s="22"/>
      <c r="H56" s="22"/>
    </row>
    <row r="57" spans="1:8" ht="15.5" x14ac:dyDescent="0.35">
      <c r="A57" s="22"/>
      <c r="B57" s="22"/>
      <c r="C57" s="22"/>
      <c r="D57" s="22"/>
      <c r="E57" s="22"/>
      <c r="F57" s="22"/>
      <c r="G57" s="22"/>
      <c r="H57" s="22"/>
    </row>
    <row r="58" spans="1:8" ht="15.5" x14ac:dyDescent="0.35">
      <c r="A58" s="22"/>
      <c r="B58" s="22"/>
      <c r="C58" s="22"/>
      <c r="D58" s="22"/>
      <c r="E58" s="22"/>
      <c r="F58" s="22"/>
      <c r="G58" s="22"/>
      <c r="H58" s="22"/>
    </row>
    <row r="59" spans="1:8" ht="15.5" x14ac:dyDescent="0.35">
      <c r="A59" s="22"/>
      <c r="B59" s="22"/>
      <c r="C59" s="22"/>
      <c r="D59" s="22"/>
      <c r="E59" s="22"/>
      <c r="F59" s="22"/>
      <c r="G59" s="22"/>
      <c r="H59" s="22"/>
    </row>
    <row r="60" spans="1:8" ht="15.5" x14ac:dyDescent="0.35">
      <c r="A60" s="22"/>
      <c r="B60" s="22"/>
      <c r="C60" s="22"/>
      <c r="D60" s="22"/>
      <c r="E60" s="22"/>
      <c r="F60" s="22"/>
      <c r="G60" s="22"/>
      <c r="H60" s="22"/>
    </row>
    <row r="61" spans="1:8" ht="15.5" x14ac:dyDescent="0.35">
      <c r="A61" s="22"/>
      <c r="B61" s="22"/>
      <c r="C61" s="22"/>
      <c r="D61" s="22"/>
      <c r="E61" s="22"/>
      <c r="F61" s="22"/>
      <c r="G61" s="22"/>
      <c r="H61" s="22"/>
    </row>
    <row r="62" spans="1:8" ht="15.5" x14ac:dyDescent="0.35">
      <c r="A62" s="22"/>
      <c r="B62" s="22"/>
      <c r="C62" s="22"/>
      <c r="D62" s="22"/>
      <c r="E62" s="22"/>
      <c r="F62" s="22"/>
      <c r="G62" s="22"/>
      <c r="H62" s="22"/>
    </row>
    <row r="63" spans="1:8" ht="15.5" x14ac:dyDescent="0.35">
      <c r="A63" s="22"/>
      <c r="B63" s="22"/>
      <c r="C63" s="22"/>
      <c r="D63" s="22"/>
      <c r="E63" s="22"/>
      <c r="F63" s="22"/>
      <c r="G63" s="22"/>
      <c r="H63" s="22"/>
    </row>
    <row r="64" spans="1:8" ht="15.5" x14ac:dyDescent="0.35">
      <c r="A64" s="22"/>
      <c r="B64" s="22"/>
      <c r="C64" s="22"/>
      <c r="D64" s="22"/>
      <c r="E64" s="22"/>
      <c r="F64" s="22"/>
      <c r="G64" s="22"/>
      <c r="H64" s="22"/>
    </row>
    <row r="65" spans="1:8" ht="15.5" x14ac:dyDescent="0.35">
      <c r="A65" s="22"/>
      <c r="B65" s="22"/>
      <c r="C65" s="22"/>
      <c r="D65" s="22"/>
      <c r="E65" s="22"/>
      <c r="F65" s="22"/>
      <c r="G65" s="22"/>
      <c r="H65" s="22"/>
    </row>
    <row r="66" spans="1:8" ht="15.5" x14ac:dyDescent="0.35">
      <c r="A66" s="22"/>
      <c r="B66" s="22"/>
      <c r="C66" s="22"/>
      <c r="D66" s="22"/>
      <c r="E66" s="22"/>
      <c r="F66" s="22"/>
      <c r="G66" s="22"/>
      <c r="H66" s="22"/>
    </row>
    <row r="67" spans="1:8" ht="15.5" x14ac:dyDescent="0.35">
      <c r="A67" s="22"/>
      <c r="B67" s="22"/>
      <c r="C67" s="22"/>
      <c r="D67" s="22"/>
      <c r="E67" s="22"/>
      <c r="F67" s="22"/>
      <c r="G67" s="22"/>
      <c r="H67" s="22"/>
    </row>
  </sheetData>
  <phoneticPr fontId="0" type="noConversion"/>
  <printOptions horizontalCentered="1"/>
  <pageMargins left="0" right="0" top="0.25" bottom="0.75" header="0.25" footer="0.25"/>
  <pageSetup scale="72" orientation="landscape" r:id="rId1"/>
  <headerFooter alignWithMargins="0">
    <oddFooter>&amp;L&amp;"Times New Roman,Regular"&amp;12&amp;F&amp;C&amp;"Times New Roman,Regular"&amp;12Page 3 of 5&amp;R&amp;"Times New Roman,Regular"&amp;12&amp;A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2:S53"/>
  <sheetViews>
    <sheetView zoomScale="80" zoomScaleNormal="80" zoomScaleSheetLayoutView="75"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ColWidth="9.453125" defaultRowHeight="12.5" x14ac:dyDescent="0.25"/>
  <cols>
    <col min="1" max="1" width="5.54296875" style="243" customWidth="1"/>
    <col min="2" max="2" width="8.54296875" style="243" customWidth="1"/>
    <col min="3" max="3" width="58.54296875" style="243" customWidth="1"/>
    <col min="4" max="14" width="12.54296875" style="374" customWidth="1"/>
    <col min="15" max="16" width="15.54296875" style="374" customWidth="1"/>
    <col min="17" max="17" width="5.54296875" style="243" customWidth="1"/>
    <col min="18" max="18" width="2.54296875" style="243" bestFit="1" customWidth="1"/>
    <col min="19" max="16384" width="9.453125" style="243"/>
  </cols>
  <sheetData>
    <row r="2" spans="1:18" ht="16" thickBot="1" x14ac:dyDescent="0.4">
      <c r="A2" s="55"/>
      <c r="B2" s="31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55"/>
    </row>
    <row r="3" spans="1:18" ht="38.75" customHeight="1" thickBot="1" x14ac:dyDescent="0.4">
      <c r="A3" s="315" t="s">
        <v>69</v>
      </c>
      <c r="B3" s="315" t="s">
        <v>422</v>
      </c>
      <c r="C3" s="542" t="s">
        <v>470</v>
      </c>
      <c r="D3" s="368">
        <f>'WP 10 ETC Costs'!D3</f>
        <v>44835</v>
      </c>
      <c r="E3" s="367">
        <f>'WP 10 ETC Costs'!E3</f>
        <v>44866</v>
      </c>
      <c r="F3" s="369">
        <f>'WP 10 ETC Costs'!F3</f>
        <v>44896</v>
      </c>
      <c r="G3" s="368">
        <f>'WP 10 ETC Costs'!G3</f>
        <v>44927</v>
      </c>
      <c r="H3" s="367">
        <f>'WP 10 ETC Costs'!H3</f>
        <v>44958</v>
      </c>
      <c r="I3" s="369">
        <f>'WP 10 ETC Costs'!I3</f>
        <v>44986</v>
      </c>
      <c r="J3" s="368">
        <f>'WP 10 ETC Costs'!J3</f>
        <v>45017</v>
      </c>
      <c r="K3" s="367">
        <f>'WP 10 ETC Costs'!K3</f>
        <v>45047</v>
      </c>
      <c r="L3" s="369">
        <f>'WP 10 ETC Costs'!L3</f>
        <v>45078</v>
      </c>
      <c r="M3" s="366">
        <f>'WP 10 ETC Costs'!M3</f>
        <v>45108</v>
      </c>
      <c r="N3" s="367">
        <f>'WP 10 ETC Costs'!N3</f>
        <v>45139</v>
      </c>
      <c r="O3" s="366">
        <f>'WP 10 ETC Costs'!O3</f>
        <v>45170</v>
      </c>
      <c r="P3" s="381" t="s">
        <v>18</v>
      </c>
      <c r="Q3" s="462" t="s">
        <v>69</v>
      </c>
    </row>
    <row r="4" spans="1:18" ht="15" x14ac:dyDescent="0.3">
      <c r="A4" s="314"/>
      <c r="B4" s="314"/>
      <c r="C4" s="785"/>
      <c r="D4" s="371"/>
      <c r="E4" s="370"/>
      <c r="F4" s="720"/>
      <c r="G4" s="371"/>
      <c r="H4" s="370"/>
      <c r="I4" s="720"/>
      <c r="J4" s="371"/>
      <c r="K4" s="370"/>
      <c r="L4" s="720"/>
      <c r="M4" s="541"/>
      <c r="N4" s="370"/>
      <c r="O4" s="541"/>
      <c r="P4" s="465"/>
      <c r="Q4" s="463"/>
      <c r="R4" s="3"/>
    </row>
    <row r="5" spans="1:18" ht="15.5" x14ac:dyDescent="0.35">
      <c r="A5" s="735">
        <f>A4+1</f>
        <v>1</v>
      </c>
      <c r="B5" s="735">
        <v>1592</v>
      </c>
      <c r="C5" s="898" t="s">
        <v>424</v>
      </c>
      <c r="D5" s="737">
        <v>0</v>
      </c>
      <c r="E5" s="738">
        <v>0</v>
      </c>
      <c r="F5" s="739">
        <v>0</v>
      </c>
      <c r="G5" s="737">
        <v>0</v>
      </c>
      <c r="H5" s="738">
        <v>-183.37</v>
      </c>
      <c r="I5" s="739">
        <v>0</v>
      </c>
      <c r="J5" s="737">
        <v>0</v>
      </c>
      <c r="K5" s="738">
        <v>0</v>
      </c>
      <c r="L5" s="739">
        <v>0</v>
      </c>
      <c r="M5" s="740">
        <v>0</v>
      </c>
      <c r="N5" s="738">
        <v>0</v>
      </c>
      <c r="O5" s="740">
        <v>0</v>
      </c>
      <c r="P5" s="741">
        <f>SUM(D5:O5)</f>
        <v>-183.37</v>
      </c>
      <c r="Q5" s="736">
        <f>A5</f>
        <v>1</v>
      </c>
      <c r="R5" s="3"/>
    </row>
    <row r="6" spans="1:18" ht="15.5" x14ac:dyDescent="0.35">
      <c r="A6" s="735">
        <f>A5+1</f>
        <v>2</v>
      </c>
      <c r="B6" s="735"/>
      <c r="C6" s="899"/>
      <c r="D6" s="371"/>
      <c r="E6" s="370"/>
      <c r="F6" s="720"/>
      <c r="G6" s="371"/>
      <c r="H6" s="370"/>
      <c r="I6" s="720"/>
      <c r="J6" s="371"/>
      <c r="K6" s="370"/>
      <c r="L6" s="720"/>
      <c r="M6" s="541"/>
      <c r="N6" s="370"/>
      <c r="O6" s="541"/>
      <c r="P6" s="465"/>
      <c r="Q6" s="736">
        <f t="shared" ref="Q6:Q17" si="0">A6</f>
        <v>2</v>
      </c>
      <c r="R6" s="3"/>
    </row>
    <row r="7" spans="1:18" ht="15.5" x14ac:dyDescent="0.35">
      <c r="A7" s="735">
        <f t="shared" ref="A7:A23" si="1">A6+1</f>
        <v>3</v>
      </c>
      <c r="B7" s="120">
        <v>7989</v>
      </c>
      <c r="C7" s="22" t="s">
        <v>438</v>
      </c>
      <c r="D7" s="117">
        <v>-25838.129999999997</v>
      </c>
      <c r="E7" s="44">
        <v>-114718.1</v>
      </c>
      <c r="F7" s="119">
        <v>-67984.84</v>
      </c>
      <c r="G7" s="117">
        <v>-157912.43</v>
      </c>
      <c r="H7" s="44">
        <v>-112360.69</v>
      </c>
      <c r="I7" s="119">
        <v>-6808.56</v>
      </c>
      <c r="J7" s="117">
        <v>-133320.34</v>
      </c>
      <c r="K7" s="44">
        <v>-275768.14999999997</v>
      </c>
      <c r="L7" s="119">
        <v>-132782.91999999998</v>
      </c>
      <c r="M7" s="93">
        <v>-15649.529999999999</v>
      </c>
      <c r="N7" s="44">
        <v>-5759.83</v>
      </c>
      <c r="O7" s="93">
        <v>-4307.75</v>
      </c>
      <c r="P7" s="148">
        <f>SUM(D7:O7)</f>
        <v>-1053211.27</v>
      </c>
      <c r="Q7" s="736">
        <f t="shared" si="0"/>
        <v>3</v>
      </c>
    </row>
    <row r="8" spans="1:18" ht="15.5" x14ac:dyDescent="0.35">
      <c r="A8" s="735">
        <f t="shared" si="1"/>
        <v>4</v>
      </c>
      <c r="B8" s="120"/>
      <c r="C8" s="22"/>
      <c r="D8" s="351"/>
      <c r="E8" s="141"/>
      <c r="F8" s="329"/>
      <c r="G8" s="351"/>
      <c r="H8" s="141"/>
      <c r="I8" s="329"/>
      <c r="J8" s="351"/>
      <c r="K8" s="141"/>
      <c r="L8" s="329"/>
      <c r="M8" s="328"/>
      <c r="N8" s="141"/>
      <c r="O8" s="328"/>
      <c r="P8" s="466"/>
      <c r="Q8" s="736">
        <f t="shared" si="0"/>
        <v>4</v>
      </c>
    </row>
    <row r="9" spans="1:18" ht="15.5" x14ac:dyDescent="0.35">
      <c r="A9" s="735">
        <f t="shared" si="1"/>
        <v>5</v>
      </c>
      <c r="B9" s="120">
        <v>7999</v>
      </c>
      <c r="C9" s="22" t="s">
        <v>439</v>
      </c>
      <c r="D9" s="117">
        <v>0</v>
      </c>
      <c r="E9" s="44">
        <v>0</v>
      </c>
      <c r="F9" s="119">
        <v>527.72</v>
      </c>
      <c r="G9" s="117">
        <v>1156.8500000000001</v>
      </c>
      <c r="H9" s="44">
        <v>24339.309999999998</v>
      </c>
      <c r="I9" s="119">
        <v>20609</v>
      </c>
      <c r="J9" s="117">
        <v>13685.23</v>
      </c>
      <c r="K9" s="44">
        <v>2.96</v>
      </c>
      <c r="L9" s="119">
        <v>9725.31</v>
      </c>
      <c r="M9" s="93">
        <v>0</v>
      </c>
      <c r="N9" s="44">
        <v>254.78</v>
      </c>
      <c r="O9" s="93">
        <v>1051.6099999999999</v>
      </c>
      <c r="P9" s="148">
        <f>SUM(D9:O9)</f>
        <v>71352.77</v>
      </c>
      <c r="Q9" s="736">
        <f t="shared" si="0"/>
        <v>5</v>
      </c>
      <c r="R9" s="22"/>
    </row>
    <row r="10" spans="1:18" ht="15.5" x14ac:dyDescent="0.35">
      <c r="A10" s="735">
        <f t="shared" si="1"/>
        <v>6</v>
      </c>
      <c r="B10" s="120"/>
      <c r="C10" s="22"/>
      <c r="D10" s="117"/>
      <c r="E10" s="44"/>
      <c r="F10" s="119"/>
      <c r="G10" s="117"/>
      <c r="H10" s="44"/>
      <c r="I10" s="119"/>
      <c r="J10" s="117"/>
      <c r="K10" s="44"/>
      <c r="L10" s="119"/>
      <c r="M10" s="93"/>
      <c r="N10" s="44"/>
      <c r="O10" s="887" t="s">
        <v>471</v>
      </c>
      <c r="P10" s="148"/>
      <c r="Q10" s="736">
        <f t="shared" si="0"/>
        <v>6</v>
      </c>
      <c r="R10" s="22"/>
    </row>
    <row r="11" spans="1:18" ht="15.5" x14ac:dyDescent="0.35">
      <c r="A11" s="735">
        <f t="shared" si="1"/>
        <v>7</v>
      </c>
      <c r="B11" s="120">
        <v>8526</v>
      </c>
      <c r="C11" s="22" t="s">
        <v>472</v>
      </c>
      <c r="D11" s="117">
        <v>0</v>
      </c>
      <c r="E11" s="44">
        <v>0</v>
      </c>
      <c r="F11" s="119">
        <v>0</v>
      </c>
      <c r="G11" s="117">
        <v>0</v>
      </c>
      <c r="H11" s="44">
        <v>-16.52</v>
      </c>
      <c r="I11" s="119">
        <v>0</v>
      </c>
      <c r="J11" s="117">
        <v>0</v>
      </c>
      <c r="K11" s="44">
        <v>0</v>
      </c>
      <c r="L11" s="119">
        <v>0</v>
      </c>
      <c r="M11" s="93">
        <v>0</v>
      </c>
      <c r="N11" s="44">
        <v>0</v>
      </c>
      <c r="O11" s="93">
        <v>-147968.43909</v>
      </c>
      <c r="P11" s="148">
        <f>SUM(D11:O11)</f>
        <v>-147984.95908999999</v>
      </c>
      <c r="Q11" s="736">
        <f t="shared" si="0"/>
        <v>7</v>
      </c>
      <c r="R11" s="22"/>
    </row>
    <row r="12" spans="1:18" ht="15.5" x14ac:dyDescent="0.35">
      <c r="A12" s="735">
        <f t="shared" si="1"/>
        <v>8</v>
      </c>
      <c r="B12" s="120"/>
      <c r="C12" s="22"/>
      <c r="D12" s="117"/>
      <c r="E12" s="44"/>
      <c r="F12" s="119"/>
      <c r="G12" s="117"/>
      <c r="H12" s="44"/>
      <c r="I12" s="119"/>
      <c r="J12" s="117"/>
      <c r="K12" s="44"/>
      <c r="L12" s="119"/>
      <c r="M12" s="93"/>
      <c r="N12" s="44"/>
      <c r="O12" s="93"/>
      <c r="P12" s="148"/>
      <c r="Q12" s="736">
        <f t="shared" si="0"/>
        <v>8</v>
      </c>
      <c r="R12" s="22"/>
    </row>
    <row r="13" spans="1:18" ht="15.5" x14ac:dyDescent="0.35">
      <c r="A13" s="735">
        <f t="shared" si="1"/>
        <v>9</v>
      </c>
      <c r="B13" s="120">
        <v>8989</v>
      </c>
      <c r="C13" s="22" t="s">
        <v>473</v>
      </c>
      <c r="D13" s="117">
        <v>0</v>
      </c>
      <c r="E13" s="44">
        <v>0</v>
      </c>
      <c r="F13" s="119">
        <v>0</v>
      </c>
      <c r="G13" s="117">
        <v>0</v>
      </c>
      <c r="H13" s="44">
        <v>0</v>
      </c>
      <c r="I13" s="119">
        <v>0</v>
      </c>
      <c r="J13" s="117">
        <v>0</v>
      </c>
      <c r="K13" s="44">
        <v>0</v>
      </c>
      <c r="L13" s="119">
        <v>0</v>
      </c>
      <c r="M13" s="93">
        <v>0</v>
      </c>
      <c r="N13" s="44">
        <v>0</v>
      </c>
      <c r="O13" s="93">
        <v>0</v>
      </c>
      <c r="P13" s="148">
        <f>SUM(D13:O13)</f>
        <v>0</v>
      </c>
      <c r="Q13" s="736">
        <f t="shared" si="0"/>
        <v>9</v>
      </c>
      <c r="R13" s="22"/>
    </row>
    <row r="14" spans="1:18" ht="15.5" x14ac:dyDescent="0.35">
      <c r="A14" s="735">
        <f t="shared" si="1"/>
        <v>10</v>
      </c>
      <c r="B14" s="120"/>
      <c r="C14" s="22"/>
      <c r="D14" s="117"/>
      <c r="E14" s="44"/>
      <c r="F14" s="119"/>
      <c r="G14" s="117"/>
      <c r="H14" s="44"/>
      <c r="I14" s="119"/>
      <c r="J14" s="117"/>
      <c r="K14" s="44"/>
      <c r="L14" s="119"/>
      <c r="M14" s="93"/>
      <c r="N14" s="44"/>
      <c r="O14" s="93"/>
      <c r="P14" s="148"/>
      <c r="Q14" s="736">
        <f t="shared" si="0"/>
        <v>10</v>
      </c>
      <c r="R14" s="22"/>
    </row>
    <row r="15" spans="1:18" ht="15.5" x14ac:dyDescent="0.35">
      <c r="A15" s="735">
        <f t="shared" si="1"/>
        <v>11</v>
      </c>
      <c r="B15" s="120">
        <v>8999</v>
      </c>
      <c r="C15" s="22" t="s">
        <v>463</v>
      </c>
      <c r="D15" s="117">
        <v>0</v>
      </c>
      <c r="E15" s="44">
        <v>0</v>
      </c>
      <c r="F15" s="119">
        <v>0</v>
      </c>
      <c r="G15" s="117">
        <v>0</v>
      </c>
      <c r="H15" s="44">
        <v>0</v>
      </c>
      <c r="I15" s="119">
        <v>0</v>
      </c>
      <c r="J15" s="117">
        <v>0</v>
      </c>
      <c r="K15" s="44">
        <v>0</v>
      </c>
      <c r="L15" s="119">
        <v>0</v>
      </c>
      <c r="M15" s="93">
        <v>0</v>
      </c>
      <c r="N15" s="44">
        <v>0</v>
      </c>
      <c r="O15" s="93">
        <v>0</v>
      </c>
      <c r="P15" s="148">
        <f>SUM(D15:O15)</f>
        <v>0</v>
      </c>
      <c r="Q15" s="736">
        <f t="shared" si="0"/>
        <v>11</v>
      </c>
      <c r="R15" s="22"/>
    </row>
    <row r="16" spans="1:18" ht="15.5" x14ac:dyDescent="0.35">
      <c r="A16" s="735">
        <f t="shared" si="1"/>
        <v>12</v>
      </c>
      <c r="B16" s="120"/>
      <c r="C16" s="22"/>
      <c r="D16" s="483"/>
      <c r="E16" s="476"/>
      <c r="F16" s="484"/>
      <c r="G16" s="483"/>
      <c r="H16" s="476"/>
      <c r="I16" s="484"/>
      <c r="J16" s="483"/>
      <c r="K16" s="476"/>
      <c r="L16" s="484"/>
      <c r="M16" s="485"/>
      <c r="N16" s="476"/>
      <c r="O16" s="485"/>
      <c r="P16" s="487"/>
      <c r="Q16" s="736">
        <f t="shared" si="0"/>
        <v>12</v>
      </c>
      <c r="R16" s="22"/>
    </row>
    <row r="17" spans="1:19" ht="16" thickBot="1" x14ac:dyDescent="0.4">
      <c r="A17" s="735">
        <f t="shared" si="1"/>
        <v>13</v>
      </c>
      <c r="B17" s="186"/>
      <c r="C17" s="3" t="s">
        <v>464</v>
      </c>
      <c r="D17" s="489">
        <f t="shared" ref="D17:P17" si="2">SUM(D5:D15)</f>
        <v>-25838.129999999997</v>
      </c>
      <c r="E17" s="192">
        <f t="shared" si="2"/>
        <v>-114718.1</v>
      </c>
      <c r="F17" s="486">
        <f t="shared" si="2"/>
        <v>-67457.119999999995</v>
      </c>
      <c r="G17" s="489">
        <f t="shared" si="2"/>
        <v>-156755.57999999999</v>
      </c>
      <c r="H17" s="192">
        <f t="shared" si="2"/>
        <v>-88221.27</v>
      </c>
      <c r="I17" s="490">
        <f t="shared" si="2"/>
        <v>13800.439999999999</v>
      </c>
      <c r="J17" s="489">
        <f t="shared" si="2"/>
        <v>-119635.11</v>
      </c>
      <c r="K17" s="192">
        <f t="shared" si="2"/>
        <v>-275765.18999999994</v>
      </c>
      <c r="L17" s="490">
        <f t="shared" si="2"/>
        <v>-123057.60999999999</v>
      </c>
      <c r="M17" s="489">
        <f t="shared" si="2"/>
        <v>-15649.529999999999</v>
      </c>
      <c r="N17" s="192">
        <f t="shared" si="2"/>
        <v>-5505.05</v>
      </c>
      <c r="O17" s="486">
        <f t="shared" si="2"/>
        <v>-151224.57909000001</v>
      </c>
      <c r="P17" s="488">
        <f t="shared" si="2"/>
        <v>-1130026.8290900001</v>
      </c>
      <c r="Q17" s="736">
        <f t="shared" si="0"/>
        <v>13</v>
      </c>
      <c r="R17" s="22"/>
    </row>
    <row r="18" spans="1:19" ht="16.5" thickTop="1" thickBot="1" x14ac:dyDescent="0.4">
      <c r="A18" s="121">
        <f t="shared" si="1"/>
        <v>14</v>
      </c>
      <c r="B18" s="126"/>
      <c r="C18" s="859"/>
      <c r="D18" s="324"/>
      <c r="E18" s="319"/>
      <c r="F18" s="451"/>
      <c r="G18" s="450"/>
      <c r="H18" s="319"/>
      <c r="I18" s="451"/>
      <c r="J18" s="450"/>
      <c r="K18" s="319"/>
      <c r="L18" s="451"/>
      <c r="M18" s="318"/>
      <c r="N18" s="319"/>
      <c r="O18" s="318"/>
      <c r="P18" s="452"/>
      <c r="Q18" s="464">
        <f t="shared" ref="Q18:Q23" si="3">Q17+1</f>
        <v>14</v>
      </c>
      <c r="R18" s="22"/>
      <c r="S18" s="373"/>
    </row>
    <row r="19" spans="1:19" ht="15.5" x14ac:dyDescent="0.35">
      <c r="A19" s="150">
        <f t="shared" si="1"/>
        <v>15</v>
      </c>
      <c r="B19" s="247"/>
      <c r="C19" s="900"/>
      <c r="D19" s="312"/>
      <c r="E19" s="311"/>
      <c r="F19" s="313"/>
      <c r="G19" s="526"/>
      <c r="H19" s="304"/>
      <c r="I19" s="525"/>
      <c r="J19" s="312"/>
      <c r="K19" s="311"/>
      <c r="L19" s="313"/>
      <c r="M19" s="312"/>
      <c r="N19" s="311"/>
      <c r="O19" s="313"/>
      <c r="P19" s="723"/>
      <c r="Q19" s="460">
        <f t="shared" si="3"/>
        <v>15</v>
      </c>
      <c r="R19" s="22"/>
      <c r="S19" s="373"/>
    </row>
    <row r="20" spans="1:19" s="786" customFormat="1" ht="31" x14ac:dyDescent="0.25">
      <c r="A20" s="901">
        <f t="shared" si="1"/>
        <v>16</v>
      </c>
      <c r="B20" s="375"/>
      <c r="C20" s="902" t="s">
        <v>474</v>
      </c>
      <c r="D20" s="376">
        <f t="shared" ref="D20:O20" si="4">D17</f>
        <v>-25838.129999999997</v>
      </c>
      <c r="E20" s="358">
        <f t="shared" si="4"/>
        <v>-114718.1</v>
      </c>
      <c r="F20" s="377">
        <f t="shared" si="4"/>
        <v>-67457.119999999995</v>
      </c>
      <c r="G20" s="376">
        <f t="shared" si="4"/>
        <v>-156755.57999999999</v>
      </c>
      <c r="H20" s="358">
        <f t="shared" si="4"/>
        <v>-88221.27</v>
      </c>
      <c r="I20" s="377">
        <f t="shared" si="4"/>
        <v>13800.439999999999</v>
      </c>
      <c r="J20" s="376">
        <f t="shared" si="4"/>
        <v>-119635.11</v>
      </c>
      <c r="K20" s="358">
        <f t="shared" si="4"/>
        <v>-275765.18999999994</v>
      </c>
      <c r="L20" s="377">
        <f t="shared" si="4"/>
        <v>-123057.60999999999</v>
      </c>
      <c r="M20" s="376">
        <f t="shared" si="4"/>
        <v>-15649.529999999999</v>
      </c>
      <c r="N20" s="358">
        <f t="shared" si="4"/>
        <v>-5505.05</v>
      </c>
      <c r="O20" s="377">
        <f t="shared" si="4"/>
        <v>-151224.57909000001</v>
      </c>
      <c r="P20" s="848">
        <f>P17</f>
        <v>-1130026.8290900001</v>
      </c>
      <c r="Q20" s="847">
        <f t="shared" si="3"/>
        <v>16</v>
      </c>
      <c r="R20" s="372"/>
    </row>
    <row r="21" spans="1:19" ht="15.5" x14ac:dyDescent="0.35">
      <c r="A21" s="120">
        <f t="shared" si="1"/>
        <v>17</v>
      </c>
      <c r="B21" s="125"/>
      <c r="C21" s="219" t="s">
        <v>475</v>
      </c>
      <c r="D21" s="364">
        <f>'WP 4 Monthly TRBAA '!C20</f>
        <v>-25838.129999999997</v>
      </c>
      <c r="E21" s="154">
        <f>'WP 4 Monthly TRBAA '!D20</f>
        <v>-114718.1</v>
      </c>
      <c r="F21" s="365">
        <f>'WP 4 Monthly TRBAA '!E20</f>
        <v>-67457.119999999995</v>
      </c>
      <c r="G21" s="364">
        <f>'WP 4 Monthly TRBAA '!F20</f>
        <v>-156755.57999999999</v>
      </c>
      <c r="H21" s="154">
        <f>'WP 4 Monthly TRBAA '!G20</f>
        <v>-88221.27</v>
      </c>
      <c r="I21" s="365">
        <f>'WP 4 Monthly TRBAA '!H20</f>
        <v>13800.439999999999</v>
      </c>
      <c r="J21" s="364">
        <f>'WP 4 Monthly TRBAA '!I20</f>
        <v>-119635.11</v>
      </c>
      <c r="K21" s="154">
        <f>'WP 4 Monthly TRBAA '!J20</f>
        <v>-275765.18999999994</v>
      </c>
      <c r="L21" s="365">
        <f>'WP 4 Monthly TRBAA '!K20</f>
        <v>-123057.60999999999</v>
      </c>
      <c r="M21" s="364">
        <f>'WP 4 Monthly TRBAA '!L20</f>
        <v>-15649.529999999999</v>
      </c>
      <c r="N21" s="154">
        <f>'WP 4 Monthly TRBAA '!M20</f>
        <v>-5505.05</v>
      </c>
      <c r="O21" s="365">
        <f>'WP 4 Monthly TRBAA '!N20</f>
        <v>-151224.57909000001</v>
      </c>
      <c r="P21" s="725">
        <f>'WP 4 Monthly TRBAA '!O20</f>
        <v>-1130026.8290900001</v>
      </c>
      <c r="Q21" s="350">
        <f t="shared" si="3"/>
        <v>17</v>
      </c>
      <c r="R21" s="22"/>
    </row>
    <row r="22" spans="1:19" ht="16" thickBot="1" x14ac:dyDescent="0.4">
      <c r="A22" s="120">
        <f t="shared" si="1"/>
        <v>18</v>
      </c>
      <c r="B22" s="125"/>
      <c r="C22" s="219" t="s">
        <v>75</v>
      </c>
      <c r="D22" s="321">
        <f>D20-D21</f>
        <v>0</v>
      </c>
      <c r="E22" s="320">
        <f t="shared" ref="E22:P22" si="5">E20-E21</f>
        <v>0</v>
      </c>
      <c r="F22" s="323">
        <f t="shared" si="5"/>
        <v>0</v>
      </c>
      <c r="G22" s="321">
        <f t="shared" si="5"/>
        <v>0</v>
      </c>
      <c r="H22" s="155">
        <f t="shared" si="5"/>
        <v>0</v>
      </c>
      <c r="I22" s="322">
        <f t="shared" si="5"/>
        <v>0</v>
      </c>
      <c r="J22" s="321">
        <f t="shared" si="5"/>
        <v>0</v>
      </c>
      <c r="K22" s="155">
        <f t="shared" si="5"/>
        <v>0</v>
      </c>
      <c r="L22" s="322">
        <f t="shared" si="5"/>
        <v>0</v>
      </c>
      <c r="M22" s="321">
        <f t="shared" si="5"/>
        <v>0</v>
      </c>
      <c r="N22" s="155">
        <f t="shared" si="5"/>
        <v>0</v>
      </c>
      <c r="O22" s="322">
        <f t="shared" si="5"/>
        <v>0</v>
      </c>
      <c r="P22" s="726">
        <f t="shared" si="5"/>
        <v>0</v>
      </c>
      <c r="Q22" s="350">
        <f t="shared" si="3"/>
        <v>18</v>
      </c>
      <c r="R22" s="22"/>
    </row>
    <row r="23" spans="1:19" ht="16.5" thickTop="1" thickBot="1" x14ac:dyDescent="0.4">
      <c r="A23" s="121">
        <f t="shared" si="1"/>
        <v>19</v>
      </c>
      <c r="B23" s="126"/>
      <c r="C23" s="212"/>
      <c r="D23" s="324"/>
      <c r="E23" s="305"/>
      <c r="F23" s="128"/>
      <c r="G23" s="127"/>
      <c r="H23" s="305"/>
      <c r="I23" s="128"/>
      <c r="J23" s="127"/>
      <c r="K23" s="305"/>
      <c r="L23" s="128"/>
      <c r="M23" s="127"/>
      <c r="N23" s="305"/>
      <c r="O23" s="128"/>
      <c r="P23" s="727"/>
      <c r="Q23" s="464">
        <f t="shared" si="3"/>
        <v>19</v>
      </c>
      <c r="R23" s="22"/>
    </row>
    <row r="24" spans="1:19" ht="15.5" x14ac:dyDescent="0.35">
      <c r="B24" s="22"/>
      <c r="C24" s="22"/>
      <c r="D24" s="78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40"/>
    </row>
    <row r="25" spans="1:19" ht="33" customHeight="1" x14ac:dyDescent="0.3">
      <c r="A25" s="382" t="s">
        <v>415</v>
      </c>
      <c r="B25" s="992" t="s">
        <v>476</v>
      </c>
      <c r="C25" s="992"/>
      <c r="D25" s="992"/>
      <c r="E25" s="992"/>
      <c r="F25" s="992"/>
      <c r="G25" s="992"/>
      <c r="H25" s="992"/>
      <c r="I25" s="992"/>
      <c r="J25" s="992"/>
      <c r="K25" s="307"/>
      <c r="L25" s="307"/>
      <c r="M25" s="307"/>
      <c r="N25" s="307"/>
      <c r="O25" s="307"/>
      <c r="P25" s="151"/>
    </row>
    <row r="26" spans="1:19" ht="15.5" x14ac:dyDescent="0.35">
      <c r="B26" s="22"/>
      <c r="C26" s="22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</row>
    <row r="27" spans="1:19" ht="51.65" customHeight="1" x14ac:dyDescent="0.25">
      <c r="A27" s="903" t="s">
        <v>471</v>
      </c>
      <c r="B27" s="992" t="s">
        <v>530</v>
      </c>
      <c r="C27" s="992"/>
      <c r="D27" s="992"/>
      <c r="E27" s="992"/>
      <c r="F27" s="992"/>
      <c r="G27" s="992"/>
      <c r="H27" s="992"/>
      <c r="I27" s="992"/>
      <c r="J27" s="992"/>
    </row>
    <row r="28" spans="1:19" ht="18" x14ac:dyDescent="0.35">
      <c r="A28" s="903"/>
      <c r="B28" s="905"/>
      <c r="C28" s="905"/>
      <c r="D28" s="78"/>
      <c r="E28" s="78"/>
      <c r="F28" s="78"/>
      <c r="G28" s="78"/>
    </row>
    <row r="29" spans="1:19" ht="15.5" x14ac:dyDescent="0.35">
      <c r="B29" s="22" t="s">
        <v>228</v>
      </c>
      <c r="C29" s="904"/>
      <c r="D29" s="78"/>
      <c r="E29" s="78"/>
      <c r="F29" s="78"/>
      <c r="G29" s="78"/>
      <c r="H29" s="78"/>
      <c r="I29" s="78"/>
      <c r="J29" s="917"/>
      <c r="L29" s="78"/>
      <c r="M29" s="78"/>
      <c r="N29" s="78"/>
      <c r="O29" s="907">
        <v>-147968.44</v>
      </c>
      <c r="P29" s="908">
        <f>SUM(O29)</f>
        <v>-147968.44</v>
      </c>
    </row>
    <row r="30" spans="1:19" ht="15.5" x14ac:dyDescent="0.35">
      <c r="B30" s="22" t="s">
        <v>229</v>
      </c>
      <c r="C30" s="22"/>
      <c r="D30" s="78"/>
      <c r="E30" s="78"/>
      <c r="F30" s="78"/>
      <c r="G30" s="78"/>
      <c r="H30" s="78"/>
      <c r="I30" s="78"/>
      <c r="J30" s="888"/>
      <c r="L30" s="78"/>
      <c r="M30" s="78"/>
      <c r="N30" s="78"/>
      <c r="O30" s="907">
        <v>0</v>
      </c>
      <c r="P30" s="909">
        <f>SUM(O30)</f>
        <v>0</v>
      </c>
    </row>
    <row r="31" spans="1:19" ht="16" thickBot="1" x14ac:dyDescent="0.4">
      <c r="B31" s="22" t="s">
        <v>18</v>
      </c>
      <c r="C31" s="22"/>
      <c r="D31" s="78"/>
      <c r="E31" s="78"/>
      <c r="F31" s="78"/>
      <c r="G31" s="78"/>
      <c r="H31" s="78"/>
      <c r="I31" s="906"/>
      <c r="J31" s="917"/>
      <c r="L31" s="78"/>
      <c r="M31" s="78"/>
      <c r="N31" s="906" t="s">
        <v>471</v>
      </c>
      <c r="O31" s="910">
        <f>SUM(O29:O30)</f>
        <v>-147968.44</v>
      </c>
      <c r="P31" s="910">
        <f>SUM(P29:P30)</f>
        <v>-147968.44</v>
      </c>
    </row>
    <row r="32" spans="1:19" ht="16" thickTop="1" x14ac:dyDescent="0.35">
      <c r="B32" s="22"/>
      <c r="C32" s="22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</row>
    <row r="33" spans="2:16" ht="15.5" x14ac:dyDescent="0.35">
      <c r="B33" s="22"/>
      <c r="C33" s="22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</row>
    <row r="34" spans="2:16" ht="15.5" x14ac:dyDescent="0.35">
      <c r="B34" s="22"/>
      <c r="C34" s="22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</row>
    <row r="35" spans="2:16" ht="15.5" x14ac:dyDescent="0.35">
      <c r="B35" s="22"/>
      <c r="C35" s="22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</row>
    <row r="36" spans="2:16" ht="15.5" x14ac:dyDescent="0.35">
      <c r="B36" s="22"/>
      <c r="C36" s="22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</row>
    <row r="37" spans="2:16" ht="15.5" x14ac:dyDescent="0.35">
      <c r="B37" s="22"/>
      <c r="C37" s="22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</row>
    <row r="38" spans="2:16" ht="15.5" x14ac:dyDescent="0.35">
      <c r="B38" s="22"/>
      <c r="C38" s="22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</row>
    <row r="39" spans="2:16" ht="15.5" x14ac:dyDescent="0.35">
      <c r="B39" s="22"/>
      <c r="C39" s="22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</row>
    <row r="40" spans="2:16" ht="15.5" x14ac:dyDescent="0.35">
      <c r="B40" s="22"/>
      <c r="C40" s="22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</row>
    <row r="41" spans="2:16" ht="15.5" x14ac:dyDescent="0.35">
      <c r="B41" s="22"/>
      <c r="C41" s="22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</row>
    <row r="42" spans="2:16" ht="15.5" x14ac:dyDescent="0.35">
      <c r="B42" s="22"/>
      <c r="C42" s="22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</row>
    <row r="43" spans="2:16" ht="15.5" x14ac:dyDescent="0.35">
      <c r="B43" s="22"/>
      <c r="C43" s="22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</row>
    <row r="44" spans="2:16" ht="15.5" x14ac:dyDescent="0.35">
      <c r="B44" s="22"/>
      <c r="C44" s="22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</row>
    <row r="45" spans="2:16" ht="15.5" x14ac:dyDescent="0.35">
      <c r="B45" s="22"/>
      <c r="C45" s="22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</row>
    <row r="46" spans="2:16" ht="15.5" x14ac:dyDescent="0.35">
      <c r="B46" s="22"/>
      <c r="C46" s="22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</row>
    <row r="47" spans="2:16" ht="15.5" x14ac:dyDescent="0.35">
      <c r="B47" s="22"/>
      <c r="C47" s="22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</row>
    <row r="48" spans="2:16" ht="15.5" x14ac:dyDescent="0.35">
      <c r="B48" s="22"/>
      <c r="C48" s="22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</row>
    <row r="49" spans="2:16" ht="15.5" x14ac:dyDescent="0.35">
      <c r="B49" s="22"/>
      <c r="C49" s="22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</row>
    <row r="50" spans="2:16" ht="15.5" x14ac:dyDescent="0.35">
      <c r="B50" s="22"/>
      <c r="C50" s="22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</row>
    <row r="51" spans="2:16" ht="15.5" x14ac:dyDescent="0.35">
      <c r="B51" s="22"/>
      <c r="C51" s="22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</row>
    <row r="52" spans="2:16" ht="15.5" x14ac:dyDescent="0.35">
      <c r="B52" s="22"/>
      <c r="C52" s="22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</row>
    <row r="53" spans="2:16" ht="15.5" x14ac:dyDescent="0.35">
      <c r="B53" s="22"/>
      <c r="C53" s="22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</row>
  </sheetData>
  <mergeCells count="2">
    <mergeCell ref="B27:J27"/>
    <mergeCell ref="B25:J25"/>
  </mergeCells>
  <printOptions horizontalCentered="1"/>
  <pageMargins left="0.25" right="0.25" top="0.75" bottom="0.5" header="0.5" footer="0.25"/>
  <pageSetup scale="55" orientation="landscape" r:id="rId1"/>
  <headerFooter alignWithMargins="0">
    <oddHeader xml:space="preserve">&amp;C&amp;"Times New Roman,Bold"&amp;12San Diego Gas &amp;&amp; Electric Company
2024 T&amp;K000000RBAA Rate Filing
Details of Monthly Other PTO Related Revenue (Credits)/Charges
</oddHeader>
    <oddFooter>&amp;L&amp;"Times New Roman,Regular"&amp;16&amp;F&amp;C&amp;"Times New Roman,Regular"&amp;16Page 12.&amp;P&amp;R&amp;"Times New Roman,Regular"&amp;16&amp;A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O14"/>
  <sheetViews>
    <sheetView zoomScale="80" zoomScaleNormal="80" workbookViewId="0"/>
  </sheetViews>
  <sheetFormatPr defaultColWidth="9.1796875" defaultRowHeight="14" x14ac:dyDescent="0.3"/>
  <cols>
    <col min="1" max="1" width="20.54296875" style="771" customWidth="1"/>
    <col min="2" max="5" width="7.54296875" style="771" bestFit="1" customWidth="1"/>
    <col min="6" max="6" width="8.1796875" style="771" bestFit="1" customWidth="1"/>
    <col min="7" max="13" width="7.54296875" style="771" bestFit="1" customWidth="1"/>
    <col min="14" max="14" width="11.453125" style="771" bestFit="1" customWidth="1"/>
    <col min="15" max="16384" width="9.1796875" style="771"/>
  </cols>
  <sheetData>
    <row r="2" spans="1:15" ht="15" x14ac:dyDescent="0.3">
      <c r="A2" s="974" t="s">
        <v>0</v>
      </c>
      <c r="B2" s="974"/>
      <c r="C2" s="974"/>
      <c r="D2" s="974"/>
      <c r="E2" s="974"/>
      <c r="F2" s="974"/>
      <c r="G2" s="974"/>
      <c r="H2" s="974"/>
      <c r="I2" s="974"/>
      <c r="J2" s="974"/>
      <c r="K2" s="974"/>
      <c r="L2" s="974"/>
      <c r="M2" s="974"/>
      <c r="N2" s="974"/>
    </row>
    <row r="3" spans="1:15" ht="15" x14ac:dyDescent="0.3">
      <c r="A3" s="974" t="s">
        <v>52</v>
      </c>
      <c r="B3" s="974"/>
      <c r="C3" s="974"/>
      <c r="D3" s="974"/>
      <c r="E3" s="974"/>
      <c r="F3" s="974"/>
      <c r="G3" s="974"/>
      <c r="H3" s="974"/>
      <c r="I3" s="974"/>
      <c r="J3" s="974"/>
      <c r="K3" s="974"/>
      <c r="L3" s="974"/>
      <c r="M3" s="974"/>
      <c r="N3" s="974"/>
    </row>
    <row r="4" spans="1:15" ht="15" x14ac:dyDescent="0.3">
      <c r="A4" s="974" t="s">
        <v>2</v>
      </c>
      <c r="B4" s="974"/>
      <c r="C4" s="974"/>
      <c r="D4" s="974"/>
      <c r="E4" s="974"/>
      <c r="F4" s="974"/>
      <c r="G4" s="974"/>
      <c r="H4" s="974"/>
      <c r="I4" s="974"/>
      <c r="J4" s="974"/>
      <c r="K4" s="974"/>
      <c r="L4" s="974"/>
      <c r="M4" s="974"/>
      <c r="N4" s="974"/>
    </row>
    <row r="5" spans="1:15" ht="15" x14ac:dyDescent="0.3">
      <c r="A5" s="974" t="s">
        <v>495</v>
      </c>
      <c r="B5" s="974"/>
      <c r="C5" s="974"/>
      <c r="D5" s="974"/>
      <c r="E5" s="974"/>
      <c r="F5" s="974"/>
      <c r="G5" s="974"/>
      <c r="H5" s="974"/>
      <c r="I5" s="974"/>
      <c r="J5" s="974"/>
      <c r="K5" s="974"/>
      <c r="L5" s="974"/>
      <c r="M5" s="974"/>
      <c r="N5" s="974"/>
    </row>
    <row r="6" spans="1:15" ht="15" x14ac:dyDescent="0.3">
      <c r="A6" s="974" t="s">
        <v>26</v>
      </c>
      <c r="B6" s="974"/>
      <c r="C6" s="974"/>
      <c r="D6" s="974"/>
      <c r="E6" s="974"/>
      <c r="F6" s="974"/>
      <c r="G6" s="974"/>
      <c r="H6" s="974"/>
      <c r="I6" s="974"/>
      <c r="J6" s="974"/>
      <c r="K6" s="974"/>
      <c r="L6" s="974"/>
      <c r="M6" s="974"/>
      <c r="N6" s="974"/>
    </row>
    <row r="7" spans="1:15" ht="15.5" thickBot="1" x14ac:dyDescent="0.35">
      <c r="A7" s="772"/>
      <c r="B7" s="772"/>
      <c r="C7" s="772"/>
      <c r="D7" s="772"/>
      <c r="E7" s="772"/>
      <c r="F7" s="772"/>
      <c r="G7" s="772"/>
      <c r="H7" s="772"/>
      <c r="I7" s="772"/>
      <c r="J7" s="772"/>
      <c r="K7" s="772"/>
      <c r="L7" s="772"/>
      <c r="M7" s="772"/>
      <c r="N7" s="772"/>
    </row>
    <row r="8" spans="1:15" ht="14.5" thickBot="1" x14ac:dyDescent="0.35">
      <c r="A8" s="776" t="s">
        <v>496</v>
      </c>
      <c r="B8" s="773" t="s">
        <v>53</v>
      </c>
      <c r="C8" s="774" t="s">
        <v>54</v>
      </c>
      <c r="D8" s="774" t="s">
        <v>55</v>
      </c>
      <c r="E8" s="774" t="s">
        <v>56</v>
      </c>
      <c r="F8" s="774" t="s">
        <v>57</v>
      </c>
      <c r="G8" s="774" t="s">
        <v>58</v>
      </c>
      <c r="H8" s="774" t="s">
        <v>59</v>
      </c>
      <c r="I8" s="774" t="s">
        <v>60</v>
      </c>
      <c r="J8" s="774" t="s">
        <v>61</v>
      </c>
      <c r="K8" s="774" t="s">
        <v>62</v>
      </c>
      <c r="L8" s="774" t="s">
        <v>63</v>
      </c>
      <c r="M8" s="775" t="s">
        <v>64</v>
      </c>
      <c r="N8" s="776" t="s">
        <v>18</v>
      </c>
      <c r="O8" s="777"/>
    </row>
    <row r="9" spans="1:15" ht="42.5" thickBot="1" x14ac:dyDescent="0.35">
      <c r="A9" s="849" t="s">
        <v>65</v>
      </c>
      <c r="B9" s="850">
        <v>6152.5692255200001</v>
      </c>
      <c r="C9" s="850">
        <v>7103.4715686479985</v>
      </c>
      <c r="D9" s="850">
        <v>6803.0152053860038</v>
      </c>
      <c r="E9" s="850">
        <v>6704.3981654130012</v>
      </c>
      <c r="F9" s="850">
        <v>10025.784148092996</v>
      </c>
      <c r="G9" s="850">
        <v>428.98370657999931</v>
      </c>
      <c r="H9" s="850">
        <v>4.8433600000000006</v>
      </c>
      <c r="I9" s="850">
        <v>10.017499999999998</v>
      </c>
      <c r="J9" s="850">
        <v>13.420699999999997</v>
      </c>
      <c r="K9" s="850">
        <v>2268.5060930110003</v>
      </c>
      <c r="L9" s="850">
        <v>16.016410000000008</v>
      </c>
      <c r="M9" s="850">
        <v>17.472680000000015</v>
      </c>
      <c r="N9" s="851">
        <f>SUM(B9:M9)</f>
        <v>39548.498762650997</v>
      </c>
      <c r="O9" s="777"/>
    </row>
    <row r="10" spans="1:15" x14ac:dyDescent="0.3">
      <c r="A10" s="778"/>
      <c r="B10" s="779"/>
      <c r="C10" s="779"/>
      <c r="D10" s="779"/>
      <c r="E10" s="779"/>
      <c r="F10" s="779"/>
      <c r="G10" s="779"/>
      <c r="H10" s="779"/>
      <c r="I10" s="779"/>
      <c r="J10" s="779"/>
      <c r="K10" s="779"/>
      <c r="L10" s="779"/>
      <c r="M10" s="779"/>
      <c r="N10" s="780"/>
      <c r="O10" s="777"/>
    </row>
    <row r="11" spans="1:15" x14ac:dyDescent="0.3">
      <c r="H11" s="771" t="s">
        <v>66</v>
      </c>
      <c r="N11" s="781">
        <v>1.0109316911627462</v>
      </c>
    </row>
    <row r="12" spans="1:15" x14ac:dyDescent="0.3">
      <c r="N12" s="782"/>
    </row>
    <row r="13" spans="1:15" ht="14.5" thickBot="1" x14ac:dyDescent="0.35">
      <c r="H13" s="771" t="s">
        <v>67</v>
      </c>
      <c r="N13" s="783">
        <f>N9*N11</f>
        <v>39980.830737074546</v>
      </c>
    </row>
    <row r="14" spans="1:15" ht="14.5" thickTop="1" x14ac:dyDescent="0.3">
      <c r="N14" s="784"/>
    </row>
  </sheetData>
  <mergeCells count="5">
    <mergeCell ref="A2:N2"/>
    <mergeCell ref="A3:N3"/>
    <mergeCell ref="A4:N4"/>
    <mergeCell ref="A5:N5"/>
    <mergeCell ref="A6:N6"/>
  </mergeCells>
  <printOptions horizontalCentered="1"/>
  <pageMargins left="0.25" right="0.25" top="0.5" bottom="0.5" header="0.25" footer="0.25"/>
  <pageSetup orientation="landscape" r:id="rId1"/>
  <headerFooter alignWithMargins="0">
    <oddFooter>&amp;L&amp;"Times New Roman,Regular"&amp;12&amp;F&amp;C&amp;"Times New Roman,Regular"&amp;12Page 4 of 5&amp;R&amp;"Times New Roman,Regular"&amp;12&amp;A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ADC20-797C-4235-8D22-6E9C71D54D96}">
  <sheetPr>
    <pageSetUpPr fitToPage="1"/>
  </sheetPr>
  <dimension ref="A2:E21"/>
  <sheetViews>
    <sheetView zoomScale="80" zoomScaleNormal="80" workbookViewId="0"/>
  </sheetViews>
  <sheetFormatPr defaultColWidth="9.1796875" defaultRowHeight="14.5" x14ac:dyDescent="0.35"/>
  <cols>
    <col min="1" max="1" width="9.1796875" style="832"/>
    <col min="2" max="2" width="54" style="841" customWidth="1"/>
    <col min="3" max="3" width="10.453125" style="832" bestFit="1" customWidth="1"/>
    <col min="4" max="4" width="30.1796875" style="832" customWidth="1"/>
    <col min="5" max="5" width="12.453125" style="832" customWidth="1"/>
    <col min="6" max="16384" width="9.1796875" style="832"/>
  </cols>
  <sheetData>
    <row r="2" spans="1:5" ht="15.5" x14ac:dyDescent="0.35">
      <c r="B2" s="975" t="s">
        <v>0</v>
      </c>
      <c r="C2" s="975"/>
      <c r="D2" s="975"/>
    </row>
    <row r="3" spans="1:5" ht="15.5" x14ac:dyDescent="0.35">
      <c r="B3" s="975" t="s">
        <v>52</v>
      </c>
      <c r="C3" s="975"/>
      <c r="D3" s="975"/>
    </row>
    <row r="4" spans="1:5" ht="15.5" x14ac:dyDescent="0.35">
      <c r="B4" s="975" t="s">
        <v>2</v>
      </c>
      <c r="C4" s="975"/>
      <c r="D4" s="975"/>
    </row>
    <row r="5" spans="1:5" ht="15.5" x14ac:dyDescent="0.35">
      <c r="B5" s="975" t="s">
        <v>68</v>
      </c>
      <c r="C5" s="975"/>
      <c r="D5" s="975"/>
    </row>
    <row r="6" spans="1:5" ht="15.5" x14ac:dyDescent="0.35">
      <c r="B6" s="975" t="s">
        <v>497</v>
      </c>
      <c r="C6" s="975"/>
      <c r="D6" s="975"/>
    </row>
    <row r="7" spans="1:5" ht="15.5" x14ac:dyDescent="0.35">
      <c r="B7" s="833"/>
      <c r="C7" s="833"/>
      <c r="D7" s="833"/>
    </row>
    <row r="8" spans="1:5" ht="16" thickBot="1" x14ac:dyDescent="0.4">
      <c r="A8" s="834" t="s">
        <v>69</v>
      </c>
      <c r="B8" s="834" t="s">
        <v>70</v>
      </c>
      <c r="C8" s="834" t="s">
        <v>71</v>
      </c>
      <c r="D8" s="834" t="s">
        <v>16</v>
      </c>
      <c r="E8" s="834" t="s">
        <v>69</v>
      </c>
    </row>
    <row r="9" spans="1:5" ht="15.5" x14ac:dyDescent="0.35">
      <c r="A9" s="835"/>
      <c r="B9" s="755"/>
      <c r="C9" s="756"/>
      <c r="D9" s="757"/>
      <c r="E9" s="836"/>
    </row>
    <row r="10" spans="1:5" ht="15.5" x14ac:dyDescent="0.35">
      <c r="A10" s="835">
        <v>1</v>
      </c>
      <c r="B10" s="756" t="s">
        <v>72</v>
      </c>
      <c r="C10" s="756">
        <v>39548.498762650997</v>
      </c>
      <c r="D10" s="757" t="s">
        <v>73</v>
      </c>
      <c r="E10" s="835">
        <v>1</v>
      </c>
    </row>
    <row r="11" spans="1:5" ht="15.5" x14ac:dyDescent="0.35">
      <c r="A11" s="835"/>
      <c r="B11" s="756"/>
      <c r="C11" s="756"/>
      <c r="D11" s="757"/>
      <c r="E11" s="835"/>
    </row>
    <row r="12" spans="1:5" ht="15.5" x14ac:dyDescent="0.35">
      <c r="A12" s="835">
        <f>A10+1</f>
        <v>2</v>
      </c>
      <c r="B12" s="756" t="s">
        <v>74</v>
      </c>
      <c r="C12" s="758">
        <v>84034.720229555256</v>
      </c>
      <c r="D12" s="757" t="s">
        <v>73</v>
      </c>
      <c r="E12" s="835">
        <f>E10+1</f>
        <v>2</v>
      </c>
    </row>
    <row r="13" spans="1:5" ht="15.5" x14ac:dyDescent="0.35">
      <c r="A13" s="835"/>
      <c r="B13" s="756"/>
      <c r="C13" s="756"/>
      <c r="D13" s="757"/>
      <c r="E13" s="835"/>
    </row>
    <row r="14" spans="1:5" ht="15.5" x14ac:dyDescent="0.35">
      <c r="A14" s="835">
        <f>A12+1</f>
        <v>3</v>
      </c>
      <c r="B14" s="756" t="s">
        <v>75</v>
      </c>
      <c r="C14" s="756">
        <f>C10-C12</f>
        <v>-44486.221466904259</v>
      </c>
      <c r="D14" s="757" t="s">
        <v>76</v>
      </c>
      <c r="E14" s="835">
        <f>E12+1</f>
        <v>3</v>
      </c>
    </row>
    <row r="15" spans="1:5" ht="15.5" x14ac:dyDescent="0.35">
      <c r="A15" s="835"/>
      <c r="B15" s="756"/>
      <c r="C15" s="756"/>
      <c r="D15" s="757"/>
      <c r="E15" s="835"/>
    </row>
    <row r="16" spans="1:5" ht="15.5" x14ac:dyDescent="0.35">
      <c r="A16" s="835">
        <f>A14+1</f>
        <v>4</v>
      </c>
      <c r="B16" s="837" t="s">
        <v>66</v>
      </c>
      <c r="C16" s="838">
        <v>1.0109316911627462</v>
      </c>
      <c r="D16" s="757" t="s">
        <v>73</v>
      </c>
      <c r="E16" s="835">
        <f>E14+1</f>
        <v>4</v>
      </c>
    </row>
    <row r="17" spans="1:5" ht="15.5" x14ac:dyDescent="0.35">
      <c r="A17" s="835"/>
      <c r="B17" s="837"/>
      <c r="C17" s="840"/>
      <c r="D17" s="839"/>
      <c r="E17" s="835"/>
    </row>
    <row r="18" spans="1:5" ht="18.5" x14ac:dyDescent="0.35">
      <c r="A18" s="842">
        <f>A16+1</f>
        <v>5</v>
      </c>
      <c r="B18" s="846" t="s">
        <v>77</v>
      </c>
      <c r="C18" s="843">
        <f>C14*C16</f>
        <v>-44972.531100977983</v>
      </c>
      <c r="D18" s="845" t="s">
        <v>78</v>
      </c>
      <c r="E18" s="842">
        <f>E16+1</f>
        <v>5</v>
      </c>
    </row>
    <row r="19" spans="1:5" ht="15.5" x14ac:dyDescent="0.35">
      <c r="A19" s="835"/>
    </row>
    <row r="20" spans="1:5" ht="18.5" x14ac:dyDescent="0.35">
      <c r="A20" s="414">
        <v>1</v>
      </c>
      <c r="B20" s="22" t="s">
        <v>79</v>
      </c>
    </row>
    <row r="21" spans="1:5" ht="15.5" x14ac:dyDescent="0.35">
      <c r="B21" s="844"/>
    </row>
  </sheetData>
  <mergeCells count="5">
    <mergeCell ref="B2:D2"/>
    <mergeCell ref="B3:D3"/>
    <mergeCell ref="B4:D4"/>
    <mergeCell ref="B5:D5"/>
    <mergeCell ref="B6:D6"/>
  </mergeCells>
  <printOptions horizontalCentered="1"/>
  <pageMargins left="0" right="0" top="0.5" bottom="0.75" header="0.25" footer="0.25"/>
  <pageSetup orientation="landscape" r:id="rId1"/>
  <headerFooter alignWithMargins="0">
    <oddFooter>&amp;L            &amp;F&amp;CPage 5 of 5&amp;R&amp;A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I52"/>
  <sheetViews>
    <sheetView zoomScale="80" zoomScaleNormal="80" workbookViewId="0"/>
  </sheetViews>
  <sheetFormatPr defaultColWidth="9.1796875" defaultRowHeight="12.5" x14ac:dyDescent="0.25"/>
  <cols>
    <col min="1" max="1" width="5.54296875" style="243" customWidth="1"/>
    <col min="2" max="2" width="40.54296875" style="243" customWidth="1"/>
    <col min="3" max="6" width="20.54296875" style="243" customWidth="1"/>
    <col min="7" max="7" width="25.54296875" style="243" hidden="1" customWidth="1"/>
    <col min="8" max="8" width="35.54296875" style="243" customWidth="1"/>
    <col min="9" max="9" width="5.54296875" style="243" customWidth="1"/>
    <col min="10" max="16384" width="9.1796875" style="243"/>
  </cols>
  <sheetData>
    <row r="2" spans="1:9" ht="15" x14ac:dyDescent="0.25">
      <c r="A2" s="5" t="s">
        <v>80</v>
      </c>
      <c r="B2" s="418"/>
      <c r="C2" s="830"/>
      <c r="D2" s="830"/>
      <c r="E2" s="830"/>
      <c r="F2" s="830"/>
      <c r="G2" s="830"/>
      <c r="H2" s="830"/>
      <c r="I2" s="830"/>
    </row>
    <row r="3" spans="1:9" ht="15.5" x14ac:dyDescent="0.25">
      <c r="A3" s="5" t="s">
        <v>25</v>
      </c>
      <c r="B3" s="5"/>
      <c r="C3" s="41"/>
      <c r="D3" s="41"/>
      <c r="E3" s="41"/>
      <c r="F3" s="41"/>
      <c r="G3" s="41"/>
      <c r="H3" s="41"/>
      <c r="I3" s="41"/>
    </row>
    <row r="4" spans="1:9" ht="15" x14ac:dyDescent="0.25">
      <c r="A4" s="976" t="s">
        <v>81</v>
      </c>
      <c r="B4" s="976"/>
      <c r="C4" s="976"/>
      <c r="D4" s="976"/>
      <c r="E4" s="976"/>
      <c r="F4" s="976"/>
      <c r="G4" s="976"/>
      <c r="H4" s="976"/>
      <c r="I4" s="976"/>
    </row>
    <row r="5" spans="1:9" ht="15" x14ac:dyDescent="0.25">
      <c r="A5" s="976" t="s">
        <v>82</v>
      </c>
      <c r="B5" s="976"/>
      <c r="C5" s="976"/>
      <c r="D5" s="976"/>
      <c r="E5" s="976"/>
      <c r="F5" s="976"/>
      <c r="G5" s="976"/>
      <c r="H5" s="976"/>
      <c r="I5" s="976"/>
    </row>
    <row r="6" spans="1:9" ht="15.5" x14ac:dyDescent="0.25">
      <c r="A6" s="5" t="s">
        <v>498</v>
      </c>
      <c r="B6" s="5"/>
      <c r="C6" s="383"/>
      <c r="D6" s="383"/>
      <c r="E6" s="383"/>
      <c r="F6" s="384"/>
      <c r="G6" s="383"/>
      <c r="H6" s="383"/>
      <c r="I6" s="41"/>
    </row>
    <row r="7" spans="1:9" ht="16" thickBot="1" x14ac:dyDescent="0.4">
      <c r="A7" s="37"/>
      <c r="B7" s="89"/>
      <c r="C7" s="89"/>
      <c r="D7" s="89"/>
      <c r="E7" s="89"/>
      <c r="F7" s="89"/>
      <c r="G7" s="22"/>
      <c r="H7" s="22"/>
      <c r="I7" s="22"/>
    </row>
    <row r="8" spans="1:9" ht="15" x14ac:dyDescent="0.3">
      <c r="A8" s="557"/>
      <c r="B8" s="456"/>
      <c r="C8" s="558" t="s">
        <v>3</v>
      </c>
      <c r="D8" s="558" t="s">
        <v>4</v>
      </c>
      <c r="E8" s="558" t="s">
        <v>5</v>
      </c>
      <c r="F8" s="558" t="s">
        <v>83</v>
      </c>
      <c r="G8" s="456"/>
      <c r="H8" s="456"/>
      <c r="I8" s="559"/>
    </row>
    <row r="9" spans="1:9" ht="15" x14ac:dyDescent="0.3">
      <c r="A9" s="551"/>
      <c r="B9" s="75"/>
      <c r="C9" s="158" t="s">
        <v>84</v>
      </c>
      <c r="D9" s="158" t="s">
        <v>85</v>
      </c>
      <c r="E9" s="75"/>
      <c r="F9" s="75"/>
      <c r="G9" s="75"/>
      <c r="H9" s="75"/>
      <c r="I9" s="552"/>
    </row>
    <row r="10" spans="1:9" ht="15" x14ac:dyDescent="0.3">
      <c r="A10" s="551"/>
      <c r="B10" s="94"/>
      <c r="C10" s="75">
        <v>2024</v>
      </c>
      <c r="D10" s="75">
        <f>C10</f>
        <v>2024</v>
      </c>
      <c r="E10" s="75"/>
      <c r="F10" s="75"/>
      <c r="G10" s="75"/>
      <c r="H10" s="75"/>
      <c r="I10" s="552"/>
    </row>
    <row r="11" spans="1:9" ht="15" x14ac:dyDescent="0.3">
      <c r="A11" s="551" t="s">
        <v>8</v>
      </c>
      <c r="B11" s="94"/>
      <c r="C11" s="75" t="s">
        <v>86</v>
      </c>
      <c r="D11" s="75" t="s">
        <v>86</v>
      </c>
      <c r="E11" s="75"/>
      <c r="F11" s="158" t="s">
        <v>87</v>
      </c>
      <c r="G11" s="75"/>
      <c r="H11" s="75"/>
      <c r="I11" s="552" t="s">
        <v>8</v>
      </c>
    </row>
    <row r="12" spans="1:9" ht="18.5" thickBot="1" x14ac:dyDescent="0.35">
      <c r="A12" s="569" t="s">
        <v>11</v>
      </c>
      <c r="B12" s="153" t="s">
        <v>88</v>
      </c>
      <c r="C12" s="571" t="s">
        <v>89</v>
      </c>
      <c r="D12" s="571" t="s">
        <v>90</v>
      </c>
      <c r="E12" s="153" t="s">
        <v>91</v>
      </c>
      <c r="F12" s="153" t="s">
        <v>92</v>
      </c>
      <c r="G12" s="153" t="s">
        <v>16</v>
      </c>
      <c r="H12" s="153" t="s">
        <v>16</v>
      </c>
      <c r="I12" s="570" t="s">
        <v>11</v>
      </c>
    </row>
    <row r="13" spans="1:9" ht="15.5" x14ac:dyDescent="0.35">
      <c r="A13" s="263"/>
      <c r="B13" s="10"/>
      <c r="C13" s="75"/>
      <c r="D13" s="75"/>
      <c r="E13" s="10"/>
      <c r="F13" s="188"/>
      <c r="G13" s="10"/>
      <c r="H13" s="10"/>
      <c r="I13" s="264"/>
    </row>
    <row r="14" spans="1:9" ht="15.5" x14ac:dyDescent="0.35">
      <c r="A14" s="263">
        <v>1</v>
      </c>
      <c r="B14" s="17" t="s">
        <v>93</v>
      </c>
      <c r="C14" s="19">
        <f>'Stmt BG - Page 2'!I28</f>
        <v>-17510973.198904775</v>
      </c>
      <c r="D14" s="19">
        <f>'Stmt BH - Page 1'!I28</f>
        <v>-14663167.868979083</v>
      </c>
      <c r="E14" s="19">
        <f>C14-D14</f>
        <v>-2847805.3299256917</v>
      </c>
      <c r="F14" s="25">
        <f>(C14-D14)/D14</f>
        <v>0.19421487603305798</v>
      </c>
      <c r="G14" s="19"/>
      <c r="H14" s="26" t="s">
        <v>94</v>
      </c>
      <c r="I14" s="264">
        <v>1</v>
      </c>
    </row>
    <row r="15" spans="1:9" ht="15.5" x14ac:dyDescent="0.35">
      <c r="A15" s="263">
        <f>A14+1</f>
        <v>2</v>
      </c>
      <c r="B15" s="11"/>
      <c r="C15" s="19"/>
      <c r="D15" s="19"/>
      <c r="E15" s="19"/>
      <c r="F15" s="19"/>
      <c r="G15" s="385"/>
      <c r="H15" s="26" t="s">
        <v>95</v>
      </c>
      <c r="I15" s="264">
        <f>I14+1</f>
        <v>2</v>
      </c>
    </row>
    <row r="16" spans="1:9" ht="15.5" x14ac:dyDescent="0.35">
      <c r="A16" s="263">
        <f t="shared" ref="A16:A27" si="0">A15+1</f>
        <v>3</v>
      </c>
      <c r="B16" s="17" t="s">
        <v>96</v>
      </c>
      <c r="C16" s="31">
        <f>'Stmt BG - Page 2'!I30</f>
        <v>-6541413.2631617924</v>
      </c>
      <c r="D16" s="31">
        <f>'Stmt BH - Page 1'!I30</f>
        <v>-5477584.808599147</v>
      </c>
      <c r="E16" s="31">
        <f>C16-D16</f>
        <v>-1063828.4545626454</v>
      </c>
      <c r="F16" s="25">
        <f>(C16-D16)/D16</f>
        <v>0.19421487603305806</v>
      </c>
      <c r="G16" s="19"/>
      <c r="H16" s="26" t="s">
        <v>97</v>
      </c>
      <c r="I16" s="264">
        <f t="shared" ref="I16:I27" si="1">I15+1</f>
        <v>3</v>
      </c>
    </row>
    <row r="17" spans="1:9" ht="15.5" x14ac:dyDescent="0.35">
      <c r="A17" s="263">
        <f t="shared" si="0"/>
        <v>4</v>
      </c>
      <c r="B17" s="386"/>
      <c r="C17" s="31"/>
      <c r="D17" s="31"/>
      <c r="E17" s="31"/>
      <c r="F17" s="25"/>
      <c r="G17" s="19"/>
      <c r="H17" s="26" t="s">
        <v>98</v>
      </c>
      <c r="I17" s="264">
        <f t="shared" si="1"/>
        <v>4</v>
      </c>
    </row>
    <row r="18" spans="1:9" ht="15.5" x14ac:dyDescent="0.35">
      <c r="A18" s="263">
        <f t="shared" si="0"/>
        <v>5</v>
      </c>
      <c r="B18" s="17" t="s">
        <v>99</v>
      </c>
      <c r="C18" s="31">
        <f>'Stmt BG - Page 2'!I32</f>
        <v>-27582050.948524557</v>
      </c>
      <c r="D18" s="31">
        <f>'Stmt BH - Page 1'!I32</f>
        <v>-23096388.683539592</v>
      </c>
      <c r="E18" s="31">
        <f>C18-D18</f>
        <v>-4485662.2649849653</v>
      </c>
      <c r="F18" s="25">
        <f>(C18-D18)/D18</f>
        <v>0.19421487603305798</v>
      </c>
      <c r="G18" s="19"/>
      <c r="H18" s="26" t="s">
        <v>100</v>
      </c>
      <c r="I18" s="264">
        <f t="shared" si="1"/>
        <v>5</v>
      </c>
    </row>
    <row r="19" spans="1:9" ht="15.5" x14ac:dyDescent="0.35">
      <c r="A19" s="263">
        <f t="shared" si="0"/>
        <v>6</v>
      </c>
      <c r="B19" s="17"/>
      <c r="C19" s="31"/>
      <c r="D19" s="31"/>
      <c r="E19" s="31"/>
      <c r="F19" s="25"/>
      <c r="G19" s="19"/>
      <c r="H19" s="26" t="s">
        <v>101</v>
      </c>
      <c r="I19" s="264">
        <f t="shared" si="1"/>
        <v>6</v>
      </c>
    </row>
    <row r="20" spans="1:9" ht="15.5" x14ac:dyDescent="0.35">
      <c r="A20" s="263">
        <f t="shared" si="0"/>
        <v>7</v>
      </c>
      <c r="B20" s="17" t="s">
        <v>102</v>
      </c>
      <c r="C20" s="31">
        <f>'Stmt BG - Page 2'!I34</f>
        <v>-346113.32715341391</v>
      </c>
      <c r="D20" s="31">
        <f>'Stmt BH - Page 1'!I34</f>
        <v>-289825.00059213198</v>
      </c>
      <c r="E20" s="31">
        <f>C20-D20</f>
        <v>-56288.326561281923</v>
      </c>
      <c r="F20" s="25">
        <f>(C20-D20)/D20</f>
        <v>0.19421487603305818</v>
      </c>
      <c r="G20" s="19"/>
      <c r="H20" s="26" t="s">
        <v>103</v>
      </c>
      <c r="I20" s="264">
        <f t="shared" si="1"/>
        <v>7</v>
      </c>
    </row>
    <row r="21" spans="1:9" ht="15.5" x14ac:dyDescent="0.35">
      <c r="A21" s="263">
        <f t="shared" si="0"/>
        <v>8</v>
      </c>
      <c r="B21" s="17"/>
      <c r="C21" s="31"/>
      <c r="D21" s="31"/>
      <c r="E21" s="31"/>
      <c r="F21" s="25"/>
      <c r="G21" s="19"/>
      <c r="H21" s="26" t="s">
        <v>104</v>
      </c>
      <c r="I21" s="264">
        <f t="shared" si="1"/>
        <v>8</v>
      </c>
    </row>
    <row r="22" spans="1:9" ht="15.5" x14ac:dyDescent="0.35">
      <c r="A22" s="263">
        <f t="shared" si="0"/>
        <v>9</v>
      </c>
      <c r="B22" s="17" t="s">
        <v>105</v>
      </c>
      <c r="C22" s="31">
        <f>'Stmt BG - Page 2'!I36</f>
        <v>-641408.15301641019</v>
      </c>
      <c r="D22" s="31">
        <f>'Stmt BH - Page 1'!I36</f>
        <v>-537096.10044972727</v>
      </c>
      <c r="E22" s="31">
        <f>C22-D22</f>
        <v>-104312.05256668292</v>
      </c>
      <c r="F22" s="25">
        <f>(C22-D22)/D22</f>
        <v>0.19421487603305851</v>
      </c>
      <c r="G22" s="19"/>
      <c r="H22" s="26" t="s">
        <v>106</v>
      </c>
      <c r="I22" s="264">
        <f t="shared" si="1"/>
        <v>9</v>
      </c>
    </row>
    <row r="23" spans="1:9" ht="15.5" x14ac:dyDescent="0.35">
      <c r="A23" s="263">
        <f t="shared" si="0"/>
        <v>10</v>
      </c>
      <c r="B23" s="17"/>
      <c r="C23" s="31"/>
      <c r="D23" s="31"/>
      <c r="E23" s="31"/>
      <c r="F23" s="25"/>
      <c r="G23" s="19"/>
      <c r="H23" s="26" t="s">
        <v>107</v>
      </c>
      <c r="I23" s="264">
        <f t="shared" si="1"/>
        <v>10</v>
      </c>
    </row>
    <row r="24" spans="1:9" ht="15.5" x14ac:dyDescent="0.35">
      <c r="A24" s="263">
        <f t="shared" si="0"/>
        <v>11</v>
      </c>
      <c r="B24" s="66" t="s">
        <v>108</v>
      </c>
      <c r="C24" s="31">
        <f>'Stmt BG - Page 2'!I38</f>
        <v>-224135.60317291121</v>
      </c>
      <c r="D24" s="54">
        <f>'Stmt BH - Page 1'!I38</f>
        <v>-187684.48431780105</v>
      </c>
      <c r="E24" s="31">
        <f>C24-D24</f>
        <v>-36451.118855110166</v>
      </c>
      <c r="F24" s="522">
        <f>(C24-D24)/D24</f>
        <v>0.19421487603305809</v>
      </c>
      <c r="G24" s="19"/>
      <c r="H24" s="26" t="s">
        <v>109</v>
      </c>
      <c r="I24" s="264">
        <f t="shared" si="1"/>
        <v>11</v>
      </c>
    </row>
    <row r="25" spans="1:9" ht="15.5" x14ac:dyDescent="0.35">
      <c r="A25" s="263">
        <f t="shared" si="0"/>
        <v>12</v>
      </c>
      <c r="B25" s="17"/>
      <c r="C25" s="31"/>
      <c r="D25" s="31"/>
      <c r="E25" s="31"/>
      <c r="F25" s="25"/>
      <c r="G25" s="19"/>
      <c r="H25" s="26" t="s">
        <v>110</v>
      </c>
      <c r="I25" s="264">
        <f t="shared" si="1"/>
        <v>12</v>
      </c>
    </row>
    <row r="26" spans="1:9" ht="15.5" x14ac:dyDescent="0.35">
      <c r="A26" s="263">
        <f t="shared" si="0"/>
        <v>13</v>
      </c>
      <c r="B26" s="17"/>
      <c r="C26" s="53"/>
      <c r="D26" s="53"/>
      <c r="E26" s="21"/>
      <c r="F26" s="21"/>
      <c r="G26" s="19"/>
      <c r="I26" s="264">
        <f t="shared" si="1"/>
        <v>13</v>
      </c>
    </row>
    <row r="27" spans="1:9" ht="16" thickBot="1" x14ac:dyDescent="0.4">
      <c r="A27" s="263">
        <f t="shared" si="0"/>
        <v>14</v>
      </c>
      <c r="B27" s="11" t="s">
        <v>111</v>
      </c>
      <c r="C27" s="387">
        <f>SUM(C14:C24)</f>
        <v>-52846094.493933864</v>
      </c>
      <c r="D27" s="387">
        <f>SUM(D14:D24)</f>
        <v>-44251746.946477488</v>
      </c>
      <c r="E27" s="387">
        <f>SUM(E14:E24)</f>
        <v>-8594347.5474563763</v>
      </c>
      <c r="F27" s="388">
        <f>(C27-D27)/D27</f>
        <v>0.19421487603305795</v>
      </c>
      <c r="G27" s="389"/>
      <c r="H27" s="390" t="s">
        <v>112</v>
      </c>
      <c r="I27" s="264">
        <f t="shared" si="1"/>
        <v>14</v>
      </c>
    </row>
    <row r="28" spans="1:9" ht="16.5" thickTop="1" thickBot="1" x14ac:dyDescent="0.4">
      <c r="A28" s="301"/>
      <c r="B28" s="81"/>
      <c r="C28" s="81"/>
      <c r="D28" s="81"/>
      <c r="E28" s="81"/>
      <c r="F28" s="81"/>
      <c r="G28" s="81"/>
      <c r="H28" s="81"/>
      <c r="I28" s="407"/>
    </row>
    <row r="29" spans="1:9" ht="15.5" x14ac:dyDescent="0.35">
      <c r="A29" s="37"/>
      <c r="B29" s="391"/>
    </row>
    <row r="30" spans="1:9" ht="18.5" x14ac:dyDescent="0.35">
      <c r="A30" s="83">
        <v>1</v>
      </c>
      <c r="B30" s="22" t="s">
        <v>524</v>
      </c>
    </row>
    <row r="31" spans="1:9" ht="18.5" x14ac:dyDescent="0.35">
      <c r="A31" s="69"/>
      <c r="B31" s="22"/>
    </row>
    <row r="32" spans="1:9" ht="15.5" x14ac:dyDescent="0.35">
      <c r="A32" s="37"/>
      <c r="B32" s="22"/>
    </row>
    <row r="33" spans="1:8" ht="18.5" x14ac:dyDescent="0.35">
      <c r="A33" s="69"/>
      <c r="B33" s="22"/>
    </row>
    <row r="34" spans="1:8" ht="15.5" x14ac:dyDescent="0.35">
      <c r="A34" s="829"/>
      <c r="B34" s="22"/>
    </row>
    <row r="35" spans="1:8" ht="15.5" x14ac:dyDescent="0.35">
      <c r="A35" s="829"/>
      <c r="B35" s="22"/>
      <c r="C35" s="22"/>
      <c r="D35" s="22"/>
      <c r="E35" s="140"/>
      <c r="F35" s="22"/>
      <c r="G35" s="22"/>
      <c r="H35" s="22"/>
    </row>
    <row r="36" spans="1:8" ht="15.5" x14ac:dyDescent="0.35">
      <c r="A36" s="829"/>
      <c r="B36" s="22"/>
      <c r="C36" s="22"/>
      <c r="D36" s="22"/>
      <c r="E36" s="392"/>
      <c r="F36" s="22"/>
      <c r="G36" s="22"/>
      <c r="H36" s="22"/>
    </row>
    <row r="37" spans="1:8" ht="15.5" x14ac:dyDescent="0.35">
      <c r="A37" s="829"/>
      <c r="B37" s="22"/>
      <c r="C37" s="22"/>
      <c r="D37" s="22"/>
      <c r="E37" s="22"/>
      <c r="F37" s="22"/>
      <c r="G37" s="22"/>
      <c r="H37" s="22"/>
    </row>
    <row r="38" spans="1:8" x14ac:dyDescent="0.25">
      <c r="A38" s="829"/>
    </row>
    <row r="39" spans="1:8" x14ac:dyDescent="0.25">
      <c r="A39" s="829"/>
    </row>
    <row r="40" spans="1:8" x14ac:dyDescent="0.25">
      <c r="A40" s="829"/>
    </row>
    <row r="41" spans="1:8" x14ac:dyDescent="0.25">
      <c r="A41" s="829"/>
    </row>
    <row r="42" spans="1:8" x14ac:dyDescent="0.25">
      <c r="A42" s="829"/>
    </row>
    <row r="43" spans="1:8" x14ac:dyDescent="0.25">
      <c r="A43" s="829"/>
    </row>
    <row r="44" spans="1:8" x14ac:dyDescent="0.25">
      <c r="A44" s="829"/>
    </row>
    <row r="45" spans="1:8" x14ac:dyDescent="0.25">
      <c r="A45" s="829"/>
    </row>
    <row r="46" spans="1:8" x14ac:dyDescent="0.25">
      <c r="A46" s="829"/>
    </row>
    <row r="47" spans="1:8" x14ac:dyDescent="0.25">
      <c r="A47" s="829"/>
    </row>
    <row r="48" spans="1:8" x14ac:dyDescent="0.25">
      <c r="A48" s="829"/>
    </row>
    <row r="49" spans="1:1" x14ac:dyDescent="0.25">
      <c r="A49" s="829"/>
    </row>
    <row r="50" spans="1:1" x14ac:dyDescent="0.25">
      <c r="A50" s="829"/>
    </row>
    <row r="51" spans="1:1" x14ac:dyDescent="0.25">
      <c r="A51" s="829"/>
    </row>
    <row r="52" spans="1:1" x14ac:dyDescent="0.25">
      <c r="A52" s="829"/>
    </row>
  </sheetData>
  <mergeCells count="2">
    <mergeCell ref="A5:I5"/>
    <mergeCell ref="A4:I4"/>
  </mergeCells>
  <printOptions horizontalCentered="1"/>
  <pageMargins left="0.25" right="0.25" top="0.5" bottom="0.5" header="0.25" footer="0.25"/>
  <pageSetup scale="80" orientation="landscape" r:id="rId1"/>
  <headerFooter alignWithMargins="0">
    <oddFooter>&amp;L&amp;"Times New Roman,Regular"&amp;14 &amp;F&amp;C&amp;"Times New Roman,Regular"&amp;14Page 1 of 4&amp;R&amp;"Times New Roman,Regular"&amp;14&amp;A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R143"/>
  <sheetViews>
    <sheetView zoomScale="80" zoomScaleNormal="80" workbookViewId="0"/>
  </sheetViews>
  <sheetFormatPr defaultColWidth="9.1796875" defaultRowHeight="15.5" x14ac:dyDescent="0.35"/>
  <cols>
    <col min="1" max="1" width="6" style="22" bestFit="1" customWidth="1"/>
    <col min="2" max="2" width="42" style="22" bestFit="1" customWidth="1"/>
    <col min="3" max="8" width="18" style="22" bestFit="1" customWidth="1"/>
    <col min="9" max="9" width="19.453125" style="22" bestFit="1" customWidth="1"/>
    <col min="10" max="10" width="6" style="22" bestFit="1" customWidth="1"/>
    <col min="11" max="14" width="17.1796875" style="22" bestFit="1" customWidth="1"/>
    <col min="15" max="15" width="18.453125" style="22" bestFit="1" customWidth="1"/>
    <col min="16" max="16" width="8.54296875" style="22" bestFit="1" customWidth="1"/>
    <col min="17" max="16384" width="9.1796875" style="22"/>
  </cols>
  <sheetData>
    <row r="2" spans="1:16" ht="18" customHeight="1" x14ac:dyDescent="0.35">
      <c r="A2" s="976" t="s">
        <v>80</v>
      </c>
      <c r="B2" s="976"/>
      <c r="C2" s="976"/>
      <c r="D2" s="976"/>
      <c r="E2" s="976"/>
      <c r="F2" s="976"/>
      <c r="G2" s="976"/>
      <c r="H2" s="976"/>
      <c r="I2" s="976"/>
      <c r="J2" s="976"/>
      <c r="K2" s="516"/>
      <c r="L2" s="516"/>
      <c r="M2" s="516"/>
      <c r="N2" s="516"/>
      <c r="O2" s="516"/>
      <c r="P2" s="516"/>
    </row>
    <row r="3" spans="1:16" ht="18" customHeight="1" x14ac:dyDescent="0.35">
      <c r="A3" s="976" t="s">
        <v>25</v>
      </c>
      <c r="B3" s="976"/>
      <c r="C3" s="976"/>
      <c r="D3" s="976"/>
      <c r="E3" s="976"/>
      <c r="F3" s="976"/>
      <c r="G3" s="976"/>
      <c r="H3" s="976"/>
      <c r="I3" s="976"/>
      <c r="J3" s="976"/>
      <c r="K3" s="517"/>
      <c r="L3" s="517"/>
      <c r="M3" s="517"/>
      <c r="N3" s="517"/>
      <c r="O3" s="517"/>
      <c r="P3" s="517"/>
    </row>
    <row r="4" spans="1:16" ht="18" customHeight="1" x14ac:dyDescent="0.35">
      <c r="A4" s="976" t="str">
        <f>'Stmt BG - Page 1'!A4</f>
        <v>Transmission Revenue Balancing Account Adjustment (TRBAA) Revenues Data to Reflect Changed Rates</v>
      </c>
      <c r="B4" s="976"/>
      <c r="C4" s="976"/>
      <c r="D4" s="976"/>
      <c r="E4" s="976"/>
      <c r="F4" s="976"/>
      <c r="G4" s="976"/>
      <c r="H4" s="976"/>
      <c r="I4" s="976"/>
      <c r="J4" s="976"/>
      <c r="K4" s="517"/>
      <c r="L4" s="517"/>
      <c r="M4" s="517"/>
      <c r="N4" s="517"/>
      <c r="O4" s="517"/>
      <c r="P4" s="517"/>
    </row>
    <row r="5" spans="1:16" ht="18" customHeight="1" x14ac:dyDescent="0.35">
      <c r="A5" s="977" t="str">
        <f>'Stmt BG - Page 1'!A6</f>
        <v>Rate Effective Period - Twelve Months Ending December 31, 2024</v>
      </c>
      <c r="B5" s="977"/>
      <c r="C5" s="977"/>
      <c r="D5" s="977"/>
      <c r="E5" s="977"/>
      <c r="F5" s="977"/>
      <c r="G5" s="977"/>
      <c r="H5" s="977"/>
      <c r="I5" s="977"/>
      <c r="J5" s="977"/>
      <c r="K5" s="517"/>
      <c r="L5" s="517"/>
      <c r="M5" s="517"/>
      <c r="N5" s="517"/>
      <c r="O5" s="517"/>
      <c r="P5" s="517"/>
    </row>
    <row r="6" spans="1:16" ht="16" thickBot="1" x14ac:dyDescent="0.4">
      <c r="A6" s="518"/>
      <c r="B6" s="518"/>
      <c r="C6" s="518"/>
      <c r="D6" s="518"/>
      <c r="E6" s="518"/>
      <c r="F6" s="518"/>
      <c r="G6" s="518"/>
      <c r="H6" s="518"/>
      <c r="I6" s="518"/>
      <c r="J6" s="518"/>
      <c r="K6" s="41"/>
      <c r="L6" s="41"/>
      <c r="M6" s="41"/>
      <c r="N6" s="41"/>
      <c r="O6" s="41"/>
      <c r="P6" s="41"/>
    </row>
    <row r="7" spans="1:16" x14ac:dyDescent="0.35">
      <c r="A7" s="728" t="s">
        <v>8</v>
      </c>
      <c r="B7" s="546"/>
      <c r="C7" s="592" t="s">
        <v>3</v>
      </c>
      <c r="D7" s="456" t="s">
        <v>4</v>
      </c>
      <c r="E7" s="688" t="s">
        <v>113</v>
      </c>
      <c r="F7" s="456" t="s">
        <v>114</v>
      </c>
      <c r="G7" s="456" t="s">
        <v>115</v>
      </c>
      <c r="H7" s="688" t="s">
        <v>116</v>
      </c>
      <c r="I7" s="558" t="s">
        <v>117</v>
      </c>
      <c r="J7" s="731" t="s">
        <v>8</v>
      </c>
    </row>
    <row r="8" spans="1:16" ht="16" thickBot="1" x14ac:dyDescent="0.4">
      <c r="A8" s="729" t="s">
        <v>11</v>
      </c>
      <c r="B8" s="153" t="s">
        <v>88</v>
      </c>
      <c r="C8" s="831">
        <v>44927</v>
      </c>
      <c r="D8" s="831">
        <v>44958</v>
      </c>
      <c r="E8" s="831">
        <v>44986</v>
      </c>
      <c r="F8" s="831">
        <v>45017</v>
      </c>
      <c r="G8" s="831">
        <v>45047</v>
      </c>
      <c r="H8" s="831">
        <v>45078</v>
      </c>
      <c r="I8" s="689"/>
      <c r="J8" s="730" t="s">
        <v>11</v>
      </c>
    </row>
    <row r="9" spans="1:16" x14ac:dyDescent="0.35">
      <c r="A9" s="263"/>
      <c r="B9" s="10"/>
      <c r="C9" s="10"/>
      <c r="D9" s="10"/>
      <c r="E9" s="10"/>
      <c r="F9" s="10"/>
      <c r="G9" s="10"/>
      <c r="H9" s="10"/>
      <c r="I9" s="17"/>
      <c r="J9" s="264"/>
    </row>
    <row r="10" spans="1:16" ht="18.5" x14ac:dyDescent="0.35">
      <c r="A10" s="263">
        <v>1</v>
      </c>
      <c r="B10" s="17" t="s">
        <v>118</v>
      </c>
      <c r="C10" s="19">
        <f>'Stmt BG - Page 3'!C33</f>
        <v>-1736763.3670541192</v>
      </c>
      <c r="D10" s="19">
        <f>'Stmt BG - Page 3'!D33</f>
        <v>-1448531.2576196673</v>
      </c>
      <c r="E10" s="19">
        <f>'Stmt BG - Page 3'!E33</f>
        <v>-1289756.0529894764</v>
      </c>
      <c r="F10" s="19">
        <f>'Stmt BG - Page 3'!F33</f>
        <v>-1134210.3067660332</v>
      </c>
      <c r="G10" s="19">
        <f>'Stmt BG - Page 3'!G33</f>
        <v>-1089819.5887010489</v>
      </c>
      <c r="H10" s="19">
        <f>'Stmt BG - Page 3'!H33</f>
        <v>-1204444.4735115594</v>
      </c>
      <c r="I10" s="17"/>
      <c r="J10" s="264">
        <v>1</v>
      </c>
    </row>
    <row r="11" spans="1:16" x14ac:dyDescent="0.35">
      <c r="A11" s="263">
        <f>A10+1</f>
        <v>2</v>
      </c>
      <c r="B11" s="11"/>
      <c r="C11" s="393"/>
      <c r="D11" s="393"/>
      <c r="E11" s="393"/>
      <c r="F11" s="393"/>
      <c r="G11" s="393"/>
      <c r="H11" s="393"/>
      <c r="I11" s="17"/>
      <c r="J11" s="264">
        <f>J10+1</f>
        <v>2</v>
      </c>
    </row>
    <row r="12" spans="1:16" ht="18.5" x14ac:dyDescent="0.35">
      <c r="A12" s="263">
        <f t="shared" ref="A12:A22" si="0">A11+1</f>
        <v>3</v>
      </c>
      <c r="B12" s="17" t="s">
        <v>119</v>
      </c>
      <c r="C12" s="31">
        <f>'Stmt BG - Page 3'!C35</f>
        <v>-524622.07815302513</v>
      </c>
      <c r="D12" s="31">
        <f>'Stmt BG - Page 3'!D35</f>
        <v>-507749.33387579786</v>
      </c>
      <c r="E12" s="31">
        <f>'Stmt BG - Page 3'!E35</f>
        <v>-494590.04272886342</v>
      </c>
      <c r="F12" s="31">
        <f>'Stmt BG - Page 3'!F35</f>
        <v>-499610.91691788199</v>
      </c>
      <c r="G12" s="31">
        <f>'Stmt BG - Page 3'!G35</f>
        <v>-495226.84435286972</v>
      </c>
      <c r="H12" s="31">
        <f>'Stmt BG - Page 3'!H35</f>
        <v>-530103.41414690763</v>
      </c>
      <c r="I12" s="17"/>
      <c r="J12" s="264">
        <f t="shared" ref="J12:J22" si="1">J11+1</f>
        <v>3</v>
      </c>
    </row>
    <row r="13" spans="1:16" x14ac:dyDescent="0.35">
      <c r="A13" s="263">
        <f t="shared" si="0"/>
        <v>4</v>
      </c>
      <c r="B13" s="386"/>
      <c r="C13" s="394"/>
      <c r="D13" s="394"/>
      <c r="E13" s="394"/>
      <c r="F13" s="394"/>
      <c r="G13" s="394"/>
      <c r="H13" s="394"/>
      <c r="I13" s="17"/>
      <c r="J13" s="264">
        <f t="shared" si="1"/>
        <v>4</v>
      </c>
    </row>
    <row r="14" spans="1:16" ht="18.5" x14ac:dyDescent="0.35">
      <c r="A14" s="263">
        <f t="shared" si="0"/>
        <v>5</v>
      </c>
      <c r="B14" s="17" t="s">
        <v>120</v>
      </c>
      <c r="C14" s="31">
        <f>'Stmt BG - Page 3'!C37</f>
        <v>-2172099.5309867263</v>
      </c>
      <c r="D14" s="31">
        <f>'Stmt BG - Page 3'!D37</f>
        <v>-2088813.9920486971</v>
      </c>
      <c r="E14" s="31">
        <f>'Stmt BG - Page 3'!E37</f>
        <v>-2042594.8785075068</v>
      </c>
      <c r="F14" s="31">
        <f>'Stmt BG - Page 3'!F37</f>
        <v>-2164776.1192463799</v>
      </c>
      <c r="G14" s="31">
        <f>'Stmt BG - Page 3'!G37</f>
        <v>-2155658.3265715996</v>
      </c>
      <c r="H14" s="31">
        <f>'Stmt BG - Page 3'!H37</f>
        <v>-2310528.8862661882</v>
      </c>
      <c r="I14" s="17"/>
      <c r="J14" s="264">
        <f t="shared" si="1"/>
        <v>5</v>
      </c>
    </row>
    <row r="15" spans="1:16" x14ac:dyDescent="0.35">
      <c r="A15" s="263">
        <f t="shared" si="0"/>
        <v>6</v>
      </c>
      <c r="B15" s="17"/>
      <c r="C15" s="31"/>
      <c r="D15" s="31"/>
      <c r="E15" s="31"/>
      <c r="F15" s="31"/>
      <c r="G15" s="31"/>
      <c r="H15" s="31"/>
      <c r="I15" s="17"/>
      <c r="J15" s="264">
        <f t="shared" si="1"/>
        <v>6</v>
      </c>
    </row>
    <row r="16" spans="1:16" ht="18.5" x14ac:dyDescent="0.35">
      <c r="A16" s="263">
        <f t="shared" si="0"/>
        <v>7</v>
      </c>
      <c r="B16" s="56" t="s">
        <v>121</v>
      </c>
      <c r="C16" s="31">
        <f>'Stmt BG - Page 3'!C39</f>
        <v>-17171.334239337142</v>
      </c>
      <c r="D16" s="31">
        <f>'Stmt BG - Page 3'!D39</f>
        <v>-23840.623593087039</v>
      </c>
      <c r="E16" s="31">
        <f>'Stmt BG - Page 3'!E39</f>
        <v>-21070.236632663371</v>
      </c>
      <c r="F16" s="31">
        <f>'Stmt BG - Page 3'!F39</f>
        <v>-24279.191915009484</v>
      </c>
      <c r="G16" s="31">
        <f>'Stmt BG - Page 3'!G39</f>
        <v>-30829.323698779597</v>
      </c>
      <c r="H16" s="31">
        <f>'Stmt BG - Page 3'!H39</f>
        <v>-33832.171109249866</v>
      </c>
      <c r="I16" s="17"/>
      <c r="J16" s="264">
        <f t="shared" si="1"/>
        <v>7</v>
      </c>
    </row>
    <row r="17" spans="1:18" x14ac:dyDescent="0.35">
      <c r="A17" s="263">
        <f t="shared" si="0"/>
        <v>8</v>
      </c>
      <c r="B17" s="17"/>
      <c r="C17" s="31"/>
      <c r="D17" s="31"/>
      <c r="E17" s="31"/>
      <c r="F17" s="31"/>
      <c r="G17" s="31"/>
      <c r="H17" s="31"/>
      <c r="I17" s="17"/>
      <c r="J17" s="264">
        <f t="shared" si="1"/>
        <v>8</v>
      </c>
    </row>
    <row r="18" spans="1:18" ht="18.5" x14ac:dyDescent="0.35">
      <c r="A18" s="263">
        <f t="shared" si="0"/>
        <v>9</v>
      </c>
      <c r="B18" s="56" t="s">
        <v>122</v>
      </c>
      <c r="C18" s="31">
        <f>'Stmt BG - Page 3'!C41</f>
        <v>-42095.97399679332</v>
      </c>
      <c r="D18" s="31">
        <f>'Stmt BG - Page 3'!D41</f>
        <v>-44461.962687524217</v>
      </c>
      <c r="E18" s="31">
        <f>'Stmt BG - Page 3'!E41</f>
        <v>-42271.759701981558</v>
      </c>
      <c r="F18" s="31">
        <f>'Stmt BG - Page 3'!F41</f>
        <v>-48672.378086559373</v>
      </c>
      <c r="G18" s="31">
        <f>'Stmt BG - Page 3'!G41</f>
        <v>-52746.675181899642</v>
      </c>
      <c r="H18" s="31">
        <f>'Stmt BG - Page 3'!H41</f>
        <v>-57228.785998500651</v>
      </c>
      <c r="I18" s="17"/>
      <c r="J18" s="264">
        <f t="shared" si="1"/>
        <v>9</v>
      </c>
    </row>
    <row r="19" spans="1:18" x14ac:dyDescent="0.35">
      <c r="A19" s="263">
        <f t="shared" si="0"/>
        <v>10</v>
      </c>
      <c r="B19" s="17"/>
      <c r="C19" s="31"/>
      <c r="D19" s="31"/>
      <c r="E19" s="31"/>
      <c r="F19" s="31"/>
      <c r="G19" s="31"/>
      <c r="H19" s="31"/>
      <c r="I19" s="17"/>
      <c r="J19" s="264">
        <f t="shared" si="1"/>
        <v>10</v>
      </c>
    </row>
    <row r="20" spans="1:18" ht="18.5" x14ac:dyDescent="0.35">
      <c r="A20" s="263">
        <f t="shared" si="0"/>
        <v>11</v>
      </c>
      <c r="B20" s="17" t="s">
        <v>123</v>
      </c>
      <c r="C20" s="38">
        <f>'Stmt BG - Page 3'!C43</f>
        <v>-18659.878512475956</v>
      </c>
      <c r="D20" s="38">
        <f>'Stmt BG - Page 3'!D43</f>
        <v>-18623.198400220001</v>
      </c>
      <c r="E20" s="38">
        <f>'Stmt BG - Page 3'!E43</f>
        <v>-18780.595959832459</v>
      </c>
      <c r="F20" s="38">
        <f>'Stmt BG - Page 3'!F43</f>
        <v>-20027.925474786716</v>
      </c>
      <c r="G20" s="38">
        <f>'Stmt BG - Page 3'!G43</f>
        <v>-18326.718653332849</v>
      </c>
      <c r="H20" s="38">
        <f>'Stmt BG - Page 3'!H43</f>
        <v>-18391.231110375211</v>
      </c>
      <c r="I20" s="17"/>
      <c r="J20" s="264">
        <f t="shared" si="1"/>
        <v>11</v>
      </c>
    </row>
    <row r="21" spans="1:18" x14ac:dyDescent="0.35">
      <c r="A21" s="263">
        <f t="shared" si="0"/>
        <v>12</v>
      </c>
      <c r="B21" s="17"/>
      <c r="C21" s="31"/>
      <c r="D21" s="31"/>
      <c r="E21" s="31"/>
      <c r="F21" s="31"/>
      <c r="G21" s="31"/>
      <c r="H21" s="31"/>
      <c r="I21" s="7"/>
      <c r="J21" s="264">
        <f t="shared" si="1"/>
        <v>12</v>
      </c>
    </row>
    <row r="22" spans="1:18" x14ac:dyDescent="0.35">
      <c r="A22" s="263">
        <f t="shared" si="0"/>
        <v>13</v>
      </c>
      <c r="B22" s="11" t="s">
        <v>124</v>
      </c>
      <c r="C22" s="514">
        <f t="shared" ref="C22:H22" si="2">SUM(C10:C20)</f>
        <v>-4511412.1629424766</v>
      </c>
      <c r="D22" s="514">
        <f t="shared" si="2"/>
        <v>-4132020.3682249929</v>
      </c>
      <c r="E22" s="514">
        <f t="shared" si="2"/>
        <v>-3909063.566520324</v>
      </c>
      <c r="F22" s="514">
        <f t="shared" si="2"/>
        <v>-3891576.8384066508</v>
      </c>
      <c r="G22" s="514">
        <f t="shared" si="2"/>
        <v>-3842607.4771595304</v>
      </c>
      <c r="H22" s="514">
        <f t="shared" si="2"/>
        <v>-4154528.9621427814</v>
      </c>
      <c r="I22" s="12"/>
      <c r="J22" s="264">
        <f t="shared" si="1"/>
        <v>13</v>
      </c>
    </row>
    <row r="23" spans="1:18" ht="16" thickBot="1" x14ac:dyDescent="0.4">
      <c r="A23" s="301"/>
      <c r="B23" s="561"/>
      <c r="C23" s="562"/>
      <c r="D23" s="690"/>
      <c r="E23" s="563"/>
      <c r="F23" s="690"/>
      <c r="G23" s="563"/>
      <c r="H23" s="690"/>
      <c r="I23" s="564"/>
      <c r="J23" s="407"/>
      <c r="R23" s="143"/>
    </row>
    <row r="24" spans="1:18" ht="16" thickBot="1" x14ac:dyDescent="0.4">
      <c r="A24" s="37"/>
      <c r="B24" s="396"/>
      <c r="C24" s="396"/>
      <c r="D24" s="396"/>
      <c r="E24" s="396"/>
      <c r="F24" s="396"/>
      <c r="G24" s="396"/>
      <c r="H24" s="396"/>
      <c r="I24" s="396"/>
      <c r="J24" s="396"/>
      <c r="K24" s="396"/>
      <c r="L24" s="396"/>
      <c r="M24" s="396"/>
      <c r="N24" s="396"/>
      <c r="O24" s="396"/>
    </row>
    <row r="25" spans="1:18" x14ac:dyDescent="0.35">
      <c r="A25" s="761" t="s">
        <v>8</v>
      </c>
      <c r="B25" s="456"/>
      <c r="C25" s="558" t="str">
        <f t="shared" ref="C25:I25" si="3">C7</f>
        <v>(A)</v>
      </c>
      <c r="D25" s="558" t="str">
        <f t="shared" si="3"/>
        <v>(B)</v>
      </c>
      <c r="E25" s="558" t="str">
        <f t="shared" si="3"/>
        <v>(C)</v>
      </c>
      <c r="F25" s="558" t="str">
        <f t="shared" si="3"/>
        <v>(D)</v>
      </c>
      <c r="G25" s="558" t="str">
        <f t="shared" si="3"/>
        <v>(E)</v>
      </c>
      <c r="H25" s="558" t="str">
        <f t="shared" si="3"/>
        <v>(F)</v>
      </c>
      <c r="I25" s="558" t="str">
        <f t="shared" si="3"/>
        <v>(G)</v>
      </c>
      <c r="J25" s="762" t="s">
        <v>8</v>
      </c>
      <c r="K25" s="396"/>
      <c r="L25" s="396"/>
      <c r="M25" s="396"/>
      <c r="N25" s="396"/>
      <c r="O25" s="396"/>
    </row>
    <row r="26" spans="1:18" ht="16" thickBot="1" x14ac:dyDescent="0.4">
      <c r="A26" s="763" t="s">
        <v>11</v>
      </c>
      <c r="B26" s="153" t="s">
        <v>88</v>
      </c>
      <c r="C26" s="691">
        <v>45108</v>
      </c>
      <c r="D26" s="691">
        <v>45139</v>
      </c>
      <c r="E26" s="691">
        <v>45170</v>
      </c>
      <c r="F26" s="691">
        <v>45200</v>
      </c>
      <c r="G26" s="691">
        <v>45231</v>
      </c>
      <c r="H26" s="691">
        <v>45261</v>
      </c>
      <c r="I26" s="583"/>
      <c r="J26" s="572" t="s">
        <v>11</v>
      </c>
      <c r="K26" s="396"/>
      <c r="L26" s="396"/>
      <c r="M26" s="396"/>
      <c r="N26" s="396"/>
      <c r="O26" s="396"/>
    </row>
    <row r="27" spans="1:18" x14ac:dyDescent="0.35">
      <c r="A27" s="263"/>
      <c r="B27" s="10"/>
      <c r="C27" s="10"/>
      <c r="D27" s="10"/>
      <c r="E27" s="10"/>
      <c r="F27" s="10"/>
      <c r="G27" s="10"/>
      <c r="H27" s="10"/>
      <c r="I27" s="10"/>
      <c r="J27" s="264"/>
      <c r="K27" s="396"/>
      <c r="L27" s="396"/>
      <c r="M27" s="396"/>
      <c r="N27" s="396"/>
      <c r="O27" s="396"/>
    </row>
    <row r="28" spans="1:18" ht="18.5" x14ac:dyDescent="0.35">
      <c r="A28" s="263">
        <f>A22+1</f>
        <v>14</v>
      </c>
      <c r="B28" s="17" t="s">
        <v>118</v>
      </c>
      <c r="C28" s="19">
        <f>'Stmt BG - Page 4'!C33</f>
        <v>-1519146.830141288</v>
      </c>
      <c r="D28" s="19">
        <f>'Stmt BG - Page 4'!D33</f>
        <v>-1793616.5225669295</v>
      </c>
      <c r="E28" s="19">
        <f>'Stmt BG - Page 4'!E33</f>
        <v>-1896726.0874964688</v>
      </c>
      <c r="F28" s="19">
        <f>'Stmt BG - Page 4'!F33</f>
        <v>-1518318.6029080809</v>
      </c>
      <c r="G28" s="19">
        <f>'Stmt BG - Page 4'!G33</f>
        <v>-1343209.5273042007</v>
      </c>
      <c r="H28" s="19">
        <f>'Stmt BG - Page 4'!H33</f>
        <v>-1536430.5818459031</v>
      </c>
      <c r="I28" s="19">
        <f>SUM(C10:H10,C28:H28)</f>
        <v>-17510973.198904775</v>
      </c>
      <c r="J28" s="264">
        <f>J22+1</f>
        <v>14</v>
      </c>
      <c r="K28" s="396"/>
      <c r="L28" s="396"/>
      <c r="M28" s="396"/>
      <c r="N28" s="396"/>
      <c r="O28" s="396"/>
    </row>
    <row r="29" spans="1:18" x14ac:dyDescent="0.35">
      <c r="A29" s="263">
        <f>A28+1</f>
        <v>15</v>
      </c>
      <c r="B29" s="11"/>
      <c r="C29" s="393"/>
      <c r="D29" s="393"/>
      <c r="E29" s="393"/>
      <c r="F29" s="393"/>
      <c r="G29" s="393"/>
      <c r="H29" s="393"/>
      <c r="I29" s="393"/>
      <c r="J29" s="264">
        <f>J28+1</f>
        <v>15</v>
      </c>
      <c r="K29" s="396"/>
      <c r="L29" s="396"/>
      <c r="M29" s="396"/>
      <c r="N29" s="396"/>
      <c r="O29" s="396"/>
    </row>
    <row r="30" spans="1:18" ht="18.5" x14ac:dyDescent="0.35">
      <c r="A30" s="263">
        <f t="shared" ref="A30:A40" si="4">A29+1</f>
        <v>16</v>
      </c>
      <c r="B30" s="17" t="s">
        <v>119</v>
      </c>
      <c r="C30" s="31">
        <f>'Stmt BG - Page 4'!C35</f>
        <v>-587243.0995660898</v>
      </c>
      <c r="D30" s="31">
        <f>'Stmt BG - Page 4'!D35</f>
        <v>-618129.54141869175</v>
      </c>
      <c r="E30" s="31">
        <f>'Stmt BG - Page 4'!E35</f>
        <v>-641479.19163108896</v>
      </c>
      <c r="F30" s="31">
        <f>'Stmt BG - Page 4'!F35</f>
        <v>-579367.0086507157</v>
      </c>
      <c r="G30" s="31">
        <f>'Stmt BG - Page 4'!G35</f>
        <v>-536305.02286183625</v>
      </c>
      <c r="H30" s="31">
        <f>'Stmt BG - Page 4'!H35</f>
        <v>-526986.76885802357</v>
      </c>
      <c r="I30" s="19">
        <f>SUM(C12:H12,C30:H30)</f>
        <v>-6541413.2631617924</v>
      </c>
      <c r="J30" s="264">
        <f t="shared" ref="J30:J40" si="5">J29+1</f>
        <v>16</v>
      </c>
      <c r="K30" s="396"/>
      <c r="L30" s="396"/>
      <c r="M30" s="396"/>
      <c r="N30" s="396"/>
      <c r="O30" s="396"/>
    </row>
    <row r="31" spans="1:18" x14ac:dyDescent="0.35">
      <c r="A31" s="263">
        <f t="shared" si="4"/>
        <v>17</v>
      </c>
      <c r="B31" s="386"/>
      <c r="C31" s="394"/>
      <c r="D31" s="394"/>
      <c r="E31" s="394"/>
      <c r="F31" s="394"/>
      <c r="G31" s="394"/>
      <c r="H31" s="394"/>
      <c r="I31" s="31"/>
      <c r="J31" s="264">
        <f t="shared" si="5"/>
        <v>17</v>
      </c>
      <c r="K31" s="396"/>
      <c r="L31" s="396"/>
      <c r="M31" s="396"/>
      <c r="N31" s="396"/>
      <c r="O31" s="396"/>
    </row>
    <row r="32" spans="1:18" ht="18.5" x14ac:dyDescent="0.35">
      <c r="A32" s="263">
        <f t="shared" si="4"/>
        <v>18</v>
      </c>
      <c r="B32" s="17" t="s">
        <v>120</v>
      </c>
      <c r="C32" s="31">
        <f>'Stmt BG - Page 4'!C37</f>
        <v>-2510318.115667548</v>
      </c>
      <c r="D32" s="31">
        <f>'Stmt BG - Page 4'!D37</f>
        <v>-2598585.4151183777</v>
      </c>
      <c r="E32" s="31">
        <f>'Stmt BG - Page 4'!E37</f>
        <v>-2630954.6600384405</v>
      </c>
      <c r="F32" s="31">
        <f>'Stmt BG - Page 4'!F37</f>
        <v>-2430974.5131616704</v>
      </c>
      <c r="G32" s="31">
        <f>'Stmt BG - Page 4'!G37</f>
        <v>-2292775.0112723187</v>
      </c>
      <c r="H32" s="31">
        <f>'Stmt BG - Page 4'!H37</f>
        <v>-2183971.4996391046</v>
      </c>
      <c r="I32" s="19">
        <f>SUM(C14:H14,C32:H32)</f>
        <v>-27582050.948524557</v>
      </c>
      <c r="J32" s="264">
        <f t="shared" si="5"/>
        <v>18</v>
      </c>
      <c r="K32" s="396"/>
      <c r="L32" s="396"/>
      <c r="M32" s="396"/>
      <c r="N32" s="396"/>
      <c r="O32" s="396"/>
    </row>
    <row r="33" spans="1:15" x14ac:dyDescent="0.35">
      <c r="A33" s="263">
        <f t="shared" si="4"/>
        <v>19</v>
      </c>
      <c r="B33" s="17"/>
      <c r="C33" s="31"/>
      <c r="D33" s="31"/>
      <c r="E33" s="31"/>
      <c r="F33" s="31"/>
      <c r="G33" s="31"/>
      <c r="H33" s="31"/>
      <c r="I33" s="31"/>
      <c r="J33" s="264">
        <f t="shared" si="5"/>
        <v>19</v>
      </c>
      <c r="K33" s="396"/>
      <c r="L33" s="396"/>
      <c r="M33" s="396"/>
      <c r="N33" s="396"/>
      <c r="O33" s="396"/>
    </row>
    <row r="34" spans="1:15" ht="18.5" x14ac:dyDescent="0.35">
      <c r="A34" s="263">
        <f t="shared" si="4"/>
        <v>20</v>
      </c>
      <c r="B34" s="56" t="s">
        <v>121</v>
      </c>
      <c r="C34" s="31">
        <f>'Stmt BG - Page 4'!C39</f>
        <v>-36425.987768711908</v>
      </c>
      <c r="D34" s="31">
        <f>'Stmt BG - Page 4'!D39</f>
        <v>-37553.936117540637</v>
      </c>
      <c r="E34" s="31">
        <f>'Stmt BG - Page 4'!E39</f>
        <v>-38261.198713460122</v>
      </c>
      <c r="F34" s="31">
        <f>'Stmt BG - Page 4'!F39</f>
        <v>-33133.63746498742</v>
      </c>
      <c r="G34" s="31">
        <f>'Stmt BG - Page 4'!G39</f>
        <v>-25339.191162553048</v>
      </c>
      <c r="H34" s="31">
        <f>'Stmt BG - Page 4'!H39</f>
        <v>-24376.494738034238</v>
      </c>
      <c r="I34" s="19">
        <f>SUM(C16:H16,C34:H34)</f>
        <v>-346113.32715341391</v>
      </c>
      <c r="J34" s="264">
        <f t="shared" si="5"/>
        <v>20</v>
      </c>
      <c r="K34" s="396"/>
      <c r="L34" s="396"/>
      <c r="M34" s="396"/>
      <c r="N34" s="396"/>
      <c r="O34" s="396"/>
    </row>
    <row r="35" spans="1:15" x14ac:dyDescent="0.35">
      <c r="A35" s="263">
        <f t="shared" si="4"/>
        <v>21</v>
      </c>
      <c r="B35" s="17"/>
      <c r="C35" s="31"/>
      <c r="D35" s="31"/>
      <c r="E35" s="31"/>
      <c r="F35" s="31"/>
      <c r="G35" s="31"/>
      <c r="H35" s="31"/>
      <c r="I35" s="31"/>
      <c r="J35" s="264">
        <f t="shared" si="5"/>
        <v>21</v>
      </c>
      <c r="K35" s="396"/>
      <c r="L35" s="396"/>
      <c r="M35" s="396"/>
      <c r="N35" s="396"/>
      <c r="O35" s="396"/>
    </row>
    <row r="36" spans="1:15" ht="18.5" x14ac:dyDescent="0.35">
      <c r="A36" s="263">
        <f t="shared" si="4"/>
        <v>22</v>
      </c>
      <c r="B36" s="56" t="s">
        <v>122</v>
      </c>
      <c r="C36" s="31">
        <f>'Stmt BG - Page 4'!C41</f>
        <v>-64765.550851440319</v>
      </c>
      <c r="D36" s="31">
        <f>'Stmt BG - Page 4'!D41</f>
        <v>-63165.485590458185</v>
      </c>
      <c r="E36" s="31">
        <f>'Stmt BG - Page 4'!E41</f>
        <v>-64421.796915122752</v>
      </c>
      <c r="F36" s="31">
        <f>'Stmt BG - Page 4'!F41</f>
        <v>-58046.756870642312</v>
      </c>
      <c r="G36" s="31">
        <f>'Stmt BG - Page 4'!G41</f>
        <v>-54494.966897851729</v>
      </c>
      <c r="H36" s="31">
        <f>'Stmt BG - Page 4'!H41</f>
        <v>-49036.060237635931</v>
      </c>
      <c r="I36" s="19">
        <f>SUM(C18:H18,C36:H36)</f>
        <v>-641408.15301641019</v>
      </c>
      <c r="J36" s="264">
        <f t="shared" si="5"/>
        <v>22</v>
      </c>
      <c r="K36" s="396"/>
      <c r="L36" s="396"/>
      <c r="M36" s="396"/>
      <c r="N36" s="396"/>
      <c r="O36" s="396"/>
    </row>
    <row r="37" spans="1:15" x14ac:dyDescent="0.35">
      <c r="A37" s="263">
        <f t="shared" si="4"/>
        <v>23</v>
      </c>
      <c r="B37" s="17"/>
      <c r="C37" s="31"/>
      <c r="D37" s="31"/>
      <c r="E37" s="31"/>
      <c r="F37" s="31"/>
      <c r="G37" s="31"/>
      <c r="H37" s="31"/>
      <c r="I37" s="31"/>
      <c r="J37" s="264">
        <f t="shared" si="5"/>
        <v>23</v>
      </c>
      <c r="K37" s="396"/>
      <c r="L37" s="396"/>
      <c r="M37" s="396"/>
      <c r="N37" s="396"/>
      <c r="O37" s="396"/>
    </row>
    <row r="38" spans="1:15" ht="18.5" x14ac:dyDescent="0.35">
      <c r="A38" s="263">
        <f t="shared" si="4"/>
        <v>24</v>
      </c>
      <c r="B38" s="17" t="s">
        <v>123</v>
      </c>
      <c r="C38" s="38">
        <f>'Stmt BG - Page 4'!C43</f>
        <v>-18612.436267687299</v>
      </c>
      <c r="D38" s="38">
        <f>'Stmt BG - Page 4'!D43</f>
        <v>-18098.555409824159</v>
      </c>
      <c r="E38" s="38">
        <f>'Stmt BG - Page 4'!E43</f>
        <v>-18837.119096776005</v>
      </c>
      <c r="F38" s="38">
        <f>'Stmt BG - Page 4'!F43</f>
        <v>-18443.217915206351</v>
      </c>
      <c r="G38" s="38">
        <f>'Stmt BG - Page 4'!G43</f>
        <v>-18569.357568479558</v>
      </c>
      <c r="H38" s="38">
        <f>'Stmt BG - Page 4'!H43</f>
        <v>-18765.368803914633</v>
      </c>
      <c r="I38" s="14">
        <f>SUM(C20:H20,C38:H38)</f>
        <v>-224135.60317291121</v>
      </c>
      <c r="J38" s="264">
        <f t="shared" si="5"/>
        <v>24</v>
      </c>
      <c r="K38" s="396"/>
      <c r="L38" s="396"/>
      <c r="M38" s="396"/>
      <c r="N38" s="396"/>
      <c r="O38" s="396"/>
    </row>
    <row r="39" spans="1:15" x14ac:dyDescent="0.35">
      <c r="A39" s="263">
        <f t="shared" si="4"/>
        <v>25</v>
      </c>
      <c r="B39" s="17"/>
      <c r="C39" s="31"/>
      <c r="D39" s="31"/>
      <c r="E39" s="31"/>
      <c r="F39" s="31"/>
      <c r="G39" s="31"/>
      <c r="H39" s="31"/>
      <c r="I39" s="31"/>
      <c r="J39" s="264">
        <f t="shared" si="5"/>
        <v>25</v>
      </c>
      <c r="K39" s="396"/>
      <c r="L39" s="396"/>
      <c r="M39" s="396"/>
      <c r="N39" s="396"/>
      <c r="O39" s="396"/>
    </row>
    <row r="40" spans="1:15" x14ac:dyDescent="0.35">
      <c r="A40" s="263">
        <f t="shared" si="4"/>
        <v>26</v>
      </c>
      <c r="B40" s="11" t="s">
        <v>124</v>
      </c>
      <c r="C40" s="514">
        <f t="shared" ref="C40:I40" si="6">SUM(C28:C38)</f>
        <v>-4736512.0202627648</v>
      </c>
      <c r="D40" s="514">
        <f t="shared" si="6"/>
        <v>-5129149.4562218226</v>
      </c>
      <c r="E40" s="514">
        <f t="shared" si="6"/>
        <v>-5290680.053891357</v>
      </c>
      <c r="F40" s="514">
        <f t="shared" si="6"/>
        <v>-4638283.7369713029</v>
      </c>
      <c r="G40" s="514">
        <f t="shared" si="6"/>
        <v>-4270693.0770672392</v>
      </c>
      <c r="H40" s="514">
        <f t="shared" si="6"/>
        <v>-4339566.7741226163</v>
      </c>
      <c r="I40" s="514">
        <f t="shared" si="6"/>
        <v>-52846094.493933864</v>
      </c>
      <c r="J40" s="264">
        <f t="shared" si="5"/>
        <v>26</v>
      </c>
      <c r="K40" s="396"/>
      <c r="L40" s="396"/>
      <c r="M40" s="396"/>
      <c r="N40" s="396"/>
      <c r="O40" s="396"/>
    </row>
    <row r="41" spans="1:15" ht="16" thickBot="1" x14ac:dyDescent="0.4">
      <c r="A41" s="301"/>
      <c r="B41" s="561"/>
      <c r="C41" s="690"/>
      <c r="D41" s="563"/>
      <c r="E41" s="562"/>
      <c r="F41" s="690"/>
      <c r="G41" s="563"/>
      <c r="H41" s="690"/>
      <c r="I41" s="261"/>
      <c r="J41" s="407"/>
      <c r="K41" s="396"/>
      <c r="L41" s="396"/>
      <c r="M41" s="396"/>
      <c r="N41" s="396"/>
      <c r="O41" s="396"/>
    </row>
    <row r="42" spans="1:15" x14ac:dyDescent="0.35">
      <c r="A42" s="50"/>
      <c r="B42" s="396"/>
      <c r="C42" s="396"/>
      <c r="D42" s="396"/>
      <c r="E42" s="396"/>
      <c r="F42" s="396"/>
      <c r="G42" s="396"/>
      <c r="H42" s="396"/>
      <c r="I42" s="396"/>
      <c r="J42" s="396"/>
      <c r="K42" s="396"/>
      <c r="L42" s="396"/>
      <c r="M42" s="396"/>
      <c r="N42" s="396"/>
      <c r="O42" s="397"/>
    </row>
    <row r="43" spans="1:15" ht="18.5" x14ac:dyDescent="0.35">
      <c r="A43" s="83" t="s">
        <v>125</v>
      </c>
      <c r="B43" s="22" t="s">
        <v>126</v>
      </c>
      <c r="C43" s="243"/>
      <c r="D43" s="243"/>
      <c r="F43" s="520">
        <v>4</v>
      </c>
      <c r="G43" s="22" t="s">
        <v>127</v>
      </c>
    </row>
    <row r="44" spans="1:15" ht="18.5" x14ac:dyDescent="0.35">
      <c r="A44" s="83">
        <v>2</v>
      </c>
      <c r="B44" s="22" t="s">
        <v>128</v>
      </c>
      <c r="C44" s="830"/>
      <c r="D44" s="830"/>
      <c r="F44" s="520">
        <v>5</v>
      </c>
      <c r="G44" s="22" t="s">
        <v>129</v>
      </c>
    </row>
    <row r="45" spans="1:15" ht="18.5" x14ac:dyDescent="0.35">
      <c r="A45" s="83">
        <v>3</v>
      </c>
      <c r="B45" s="22" t="s">
        <v>130</v>
      </c>
      <c r="C45" s="243"/>
      <c r="D45" s="243"/>
      <c r="F45" s="520">
        <v>6</v>
      </c>
      <c r="G45" s="22" t="s">
        <v>131</v>
      </c>
    </row>
    <row r="46" spans="1:15" x14ac:dyDescent="0.35">
      <c r="C46" s="243"/>
      <c r="D46" s="243"/>
    </row>
    <row r="47" spans="1:15" x14ac:dyDescent="0.35">
      <c r="C47" s="243"/>
      <c r="D47" s="243"/>
    </row>
    <row r="48" spans="1:15" x14ac:dyDescent="0.35">
      <c r="C48" s="243"/>
      <c r="D48" s="243"/>
    </row>
    <row r="49" spans="1:1" x14ac:dyDescent="0.35">
      <c r="A49" s="37"/>
    </row>
    <row r="50" spans="1:1" x14ac:dyDescent="0.35">
      <c r="A50" s="37"/>
    </row>
    <row r="51" spans="1:1" x14ac:dyDescent="0.35">
      <c r="A51" s="37"/>
    </row>
    <row r="52" spans="1:1" x14ac:dyDescent="0.35">
      <c r="A52" s="37"/>
    </row>
    <row r="53" spans="1:1" x14ac:dyDescent="0.35">
      <c r="A53" s="37"/>
    </row>
    <row r="54" spans="1:1" x14ac:dyDescent="0.35">
      <c r="A54" s="37"/>
    </row>
    <row r="55" spans="1:1" x14ac:dyDescent="0.35">
      <c r="A55" s="37"/>
    </row>
    <row r="56" spans="1:1" x14ac:dyDescent="0.35">
      <c r="A56" s="37"/>
    </row>
    <row r="57" spans="1:1" x14ac:dyDescent="0.35">
      <c r="A57" s="37"/>
    </row>
    <row r="58" spans="1:1" x14ac:dyDescent="0.35">
      <c r="A58" s="37"/>
    </row>
    <row r="59" spans="1:1" x14ac:dyDescent="0.35">
      <c r="A59" s="37"/>
    </row>
    <row r="60" spans="1:1" x14ac:dyDescent="0.35">
      <c r="A60" s="37"/>
    </row>
    <row r="61" spans="1:1" x14ac:dyDescent="0.35">
      <c r="A61" s="37"/>
    </row>
    <row r="62" spans="1:1" x14ac:dyDescent="0.35">
      <c r="A62" s="37"/>
    </row>
    <row r="63" spans="1:1" x14ac:dyDescent="0.35">
      <c r="A63" s="37"/>
    </row>
    <row r="64" spans="1:1" x14ac:dyDescent="0.35">
      <c r="A64" s="37"/>
    </row>
    <row r="65" spans="1:1" x14ac:dyDescent="0.35">
      <c r="A65" s="37"/>
    </row>
    <row r="66" spans="1:1" x14ac:dyDescent="0.35">
      <c r="A66" s="37"/>
    </row>
    <row r="67" spans="1:1" x14ac:dyDescent="0.35">
      <c r="A67" s="37"/>
    </row>
    <row r="68" spans="1:1" x14ac:dyDescent="0.35">
      <c r="A68" s="37"/>
    </row>
    <row r="69" spans="1:1" x14ac:dyDescent="0.35">
      <c r="A69" s="37"/>
    </row>
    <row r="70" spans="1:1" x14ac:dyDescent="0.35">
      <c r="A70" s="37"/>
    </row>
    <row r="71" spans="1:1" x14ac:dyDescent="0.35">
      <c r="A71" s="37"/>
    </row>
    <row r="72" spans="1:1" x14ac:dyDescent="0.35">
      <c r="A72" s="37"/>
    </row>
    <row r="73" spans="1:1" x14ac:dyDescent="0.35">
      <c r="A73" s="37"/>
    </row>
    <row r="74" spans="1:1" x14ac:dyDescent="0.35">
      <c r="A74" s="37"/>
    </row>
    <row r="75" spans="1:1" x14ac:dyDescent="0.35">
      <c r="A75" s="37"/>
    </row>
    <row r="76" spans="1:1" x14ac:dyDescent="0.35">
      <c r="A76" s="37"/>
    </row>
    <row r="77" spans="1:1" x14ac:dyDescent="0.35">
      <c r="A77" s="37"/>
    </row>
    <row r="78" spans="1:1" x14ac:dyDescent="0.35">
      <c r="A78" s="37"/>
    </row>
    <row r="79" spans="1:1" x14ac:dyDescent="0.35">
      <c r="A79" s="37"/>
    </row>
    <row r="80" spans="1:1" x14ac:dyDescent="0.35">
      <c r="A80" s="37"/>
    </row>
    <row r="81" spans="1:1" x14ac:dyDescent="0.35">
      <c r="A81" s="37"/>
    </row>
    <row r="82" spans="1:1" x14ac:dyDescent="0.35">
      <c r="A82" s="37"/>
    </row>
    <row r="83" spans="1:1" x14ac:dyDescent="0.35">
      <c r="A83" s="37"/>
    </row>
    <row r="84" spans="1:1" x14ac:dyDescent="0.35">
      <c r="A84" s="37"/>
    </row>
    <row r="85" spans="1:1" x14ac:dyDescent="0.35">
      <c r="A85" s="37"/>
    </row>
    <row r="86" spans="1:1" x14ac:dyDescent="0.35">
      <c r="A86" s="37"/>
    </row>
    <row r="87" spans="1:1" x14ac:dyDescent="0.35">
      <c r="A87" s="37"/>
    </row>
    <row r="88" spans="1:1" x14ac:dyDescent="0.35">
      <c r="A88" s="37"/>
    </row>
    <row r="89" spans="1:1" x14ac:dyDescent="0.35">
      <c r="A89" s="37"/>
    </row>
    <row r="90" spans="1:1" x14ac:dyDescent="0.35">
      <c r="A90" s="37"/>
    </row>
    <row r="91" spans="1:1" x14ac:dyDescent="0.35">
      <c r="A91" s="37"/>
    </row>
    <row r="92" spans="1:1" x14ac:dyDescent="0.35">
      <c r="A92" s="37"/>
    </row>
    <row r="93" spans="1:1" x14ac:dyDescent="0.35">
      <c r="A93" s="37"/>
    </row>
    <row r="94" spans="1:1" x14ac:dyDescent="0.35">
      <c r="A94" s="37"/>
    </row>
    <row r="95" spans="1:1" x14ac:dyDescent="0.35">
      <c r="A95" s="37"/>
    </row>
    <row r="96" spans="1:1" x14ac:dyDescent="0.35">
      <c r="A96" s="37"/>
    </row>
    <row r="97" spans="1:1" x14ac:dyDescent="0.35">
      <c r="A97" s="37"/>
    </row>
    <row r="98" spans="1:1" x14ac:dyDescent="0.35">
      <c r="A98" s="37"/>
    </row>
    <row r="99" spans="1:1" x14ac:dyDescent="0.35">
      <c r="A99" s="37"/>
    </row>
    <row r="100" spans="1:1" x14ac:dyDescent="0.35">
      <c r="A100" s="37"/>
    </row>
    <row r="101" spans="1:1" x14ac:dyDescent="0.35">
      <c r="A101" s="37"/>
    </row>
    <row r="102" spans="1:1" x14ac:dyDescent="0.35">
      <c r="A102" s="37"/>
    </row>
    <row r="103" spans="1:1" x14ac:dyDescent="0.35">
      <c r="A103" s="37"/>
    </row>
    <row r="104" spans="1:1" x14ac:dyDescent="0.35">
      <c r="A104" s="37"/>
    </row>
    <row r="105" spans="1:1" x14ac:dyDescent="0.35">
      <c r="A105" s="37"/>
    </row>
    <row r="106" spans="1:1" x14ac:dyDescent="0.35">
      <c r="A106" s="37"/>
    </row>
    <row r="107" spans="1:1" x14ac:dyDescent="0.35">
      <c r="A107" s="37"/>
    </row>
    <row r="108" spans="1:1" x14ac:dyDescent="0.35">
      <c r="A108" s="37"/>
    </row>
    <row r="109" spans="1:1" x14ac:dyDescent="0.35">
      <c r="A109" s="37"/>
    </row>
    <row r="110" spans="1:1" x14ac:dyDescent="0.35">
      <c r="A110" s="37"/>
    </row>
    <row r="111" spans="1:1" x14ac:dyDescent="0.35">
      <c r="A111" s="37"/>
    </row>
    <row r="112" spans="1:1" x14ac:dyDescent="0.35">
      <c r="A112" s="37"/>
    </row>
    <row r="113" spans="1:1" x14ac:dyDescent="0.35">
      <c r="A113" s="37"/>
    </row>
    <row r="114" spans="1:1" x14ac:dyDescent="0.35">
      <c r="A114" s="37"/>
    </row>
    <row r="115" spans="1:1" x14ac:dyDescent="0.35">
      <c r="A115" s="37"/>
    </row>
    <row r="116" spans="1:1" x14ac:dyDescent="0.35">
      <c r="A116" s="37"/>
    </row>
    <row r="117" spans="1:1" x14ac:dyDescent="0.35">
      <c r="A117" s="37"/>
    </row>
    <row r="118" spans="1:1" x14ac:dyDescent="0.35">
      <c r="A118" s="37"/>
    </row>
    <row r="119" spans="1:1" x14ac:dyDescent="0.35">
      <c r="A119" s="37"/>
    </row>
    <row r="120" spans="1:1" x14ac:dyDescent="0.35">
      <c r="A120" s="37"/>
    </row>
    <row r="121" spans="1:1" x14ac:dyDescent="0.35">
      <c r="A121" s="37"/>
    </row>
    <row r="122" spans="1:1" x14ac:dyDescent="0.35">
      <c r="A122" s="37"/>
    </row>
    <row r="123" spans="1:1" x14ac:dyDescent="0.35">
      <c r="A123" s="37"/>
    </row>
    <row r="124" spans="1:1" x14ac:dyDescent="0.35">
      <c r="A124" s="37"/>
    </row>
    <row r="125" spans="1:1" x14ac:dyDescent="0.35">
      <c r="A125" s="37"/>
    </row>
    <row r="126" spans="1:1" x14ac:dyDescent="0.35">
      <c r="A126" s="37"/>
    </row>
    <row r="127" spans="1:1" x14ac:dyDescent="0.35">
      <c r="A127" s="37"/>
    </row>
    <row r="128" spans="1:1" x14ac:dyDescent="0.35">
      <c r="A128" s="37"/>
    </row>
    <row r="129" spans="1:1" x14ac:dyDescent="0.35">
      <c r="A129" s="37"/>
    </row>
    <row r="130" spans="1:1" x14ac:dyDescent="0.35">
      <c r="A130" s="37"/>
    </row>
    <row r="131" spans="1:1" x14ac:dyDescent="0.35">
      <c r="A131" s="37"/>
    </row>
    <row r="132" spans="1:1" x14ac:dyDescent="0.35">
      <c r="A132" s="37"/>
    </row>
    <row r="133" spans="1:1" x14ac:dyDescent="0.35">
      <c r="A133" s="37"/>
    </row>
    <row r="134" spans="1:1" x14ac:dyDescent="0.35">
      <c r="A134" s="37"/>
    </row>
    <row r="135" spans="1:1" x14ac:dyDescent="0.35">
      <c r="A135" s="37"/>
    </row>
    <row r="136" spans="1:1" x14ac:dyDescent="0.35">
      <c r="A136" s="37"/>
    </row>
    <row r="137" spans="1:1" x14ac:dyDescent="0.35">
      <c r="A137" s="37"/>
    </row>
    <row r="138" spans="1:1" x14ac:dyDescent="0.35">
      <c r="A138" s="37"/>
    </row>
    <row r="139" spans="1:1" x14ac:dyDescent="0.35">
      <c r="A139" s="37"/>
    </row>
    <row r="140" spans="1:1" x14ac:dyDescent="0.35">
      <c r="A140" s="37"/>
    </row>
    <row r="141" spans="1:1" x14ac:dyDescent="0.35">
      <c r="A141" s="37"/>
    </row>
    <row r="142" spans="1:1" x14ac:dyDescent="0.35">
      <c r="A142" s="37"/>
    </row>
    <row r="143" spans="1:1" x14ac:dyDescent="0.35">
      <c r="A143" s="37"/>
    </row>
  </sheetData>
  <mergeCells count="4">
    <mergeCell ref="A2:J2"/>
    <mergeCell ref="A3:J3"/>
    <mergeCell ref="A4:J4"/>
    <mergeCell ref="A5:J5"/>
  </mergeCells>
  <printOptions horizontalCentered="1"/>
  <pageMargins left="0.25" right="0.25" top="0.5" bottom="0.5" header="0.25" footer="0.25"/>
  <pageSetup scale="72" orientation="landscape" r:id="rId1"/>
  <headerFooter alignWithMargins="0">
    <oddFooter>&amp;L&amp;"Times New Roman,Regular"&amp;12&amp;F&amp;C&amp;"Times New Roman,Regular"&amp;12Page 2 of 4&amp;R&amp;"Times New Roman,Regular"&amp;12Stmt BG - Page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J122"/>
  <sheetViews>
    <sheetView zoomScale="80" zoomScaleNormal="80" workbookViewId="0"/>
  </sheetViews>
  <sheetFormatPr defaultColWidth="9.1796875" defaultRowHeight="12.5" x14ac:dyDescent="0.25"/>
  <cols>
    <col min="1" max="1" width="5.54296875" style="243" customWidth="1"/>
    <col min="2" max="2" width="45.54296875" style="243" customWidth="1"/>
    <col min="3" max="8" width="15.54296875" style="243" customWidth="1"/>
    <col min="9" max="9" width="40.54296875" style="243" customWidth="1"/>
    <col min="10" max="10" width="5.54296875" style="243" customWidth="1"/>
    <col min="11" max="16384" width="9.1796875" style="243"/>
  </cols>
  <sheetData>
    <row r="2" spans="1:10" ht="15.5" x14ac:dyDescent="0.25">
      <c r="A2" s="5" t="s">
        <v>80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ht="15.5" x14ac:dyDescent="0.25">
      <c r="A3" s="419" t="s">
        <v>52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ht="15.5" customHeight="1" x14ac:dyDescent="0.25">
      <c r="A4" s="978" t="str">
        <f>'Stmt BG - Page 1'!A4</f>
        <v>Transmission Revenue Balancing Account Adjustment (TRBAA) Revenues Data to Reflect Changed Rates</v>
      </c>
      <c r="B4" s="978"/>
      <c r="C4" s="978"/>
      <c r="D4" s="978"/>
      <c r="E4" s="978"/>
      <c r="F4" s="978"/>
      <c r="G4" s="978"/>
      <c r="H4" s="978"/>
      <c r="I4" s="978"/>
      <c r="J4" s="978"/>
    </row>
    <row r="5" spans="1:10" ht="15.5" x14ac:dyDescent="0.25">
      <c r="A5" s="419" t="str">
        <f>'Stmt BG - Page 1'!A6</f>
        <v>Rate Effective Period - Twelve Months Ending December 31, 2024</v>
      </c>
      <c r="B5" s="41"/>
      <c r="C5" s="41"/>
      <c r="D5" s="41"/>
      <c r="E5" s="41"/>
      <c r="F5" s="41"/>
      <c r="G5" s="41"/>
      <c r="H5" s="41"/>
      <c r="I5" s="41"/>
      <c r="J5" s="41"/>
    </row>
    <row r="6" spans="1:10" ht="16" thickBot="1" x14ac:dyDescent="0.4">
      <c r="A6" s="22"/>
      <c r="B6" s="22"/>
      <c r="C6" s="22"/>
      <c r="D6" s="22"/>
      <c r="E6" s="22"/>
      <c r="F6" s="22"/>
      <c r="G6" s="22"/>
      <c r="H6" s="22"/>
      <c r="I6" s="22"/>
      <c r="J6" s="22"/>
    </row>
    <row r="7" spans="1:10" ht="15" x14ac:dyDescent="0.3">
      <c r="A7" s="557"/>
      <c r="B7" s="456"/>
      <c r="C7" s="565" t="s">
        <v>3</v>
      </c>
      <c r="D7" s="565" t="s">
        <v>4</v>
      </c>
      <c r="E7" s="565" t="s">
        <v>113</v>
      </c>
      <c r="F7" s="565" t="s">
        <v>114</v>
      </c>
      <c r="G7" s="565" t="s">
        <v>115</v>
      </c>
      <c r="H7" s="566" t="s">
        <v>116</v>
      </c>
      <c r="I7" s="566" t="s">
        <v>117</v>
      </c>
      <c r="J7" s="559"/>
    </row>
    <row r="8" spans="1:10" ht="15" x14ac:dyDescent="0.3">
      <c r="A8" s="551" t="s">
        <v>8</v>
      </c>
      <c r="B8" s="75"/>
      <c r="C8" s="567">
        <f>'Stmt BG - Page 2'!C8</f>
        <v>44927</v>
      </c>
      <c r="D8" s="567">
        <f>'Stmt BG - Page 2'!D8</f>
        <v>44958</v>
      </c>
      <c r="E8" s="567">
        <f>'Stmt BG - Page 2'!E8</f>
        <v>44986</v>
      </c>
      <c r="F8" s="567">
        <f>'Stmt BG - Page 2'!F8</f>
        <v>45017</v>
      </c>
      <c r="G8" s="567">
        <f>'Stmt BG - Page 2'!G8</f>
        <v>45047</v>
      </c>
      <c r="H8" s="567">
        <f>'Stmt BG - Page 2'!H8</f>
        <v>45078</v>
      </c>
      <c r="I8" s="568"/>
      <c r="J8" s="552" t="s">
        <v>8</v>
      </c>
    </row>
    <row r="9" spans="1:10" ht="15.5" thickBot="1" x14ac:dyDescent="0.35">
      <c r="A9" s="569" t="s">
        <v>11</v>
      </c>
      <c r="B9" s="153" t="s">
        <v>88</v>
      </c>
      <c r="C9" s="153" t="s">
        <v>132</v>
      </c>
      <c r="D9" s="153" t="s">
        <v>132</v>
      </c>
      <c r="E9" s="153" t="s">
        <v>132</v>
      </c>
      <c r="F9" s="153" t="s">
        <v>132</v>
      </c>
      <c r="G9" s="153" t="s">
        <v>132</v>
      </c>
      <c r="H9" s="153" t="s">
        <v>132</v>
      </c>
      <c r="I9" s="153" t="s">
        <v>16</v>
      </c>
      <c r="J9" s="570" t="s">
        <v>11</v>
      </c>
    </row>
    <row r="10" spans="1:10" ht="15.5" x14ac:dyDescent="0.35">
      <c r="A10" s="263"/>
      <c r="B10" s="10"/>
      <c r="C10" s="74"/>
      <c r="D10" s="10"/>
      <c r="E10" s="10"/>
      <c r="F10" s="10"/>
      <c r="G10" s="10"/>
      <c r="H10" s="10"/>
      <c r="I10" s="10"/>
      <c r="J10" s="264"/>
    </row>
    <row r="11" spans="1:10" ht="15.5" x14ac:dyDescent="0.35">
      <c r="A11" s="263">
        <v>1</v>
      </c>
      <c r="B11" s="11" t="s">
        <v>93</v>
      </c>
      <c r="C11" s="31">
        <f>'WP 1.2 Forecast Sales'!C6*1000</f>
        <v>600956182.3716675</v>
      </c>
      <c r="D11" s="31">
        <f>'WP 1.2 Forecast Sales'!D6*1000</f>
        <v>501221888.44971186</v>
      </c>
      <c r="E11" s="31">
        <f>'WP 1.2 Forecast Sales'!E6*1000</f>
        <v>446282371.27663541</v>
      </c>
      <c r="F11" s="31">
        <f>'WP 1.2 Forecast Sales'!F6*1000</f>
        <v>392460313.75987303</v>
      </c>
      <c r="G11" s="31">
        <f>'WP 1.2 Forecast Sales'!G6*1000</f>
        <v>377100203.70278507</v>
      </c>
      <c r="H11" s="31">
        <f>'WP 1.2 Forecast Sales'!H6*1000</f>
        <v>416762793.60261565</v>
      </c>
      <c r="I11" s="241" t="s">
        <v>133</v>
      </c>
      <c r="J11" s="264">
        <v>1</v>
      </c>
    </row>
    <row r="12" spans="1:10" ht="15.5" x14ac:dyDescent="0.35">
      <c r="A12" s="263">
        <f>A11+1</f>
        <v>2</v>
      </c>
      <c r="B12" s="11"/>
      <c r="C12" s="399"/>
      <c r="D12" s="399"/>
      <c r="E12" s="399"/>
      <c r="F12" s="399"/>
      <c r="G12" s="399"/>
      <c r="H12" s="399"/>
      <c r="I12" s="400"/>
      <c r="J12" s="264">
        <f>J11+1</f>
        <v>2</v>
      </c>
    </row>
    <row r="13" spans="1:10" ht="15.5" x14ac:dyDescent="0.35">
      <c r="A13" s="263">
        <f t="shared" ref="A13:A45" si="0">A12+1</f>
        <v>3</v>
      </c>
      <c r="B13" s="11" t="s">
        <v>134</v>
      </c>
      <c r="C13" s="31">
        <f>'WP 1.2 Forecast Sales'!C7*1000</f>
        <v>181530130.84879759</v>
      </c>
      <c r="D13" s="31">
        <f>'WP 1.2 Forecast Sales'!D7*1000</f>
        <v>175691811.02968782</v>
      </c>
      <c r="E13" s="31">
        <f>'WP 1.2 Forecast Sales'!E7*1000</f>
        <v>171138423.0895721</v>
      </c>
      <c r="F13" s="31">
        <f>'WP 1.2 Forecast Sales'!F7*1000</f>
        <v>172875749.79857507</v>
      </c>
      <c r="G13" s="31">
        <f>'WP 1.2 Forecast Sales'!G7*1000</f>
        <v>171358769.67227325</v>
      </c>
      <c r="H13" s="31">
        <f>'WP 1.2 Forecast Sales'!H7*1000</f>
        <v>183426786.90204415</v>
      </c>
      <c r="I13" s="241" t="s">
        <v>135</v>
      </c>
      <c r="J13" s="264">
        <f t="shared" ref="J13:J45" si="1">J12+1</f>
        <v>3</v>
      </c>
    </row>
    <row r="14" spans="1:10" ht="15.5" x14ac:dyDescent="0.35">
      <c r="A14" s="263">
        <f t="shared" si="0"/>
        <v>4</v>
      </c>
      <c r="B14" s="386"/>
      <c r="C14" s="394"/>
      <c r="D14" s="394"/>
      <c r="E14" s="394"/>
      <c r="F14" s="394"/>
      <c r="G14" s="394"/>
      <c r="H14" s="394"/>
      <c r="I14" s="401"/>
      <c r="J14" s="264">
        <f t="shared" si="1"/>
        <v>4</v>
      </c>
    </row>
    <row r="15" spans="1:10" ht="15.5" x14ac:dyDescent="0.35">
      <c r="A15" s="263">
        <f t="shared" si="0"/>
        <v>5</v>
      </c>
      <c r="B15" s="17" t="s">
        <v>99</v>
      </c>
      <c r="C15" s="31">
        <f>'WP 1.2 Forecast Sales'!C8*1000</f>
        <v>751591533.21340001</v>
      </c>
      <c r="D15" s="31">
        <f>'WP 1.2 Forecast Sales'!D8*1000</f>
        <v>722773007.62930691</v>
      </c>
      <c r="E15" s="31">
        <f>'WP 1.2 Forecast Sales'!E8*1000</f>
        <v>706780234.77768397</v>
      </c>
      <c r="F15" s="31">
        <f>'WP 1.2 Forecast Sales'!F8*1000</f>
        <v>749057480.70808983</v>
      </c>
      <c r="G15" s="31">
        <f>'WP 1.2 Forecast Sales'!G8*1000</f>
        <v>745902535.14588213</v>
      </c>
      <c r="H15" s="31">
        <f>'WP 1.2 Forecast Sales'!H8*1000</f>
        <v>799490964.10594738</v>
      </c>
      <c r="I15" s="241" t="s">
        <v>136</v>
      </c>
      <c r="J15" s="264">
        <f t="shared" si="1"/>
        <v>5</v>
      </c>
    </row>
    <row r="16" spans="1:10" ht="15.5" x14ac:dyDescent="0.35">
      <c r="A16" s="263">
        <f t="shared" si="0"/>
        <v>6</v>
      </c>
      <c r="B16" s="11"/>
      <c r="C16" s="31"/>
      <c r="D16" s="31"/>
      <c r="E16" s="31"/>
      <c r="F16" s="31"/>
      <c r="G16" s="31"/>
      <c r="H16" s="31"/>
      <c r="I16" s="402"/>
      <c r="J16" s="264">
        <f t="shared" si="1"/>
        <v>6</v>
      </c>
    </row>
    <row r="17" spans="1:10" ht="15.5" x14ac:dyDescent="0.35">
      <c r="A17" s="263">
        <f t="shared" si="0"/>
        <v>7</v>
      </c>
      <c r="B17" s="11" t="s">
        <v>102</v>
      </c>
      <c r="C17" s="31">
        <f>'WP 1.2 Forecast Sales'!C10*1000</f>
        <v>5941638.1450993568</v>
      </c>
      <c r="D17" s="31">
        <f>'WP 1.2 Forecast Sales'!D10*1000</f>
        <v>8249350.7242515702</v>
      </c>
      <c r="E17" s="31">
        <f>'WP 1.2 Forecast Sales'!E10*1000</f>
        <v>7290739.319260682</v>
      </c>
      <c r="F17" s="31">
        <f>'WP 1.2 Forecast Sales'!F10*1000</f>
        <v>8401104.4688614123</v>
      </c>
      <c r="G17" s="31">
        <f>'WP 1.2 Forecast Sales'!G10*1000</f>
        <v>10667586.054941036</v>
      </c>
      <c r="H17" s="31">
        <f>'WP 1.2 Forecast Sales'!H10*1000</f>
        <v>11706633.601816563</v>
      </c>
      <c r="I17" s="241" t="s">
        <v>137</v>
      </c>
      <c r="J17" s="264">
        <f t="shared" si="1"/>
        <v>7</v>
      </c>
    </row>
    <row r="18" spans="1:10" ht="15.5" x14ac:dyDescent="0.35">
      <c r="A18" s="263">
        <f t="shared" si="0"/>
        <v>8</v>
      </c>
      <c r="B18" s="11"/>
      <c r="C18" s="31"/>
      <c r="D18" s="31"/>
      <c r="E18" s="31"/>
      <c r="F18" s="31"/>
      <c r="G18" s="31"/>
      <c r="H18" s="31"/>
      <c r="I18" s="402"/>
      <c r="J18" s="264">
        <f t="shared" si="1"/>
        <v>8</v>
      </c>
    </row>
    <row r="19" spans="1:10" ht="15.5" x14ac:dyDescent="0.35">
      <c r="A19" s="263">
        <f t="shared" si="0"/>
        <v>9</v>
      </c>
      <c r="B19" s="11" t="s">
        <v>105</v>
      </c>
      <c r="C19" s="31">
        <f>'WP 1.2 Forecast Sales'!C11*1000</f>
        <v>14566080.967748553</v>
      </c>
      <c r="D19" s="31">
        <f>'WP 1.2 Forecast Sales'!D11*1000</f>
        <v>15384762.175613916</v>
      </c>
      <c r="E19" s="31">
        <f>'WP 1.2 Forecast Sales'!E11*1000</f>
        <v>14626906.471273895</v>
      </c>
      <c r="F19" s="31">
        <f>'WP 1.2 Forecast Sales'!F11*1000</f>
        <v>16841653.31714857</v>
      </c>
      <c r="G19" s="31">
        <f>'WP 1.2 Forecast Sales'!G11*1000</f>
        <v>18251444.699619252</v>
      </c>
      <c r="H19" s="31">
        <f>'WP 1.2 Forecast Sales'!H11*1000</f>
        <v>19802348.096367005</v>
      </c>
      <c r="I19" s="241" t="s">
        <v>138</v>
      </c>
      <c r="J19" s="264">
        <f t="shared" si="1"/>
        <v>9</v>
      </c>
    </row>
    <row r="20" spans="1:10" ht="15.5" x14ac:dyDescent="0.35">
      <c r="A20" s="263">
        <f t="shared" si="0"/>
        <v>10</v>
      </c>
      <c r="B20" s="11"/>
      <c r="C20" s="31"/>
      <c r="D20" s="31"/>
      <c r="E20" s="31"/>
      <c r="F20" s="31"/>
      <c r="G20" s="31"/>
      <c r="H20" s="31"/>
      <c r="I20" s="402"/>
      <c r="J20" s="264">
        <f t="shared" si="1"/>
        <v>10</v>
      </c>
    </row>
    <row r="21" spans="1:10" ht="15.5" x14ac:dyDescent="0.35">
      <c r="A21" s="263">
        <f t="shared" si="0"/>
        <v>11</v>
      </c>
      <c r="B21" s="11" t="s">
        <v>139</v>
      </c>
      <c r="C21" s="38">
        <f>'WP 1.2 Forecast Sales'!C12*1000</f>
        <v>6456705.3676387388</v>
      </c>
      <c r="D21" s="38">
        <f>'WP 1.2 Forecast Sales'!D12*1000</f>
        <v>6444013.2872733567</v>
      </c>
      <c r="E21" s="38">
        <f>'WP 1.2 Forecast Sales'!E12*1000</f>
        <v>6498476.1106686704</v>
      </c>
      <c r="F21" s="38">
        <f>'WP 1.2 Forecast Sales'!F12*1000</f>
        <v>6930078.0189573411</v>
      </c>
      <c r="G21" s="38">
        <f>'WP 1.2 Forecast Sales'!G12*1000</f>
        <v>6341425.1395615386</v>
      </c>
      <c r="H21" s="38">
        <f>'WP 1.2 Forecast Sales'!H12*1000</f>
        <v>6363747.7890571663</v>
      </c>
      <c r="I21" s="241" t="s">
        <v>140</v>
      </c>
      <c r="J21" s="264">
        <f t="shared" si="1"/>
        <v>11</v>
      </c>
    </row>
    <row r="22" spans="1:10" ht="15.5" x14ac:dyDescent="0.35">
      <c r="A22" s="263">
        <f t="shared" si="0"/>
        <v>12</v>
      </c>
      <c r="B22" s="11"/>
      <c r="C22" s="31"/>
      <c r="D22" s="31"/>
      <c r="E22" s="31"/>
      <c r="F22" s="31"/>
      <c r="G22" s="31"/>
      <c r="H22" s="31"/>
      <c r="I22" s="162"/>
      <c r="J22" s="264">
        <f t="shared" si="1"/>
        <v>12</v>
      </c>
    </row>
    <row r="23" spans="1:10" ht="16" thickBot="1" x14ac:dyDescent="0.4">
      <c r="A23" s="263">
        <f t="shared" si="0"/>
        <v>13</v>
      </c>
      <c r="B23" s="11" t="s">
        <v>124</v>
      </c>
      <c r="C23" s="475">
        <f>SUM(C11:C21)</f>
        <v>1561042270.9143519</v>
      </c>
      <c r="D23" s="475">
        <f t="shared" ref="D23:H23" si="2">SUM(D11:D21)</f>
        <v>1429764833.2958453</v>
      </c>
      <c r="E23" s="475">
        <f t="shared" si="2"/>
        <v>1352617151.0450945</v>
      </c>
      <c r="F23" s="475">
        <f t="shared" si="2"/>
        <v>1346566380.0715053</v>
      </c>
      <c r="G23" s="475">
        <f t="shared" si="2"/>
        <v>1329621964.4150622</v>
      </c>
      <c r="H23" s="475">
        <f t="shared" si="2"/>
        <v>1437553274.0978482</v>
      </c>
      <c r="I23" s="400" t="s">
        <v>141</v>
      </c>
      <c r="J23" s="264">
        <f t="shared" si="1"/>
        <v>13</v>
      </c>
    </row>
    <row r="24" spans="1:10" ht="16.5" thickTop="1" thickBot="1" x14ac:dyDescent="0.4">
      <c r="A24" s="301">
        <f t="shared" si="0"/>
        <v>14</v>
      </c>
      <c r="B24" s="420"/>
      <c r="C24" s="828"/>
      <c r="D24" s="58"/>
      <c r="E24" s="58"/>
      <c r="F24" s="58"/>
      <c r="G24" s="58"/>
      <c r="H24" s="58"/>
      <c r="I24" s="58"/>
      <c r="J24" s="302">
        <f t="shared" si="1"/>
        <v>14</v>
      </c>
    </row>
    <row r="25" spans="1:10" ht="15.5" x14ac:dyDescent="0.35">
      <c r="A25" s="263">
        <f t="shared" si="0"/>
        <v>15</v>
      </c>
      <c r="B25" s="11"/>
      <c r="C25" s="17"/>
      <c r="D25" s="17"/>
      <c r="E25" s="17"/>
      <c r="F25" s="17"/>
      <c r="G25" s="17"/>
      <c r="H25" s="17"/>
      <c r="I25" s="17"/>
      <c r="J25" s="264">
        <f t="shared" si="1"/>
        <v>15</v>
      </c>
    </row>
    <row r="26" spans="1:10" ht="16" thickBot="1" x14ac:dyDescent="0.4">
      <c r="A26" s="301">
        <f>A25+1</f>
        <v>16</v>
      </c>
      <c r="B26" s="420"/>
      <c r="C26" s="57" t="s">
        <v>142</v>
      </c>
      <c r="D26" s="57" t="s">
        <v>142</v>
      </c>
      <c r="E26" s="57" t="s">
        <v>142</v>
      </c>
      <c r="F26" s="57" t="s">
        <v>142</v>
      </c>
      <c r="G26" s="57" t="s">
        <v>142</v>
      </c>
      <c r="H26" s="57" t="s">
        <v>142</v>
      </c>
      <c r="I26" s="57"/>
      <c r="J26" s="302">
        <f>J25+1</f>
        <v>16</v>
      </c>
    </row>
    <row r="27" spans="1:10" ht="15.5" x14ac:dyDescent="0.35">
      <c r="A27" s="263">
        <f t="shared" si="0"/>
        <v>17</v>
      </c>
      <c r="B27" s="11"/>
      <c r="C27" s="75"/>
      <c r="D27" s="10"/>
      <c r="E27" s="10"/>
      <c r="F27" s="10"/>
      <c r="G27" s="10"/>
      <c r="H27" s="10"/>
      <c r="I27" s="10"/>
      <c r="J27" s="264">
        <f t="shared" si="1"/>
        <v>17</v>
      </c>
    </row>
    <row r="28" spans="1:10" ht="15.5" x14ac:dyDescent="0.35">
      <c r="A28" s="263">
        <f t="shared" si="0"/>
        <v>18</v>
      </c>
      <c r="B28" s="11" t="s">
        <v>143</v>
      </c>
      <c r="C28" s="385">
        <f>('Stmnt BL (Retail) - TRBAA'!C36)</f>
        <v>-2.8900000000000002E-3</v>
      </c>
      <c r="D28" s="385">
        <f>$C28</f>
        <v>-2.8900000000000002E-3</v>
      </c>
      <c r="E28" s="385">
        <f>$C28</f>
        <v>-2.8900000000000002E-3</v>
      </c>
      <c r="F28" s="385">
        <f>$C28</f>
        <v>-2.8900000000000002E-3</v>
      </c>
      <c r="G28" s="385">
        <f>$C28</f>
        <v>-2.8900000000000002E-3</v>
      </c>
      <c r="H28" s="385">
        <f>$C28</f>
        <v>-2.8900000000000002E-3</v>
      </c>
      <c r="I28" s="403" t="s">
        <v>144</v>
      </c>
      <c r="J28" s="264">
        <f t="shared" si="1"/>
        <v>18</v>
      </c>
    </row>
    <row r="29" spans="1:10" ht="16" thickBot="1" x14ac:dyDescent="0.4">
      <c r="A29" s="301">
        <f>A28+1</f>
        <v>19</v>
      </c>
      <c r="B29" s="420"/>
      <c r="C29" s="58"/>
      <c r="D29" s="58"/>
      <c r="E29" s="58"/>
      <c r="F29" s="58"/>
      <c r="G29" s="58"/>
      <c r="H29" s="58"/>
      <c r="I29" s="58"/>
      <c r="J29" s="302">
        <f>J28+1</f>
        <v>19</v>
      </c>
    </row>
    <row r="30" spans="1:10" ht="15.5" x14ac:dyDescent="0.35">
      <c r="A30" s="263">
        <f t="shared" si="0"/>
        <v>20</v>
      </c>
      <c r="B30" s="11"/>
      <c r="C30" s="17"/>
      <c r="D30" s="17"/>
      <c r="E30" s="17"/>
      <c r="F30" s="17"/>
      <c r="G30" s="17"/>
      <c r="H30" s="17"/>
      <c r="I30" s="17"/>
      <c r="J30" s="264">
        <f t="shared" si="1"/>
        <v>20</v>
      </c>
    </row>
    <row r="31" spans="1:10" ht="34.5" customHeight="1" thickBot="1" x14ac:dyDescent="0.4">
      <c r="A31" s="301">
        <f t="shared" si="0"/>
        <v>21</v>
      </c>
      <c r="B31" s="420"/>
      <c r="C31" s="404" t="s">
        <v>145</v>
      </c>
      <c r="D31" s="404" t="s">
        <v>145</v>
      </c>
      <c r="E31" s="404" t="s">
        <v>145</v>
      </c>
      <c r="F31" s="404" t="s">
        <v>145</v>
      </c>
      <c r="G31" s="404" t="s">
        <v>145</v>
      </c>
      <c r="H31" s="404" t="s">
        <v>145</v>
      </c>
      <c r="I31" s="57"/>
      <c r="J31" s="302">
        <f t="shared" si="1"/>
        <v>21</v>
      </c>
    </row>
    <row r="32" spans="1:10" ht="15.5" x14ac:dyDescent="0.35">
      <c r="A32" s="263">
        <f t="shared" si="0"/>
        <v>22</v>
      </c>
      <c r="B32" s="11"/>
      <c r="C32" s="10"/>
      <c r="D32" s="10"/>
      <c r="E32" s="10"/>
      <c r="F32" s="10"/>
      <c r="G32" s="10"/>
      <c r="H32" s="10"/>
      <c r="I32" s="74"/>
      <c r="J32" s="264">
        <f t="shared" si="1"/>
        <v>22</v>
      </c>
    </row>
    <row r="33" spans="1:10" ht="15.5" x14ac:dyDescent="0.35">
      <c r="A33" s="263">
        <f t="shared" si="0"/>
        <v>23</v>
      </c>
      <c r="B33" s="11" t="s">
        <v>93</v>
      </c>
      <c r="C33" s="141">
        <f>C11*C$28</f>
        <v>-1736763.3670541192</v>
      </c>
      <c r="D33" s="141">
        <f t="shared" ref="D33:H33" si="3">D11*D$28</f>
        <v>-1448531.2576196673</v>
      </c>
      <c r="E33" s="141">
        <f t="shared" si="3"/>
        <v>-1289756.0529894764</v>
      </c>
      <c r="F33" s="141">
        <f t="shared" si="3"/>
        <v>-1134210.3067660332</v>
      </c>
      <c r="G33" s="141">
        <f t="shared" si="3"/>
        <v>-1089819.5887010489</v>
      </c>
      <c r="H33" s="141">
        <f t="shared" si="3"/>
        <v>-1204444.4735115594</v>
      </c>
      <c r="I33" s="26" t="s">
        <v>146</v>
      </c>
      <c r="J33" s="264">
        <f t="shared" si="1"/>
        <v>23</v>
      </c>
    </row>
    <row r="34" spans="1:10" ht="15.5" x14ac:dyDescent="0.35">
      <c r="A34" s="263">
        <f t="shared" si="0"/>
        <v>24</v>
      </c>
      <c r="B34" s="11"/>
      <c r="C34" s="399"/>
      <c r="D34" s="399"/>
      <c r="E34" s="399"/>
      <c r="F34" s="399"/>
      <c r="G34" s="399"/>
      <c r="H34" s="399"/>
      <c r="I34" s="405"/>
      <c r="J34" s="264">
        <f t="shared" si="1"/>
        <v>24</v>
      </c>
    </row>
    <row r="35" spans="1:10" ht="15.5" x14ac:dyDescent="0.35">
      <c r="A35" s="263">
        <f t="shared" si="0"/>
        <v>25</v>
      </c>
      <c r="B35" s="11" t="s">
        <v>134</v>
      </c>
      <c r="C35" s="44">
        <f>C13*C$28</f>
        <v>-524622.07815302513</v>
      </c>
      <c r="D35" s="44">
        <f t="shared" ref="D35:H35" si="4">D13*D$28</f>
        <v>-507749.33387579786</v>
      </c>
      <c r="E35" s="44">
        <f t="shared" si="4"/>
        <v>-494590.04272886342</v>
      </c>
      <c r="F35" s="44">
        <f t="shared" si="4"/>
        <v>-499610.91691788199</v>
      </c>
      <c r="G35" s="44">
        <f t="shared" si="4"/>
        <v>-495226.84435286972</v>
      </c>
      <c r="H35" s="44">
        <f t="shared" si="4"/>
        <v>-530103.41414690763</v>
      </c>
      <c r="I35" s="26" t="s">
        <v>147</v>
      </c>
      <c r="J35" s="264">
        <f t="shared" si="1"/>
        <v>25</v>
      </c>
    </row>
    <row r="36" spans="1:10" ht="15.5" x14ac:dyDescent="0.35">
      <c r="A36" s="263">
        <f t="shared" si="0"/>
        <v>26</v>
      </c>
      <c r="B36" s="386"/>
      <c r="C36" s="394"/>
      <c r="D36" s="394"/>
      <c r="E36" s="394"/>
      <c r="F36" s="394"/>
      <c r="G36" s="394"/>
      <c r="H36" s="394"/>
      <c r="I36" s="26"/>
      <c r="J36" s="264">
        <f t="shared" si="1"/>
        <v>26</v>
      </c>
    </row>
    <row r="37" spans="1:10" ht="15.5" x14ac:dyDescent="0.35">
      <c r="A37" s="263">
        <f t="shared" si="0"/>
        <v>27</v>
      </c>
      <c r="B37" s="17" t="s">
        <v>99</v>
      </c>
      <c r="C37" s="44">
        <f>C15*C$28</f>
        <v>-2172099.5309867263</v>
      </c>
      <c r="D37" s="44">
        <f t="shared" ref="D37:H37" si="5">D15*D$28</f>
        <v>-2088813.9920486971</v>
      </c>
      <c r="E37" s="44">
        <f t="shared" si="5"/>
        <v>-2042594.8785075068</v>
      </c>
      <c r="F37" s="44">
        <f t="shared" si="5"/>
        <v>-2164776.1192463799</v>
      </c>
      <c r="G37" s="44">
        <f t="shared" si="5"/>
        <v>-2155658.3265715996</v>
      </c>
      <c r="H37" s="44">
        <f t="shared" si="5"/>
        <v>-2310528.8862661882</v>
      </c>
      <c r="I37" s="26" t="s">
        <v>148</v>
      </c>
      <c r="J37" s="264">
        <f t="shared" si="1"/>
        <v>27</v>
      </c>
    </row>
    <row r="38" spans="1:10" ht="15.5" x14ac:dyDescent="0.35">
      <c r="A38" s="263">
        <f t="shared" si="0"/>
        <v>28</v>
      </c>
      <c r="B38" s="11"/>
      <c r="C38" s="44"/>
      <c r="D38" s="44"/>
      <c r="E38" s="44"/>
      <c r="F38" s="44"/>
      <c r="G38" s="44"/>
      <c r="H38" s="44"/>
      <c r="I38" s="26"/>
      <c r="J38" s="264">
        <f t="shared" si="1"/>
        <v>28</v>
      </c>
    </row>
    <row r="39" spans="1:10" ht="15.5" x14ac:dyDescent="0.35">
      <c r="A39" s="263">
        <f t="shared" si="0"/>
        <v>29</v>
      </c>
      <c r="B39" s="11" t="s">
        <v>102</v>
      </c>
      <c r="C39" s="44">
        <f>C17*C$28</f>
        <v>-17171.334239337142</v>
      </c>
      <c r="D39" s="44">
        <f t="shared" ref="D39:H39" si="6">D17*D$28</f>
        <v>-23840.623593087039</v>
      </c>
      <c r="E39" s="44">
        <f t="shared" si="6"/>
        <v>-21070.236632663371</v>
      </c>
      <c r="F39" s="44">
        <f t="shared" si="6"/>
        <v>-24279.191915009484</v>
      </c>
      <c r="G39" s="44">
        <f t="shared" si="6"/>
        <v>-30829.323698779597</v>
      </c>
      <c r="H39" s="44">
        <f t="shared" si="6"/>
        <v>-33832.171109249866</v>
      </c>
      <c r="I39" s="26" t="s">
        <v>149</v>
      </c>
      <c r="J39" s="264">
        <f t="shared" si="1"/>
        <v>29</v>
      </c>
    </row>
    <row r="40" spans="1:10" ht="15.5" x14ac:dyDescent="0.35">
      <c r="A40" s="263">
        <f t="shared" si="0"/>
        <v>30</v>
      </c>
      <c r="B40" s="11"/>
      <c r="C40" s="44"/>
      <c r="D40" s="44"/>
      <c r="E40" s="44"/>
      <c r="F40" s="44"/>
      <c r="G40" s="44"/>
      <c r="H40" s="44"/>
      <c r="I40" s="26"/>
      <c r="J40" s="264">
        <f t="shared" si="1"/>
        <v>30</v>
      </c>
    </row>
    <row r="41" spans="1:10" ht="15.5" x14ac:dyDescent="0.35">
      <c r="A41" s="263">
        <f t="shared" si="0"/>
        <v>31</v>
      </c>
      <c r="B41" s="11" t="s">
        <v>105</v>
      </c>
      <c r="C41" s="44">
        <f>C19*C$28</f>
        <v>-42095.97399679332</v>
      </c>
      <c r="D41" s="44">
        <f t="shared" ref="D41:H41" si="7">D19*D$28</f>
        <v>-44461.962687524217</v>
      </c>
      <c r="E41" s="44">
        <f t="shared" si="7"/>
        <v>-42271.759701981558</v>
      </c>
      <c r="F41" s="44">
        <f t="shared" si="7"/>
        <v>-48672.378086559373</v>
      </c>
      <c r="G41" s="44">
        <f t="shared" si="7"/>
        <v>-52746.675181899642</v>
      </c>
      <c r="H41" s="44">
        <f t="shared" si="7"/>
        <v>-57228.785998500651</v>
      </c>
      <c r="I41" s="26" t="s">
        <v>150</v>
      </c>
      <c r="J41" s="264">
        <f t="shared" si="1"/>
        <v>31</v>
      </c>
    </row>
    <row r="42" spans="1:10" ht="15.5" x14ac:dyDescent="0.35">
      <c r="A42" s="263">
        <f t="shared" si="0"/>
        <v>32</v>
      </c>
      <c r="B42" s="11"/>
      <c r="C42" s="44"/>
      <c r="D42" s="44"/>
      <c r="E42" s="44"/>
      <c r="F42" s="44"/>
      <c r="G42" s="44"/>
      <c r="H42" s="44"/>
      <c r="I42" s="26"/>
      <c r="J42" s="264">
        <f t="shared" si="1"/>
        <v>32</v>
      </c>
    </row>
    <row r="43" spans="1:10" ht="15.5" x14ac:dyDescent="0.35">
      <c r="A43" s="263">
        <f t="shared" si="0"/>
        <v>33</v>
      </c>
      <c r="B43" s="11" t="s">
        <v>139</v>
      </c>
      <c r="C43" s="51">
        <f>C21*C$28</f>
        <v>-18659.878512475956</v>
      </c>
      <c r="D43" s="51">
        <f t="shared" ref="D43:H43" si="8">D21*D$28</f>
        <v>-18623.198400220001</v>
      </c>
      <c r="E43" s="51">
        <f t="shared" si="8"/>
        <v>-18780.595959832459</v>
      </c>
      <c r="F43" s="51">
        <f t="shared" si="8"/>
        <v>-20027.925474786716</v>
      </c>
      <c r="G43" s="51">
        <f t="shared" si="8"/>
        <v>-18326.718653332849</v>
      </c>
      <c r="H43" s="51">
        <f t="shared" si="8"/>
        <v>-18391.231110375211</v>
      </c>
      <c r="I43" s="26" t="s">
        <v>151</v>
      </c>
      <c r="J43" s="264">
        <f t="shared" si="1"/>
        <v>33</v>
      </c>
    </row>
    <row r="44" spans="1:10" ht="15.5" x14ac:dyDescent="0.35">
      <c r="A44" s="263">
        <f t="shared" si="0"/>
        <v>34</v>
      </c>
      <c r="B44" s="11"/>
      <c r="C44" s="141"/>
      <c r="D44" s="141"/>
      <c r="E44" s="141"/>
      <c r="F44" s="141"/>
      <c r="G44" s="141"/>
      <c r="H44" s="141"/>
      <c r="I44" s="26"/>
      <c r="J44" s="264">
        <f t="shared" si="1"/>
        <v>34</v>
      </c>
    </row>
    <row r="45" spans="1:10" ht="16" thickBot="1" x14ac:dyDescent="0.4">
      <c r="A45" s="263">
        <f t="shared" si="0"/>
        <v>35</v>
      </c>
      <c r="B45" s="11" t="s">
        <v>124</v>
      </c>
      <c r="C45" s="513">
        <f>SUM(C33:C43)</f>
        <v>-4511412.1629424766</v>
      </c>
      <c r="D45" s="513">
        <f t="shared" ref="D45:H45" si="9">SUM(D33:D43)</f>
        <v>-4132020.3682249929</v>
      </c>
      <c r="E45" s="513">
        <f t="shared" si="9"/>
        <v>-3909063.566520324</v>
      </c>
      <c r="F45" s="513">
        <f t="shared" si="9"/>
        <v>-3891576.8384066508</v>
      </c>
      <c r="G45" s="513">
        <f t="shared" si="9"/>
        <v>-3842607.4771595304</v>
      </c>
      <c r="H45" s="513">
        <f t="shared" si="9"/>
        <v>-4154528.9621427814</v>
      </c>
      <c r="I45" s="406" t="s">
        <v>152</v>
      </c>
      <c r="J45" s="264">
        <f t="shared" si="1"/>
        <v>35</v>
      </c>
    </row>
    <row r="46" spans="1:10" ht="16.5" thickTop="1" thickBot="1" x14ac:dyDescent="0.4">
      <c r="A46" s="301"/>
      <c r="B46" s="81"/>
      <c r="C46" s="828"/>
      <c r="D46" s="58"/>
      <c r="E46" s="58"/>
      <c r="F46" s="58"/>
      <c r="G46" s="58"/>
      <c r="H46" s="58"/>
      <c r="I46" s="58"/>
      <c r="J46" s="407"/>
    </row>
    <row r="47" spans="1:10" ht="15.5" x14ac:dyDescent="0.35">
      <c r="A47" s="37"/>
      <c r="B47" s="391"/>
      <c r="C47" s="22"/>
      <c r="D47" s="22"/>
      <c r="E47" s="22"/>
      <c r="F47" s="22"/>
      <c r="G47" s="22"/>
      <c r="H47" s="22"/>
      <c r="I47" s="22"/>
      <c r="J47" s="22"/>
    </row>
    <row r="48" spans="1:10" ht="18.5" x14ac:dyDescent="0.35">
      <c r="A48" s="69"/>
      <c r="B48" s="22"/>
      <c r="C48" s="22"/>
      <c r="D48" s="22"/>
      <c r="E48" s="22"/>
      <c r="F48" s="22"/>
      <c r="G48" s="22"/>
      <c r="H48" s="22"/>
      <c r="I48" s="22"/>
      <c r="J48" s="22"/>
    </row>
    <row r="49" spans="1:10" ht="15.5" x14ac:dyDescent="0.35">
      <c r="A49" s="829"/>
      <c r="B49" s="22"/>
      <c r="C49" s="22"/>
      <c r="D49" s="22"/>
      <c r="E49" s="22"/>
      <c r="F49" s="22"/>
      <c r="G49" s="22"/>
      <c r="H49" s="22"/>
      <c r="I49" s="22"/>
      <c r="J49" s="22"/>
    </row>
    <row r="50" spans="1:10" ht="15.5" x14ac:dyDescent="0.35">
      <c r="A50" s="829"/>
      <c r="B50" s="22"/>
      <c r="C50" s="22"/>
      <c r="D50" s="22"/>
      <c r="E50" s="22"/>
      <c r="F50" s="22"/>
      <c r="G50" s="22"/>
      <c r="H50" s="22"/>
      <c r="I50" s="22"/>
      <c r="J50" s="22"/>
    </row>
    <row r="51" spans="1:10" ht="15.5" x14ac:dyDescent="0.35">
      <c r="A51" s="37"/>
      <c r="B51" s="22"/>
      <c r="C51" s="22"/>
      <c r="D51" s="22"/>
      <c r="E51" s="22"/>
      <c r="F51" s="22"/>
      <c r="G51" s="22"/>
      <c r="H51" s="22"/>
      <c r="I51" s="22"/>
      <c r="J51" s="22"/>
    </row>
    <row r="52" spans="1:10" ht="15.5" x14ac:dyDescent="0.35">
      <c r="A52" s="37"/>
      <c r="B52" s="22"/>
      <c r="C52" s="22"/>
      <c r="D52" s="22"/>
      <c r="E52" s="22"/>
      <c r="F52" s="22"/>
      <c r="G52" s="22"/>
      <c r="H52" s="22"/>
      <c r="I52" s="22"/>
      <c r="J52" s="22"/>
    </row>
    <row r="53" spans="1:10" ht="15.5" x14ac:dyDescent="0.35">
      <c r="A53" s="37"/>
      <c r="B53" s="22"/>
      <c r="C53" s="22"/>
      <c r="D53" s="22"/>
      <c r="E53" s="22"/>
      <c r="F53" s="22"/>
      <c r="G53" s="22"/>
      <c r="H53" s="22"/>
      <c r="I53" s="22"/>
      <c r="J53" s="22"/>
    </row>
    <row r="54" spans="1:10" ht="15.5" x14ac:dyDescent="0.35">
      <c r="A54" s="37"/>
      <c r="B54" s="22"/>
      <c r="C54" s="22"/>
      <c r="D54" s="22"/>
      <c r="E54" s="22"/>
      <c r="F54" s="22"/>
      <c r="G54" s="22"/>
      <c r="H54" s="22"/>
      <c r="I54" s="22"/>
      <c r="J54" s="22"/>
    </row>
    <row r="55" spans="1:10" ht="15.5" x14ac:dyDescent="0.35">
      <c r="A55" s="37"/>
      <c r="B55" s="22"/>
      <c r="C55" s="22"/>
      <c r="D55" s="22"/>
      <c r="E55" s="22"/>
      <c r="F55" s="22"/>
      <c r="G55" s="22"/>
      <c r="H55" s="22"/>
      <c r="I55" s="22"/>
      <c r="J55" s="22"/>
    </row>
    <row r="56" spans="1:10" ht="15.5" x14ac:dyDescent="0.35">
      <c r="A56" s="37"/>
      <c r="B56" s="22"/>
      <c r="C56" s="22"/>
      <c r="D56" s="22"/>
      <c r="E56" s="22"/>
      <c r="F56" s="22"/>
      <c r="G56" s="22"/>
      <c r="H56" s="22"/>
      <c r="I56" s="22"/>
      <c r="J56" s="22"/>
    </row>
    <row r="57" spans="1:10" ht="15.5" x14ac:dyDescent="0.35">
      <c r="A57" s="37"/>
      <c r="B57" s="22"/>
      <c r="C57" s="22"/>
      <c r="D57" s="22"/>
      <c r="E57" s="22"/>
      <c r="F57" s="22"/>
      <c r="G57" s="22"/>
      <c r="H57" s="22"/>
      <c r="I57" s="22"/>
      <c r="J57" s="22"/>
    </row>
    <row r="58" spans="1:10" ht="15.5" x14ac:dyDescent="0.35">
      <c r="A58" s="37"/>
      <c r="B58" s="22"/>
      <c r="C58" s="22"/>
      <c r="D58" s="22"/>
      <c r="E58" s="22"/>
      <c r="F58" s="22"/>
      <c r="G58" s="22"/>
      <c r="H58" s="22"/>
      <c r="I58" s="22"/>
      <c r="J58" s="22"/>
    </row>
    <row r="59" spans="1:10" ht="15.5" x14ac:dyDescent="0.35">
      <c r="A59" s="37"/>
      <c r="B59" s="22"/>
      <c r="C59" s="22"/>
      <c r="D59" s="22"/>
      <c r="E59" s="22"/>
      <c r="F59" s="22"/>
      <c r="G59" s="22"/>
      <c r="H59" s="22"/>
      <c r="I59" s="22"/>
      <c r="J59" s="22"/>
    </row>
    <row r="60" spans="1:10" ht="15.5" x14ac:dyDescent="0.35">
      <c r="A60" s="37"/>
      <c r="B60" s="22"/>
      <c r="C60" s="22"/>
      <c r="D60" s="22"/>
      <c r="E60" s="22"/>
      <c r="F60" s="22"/>
      <c r="G60" s="22"/>
      <c r="H60" s="22"/>
      <c r="I60" s="22"/>
      <c r="J60" s="22"/>
    </row>
    <row r="61" spans="1:10" ht="15.5" x14ac:dyDescent="0.35">
      <c r="A61" s="37"/>
      <c r="B61" s="22"/>
      <c r="C61" s="22"/>
      <c r="D61" s="22"/>
      <c r="E61" s="22"/>
      <c r="F61" s="22"/>
      <c r="G61" s="22"/>
      <c r="H61" s="22"/>
      <c r="I61" s="22"/>
      <c r="J61" s="22"/>
    </row>
    <row r="62" spans="1:10" ht="15.5" x14ac:dyDescent="0.35">
      <c r="A62" s="37"/>
      <c r="B62" s="22"/>
      <c r="C62" s="22"/>
      <c r="D62" s="22"/>
      <c r="E62" s="22"/>
      <c r="F62" s="22"/>
      <c r="G62" s="22"/>
      <c r="H62" s="22"/>
      <c r="I62" s="22"/>
      <c r="J62" s="22"/>
    </row>
    <row r="63" spans="1:10" ht="15.5" x14ac:dyDescent="0.35">
      <c r="A63" s="37"/>
      <c r="B63" s="22"/>
      <c r="C63" s="22"/>
      <c r="D63" s="22"/>
      <c r="E63" s="22"/>
      <c r="F63" s="22"/>
      <c r="G63" s="22"/>
      <c r="H63" s="22"/>
      <c r="I63" s="22"/>
      <c r="J63" s="22"/>
    </row>
    <row r="64" spans="1:10" ht="15.5" x14ac:dyDescent="0.35">
      <c r="A64" s="37"/>
      <c r="B64" s="22"/>
      <c r="C64" s="22"/>
      <c r="D64" s="22"/>
      <c r="E64" s="22"/>
      <c r="F64" s="22"/>
      <c r="G64" s="22"/>
      <c r="H64" s="22"/>
      <c r="I64" s="22"/>
      <c r="J64" s="22"/>
    </row>
    <row r="65" spans="1:10" ht="15.5" x14ac:dyDescent="0.35">
      <c r="A65" s="37"/>
      <c r="B65" s="22"/>
      <c r="C65" s="22"/>
      <c r="D65" s="22"/>
      <c r="E65" s="22"/>
      <c r="F65" s="22"/>
      <c r="G65" s="22"/>
      <c r="H65" s="22"/>
      <c r="I65" s="22"/>
      <c r="J65" s="22"/>
    </row>
    <row r="66" spans="1:10" ht="15.5" x14ac:dyDescent="0.35">
      <c r="A66" s="37"/>
      <c r="B66" s="22"/>
      <c r="C66" s="22"/>
      <c r="D66" s="22"/>
      <c r="E66" s="22"/>
      <c r="F66" s="22"/>
      <c r="G66" s="22"/>
      <c r="H66" s="22"/>
      <c r="I66" s="22"/>
      <c r="J66" s="22"/>
    </row>
    <row r="67" spans="1:10" ht="15.5" x14ac:dyDescent="0.35">
      <c r="A67" s="37"/>
      <c r="B67" s="22"/>
      <c r="C67" s="22"/>
      <c r="D67" s="22"/>
      <c r="E67" s="22"/>
      <c r="F67" s="22"/>
      <c r="G67" s="22"/>
      <c r="H67" s="22"/>
      <c r="I67" s="22"/>
      <c r="J67" s="22"/>
    </row>
    <row r="68" spans="1:10" ht="15.5" x14ac:dyDescent="0.35">
      <c r="A68" s="37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15.5" x14ac:dyDescent="0.35">
      <c r="A69" s="37"/>
      <c r="B69" s="22"/>
      <c r="C69" s="22"/>
      <c r="D69" s="22"/>
      <c r="E69" s="22"/>
      <c r="F69" s="22"/>
      <c r="G69" s="22"/>
      <c r="H69" s="22"/>
      <c r="I69" s="22"/>
      <c r="J69" s="22"/>
    </row>
    <row r="70" spans="1:10" ht="15.5" x14ac:dyDescent="0.35">
      <c r="A70" s="37"/>
      <c r="B70" s="22"/>
      <c r="C70" s="22"/>
      <c r="D70" s="22"/>
      <c r="E70" s="22"/>
      <c r="F70" s="22"/>
      <c r="G70" s="22"/>
      <c r="H70" s="22"/>
      <c r="I70" s="22"/>
      <c r="J70" s="22"/>
    </row>
    <row r="71" spans="1:10" ht="15.5" x14ac:dyDescent="0.35">
      <c r="A71" s="37"/>
      <c r="B71" s="22"/>
      <c r="C71" s="22"/>
      <c r="D71" s="22"/>
      <c r="E71" s="22"/>
      <c r="F71" s="22"/>
      <c r="G71" s="22"/>
      <c r="H71" s="22"/>
      <c r="I71" s="22"/>
      <c r="J71" s="22"/>
    </row>
    <row r="72" spans="1:10" ht="15.5" x14ac:dyDescent="0.35">
      <c r="A72" s="37"/>
      <c r="B72" s="22"/>
      <c r="C72" s="22"/>
      <c r="D72" s="22"/>
      <c r="E72" s="22"/>
      <c r="F72" s="22"/>
      <c r="G72" s="22"/>
      <c r="H72" s="22"/>
      <c r="I72" s="22"/>
      <c r="J72" s="22"/>
    </row>
    <row r="73" spans="1:10" ht="15.5" x14ac:dyDescent="0.35">
      <c r="A73" s="37"/>
      <c r="B73" s="22"/>
      <c r="C73" s="22"/>
      <c r="D73" s="22"/>
      <c r="E73" s="22"/>
      <c r="F73" s="22"/>
      <c r="G73" s="22"/>
      <c r="H73" s="22"/>
      <c r="I73" s="22"/>
      <c r="J73" s="22"/>
    </row>
    <row r="74" spans="1:10" ht="15.5" x14ac:dyDescent="0.35">
      <c r="A74" s="37"/>
      <c r="B74" s="22"/>
      <c r="C74" s="22"/>
      <c r="D74" s="22"/>
      <c r="E74" s="22"/>
      <c r="F74" s="22"/>
      <c r="G74" s="22"/>
      <c r="H74" s="22"/>
      <c r="I74" s="22"/>
      <c r="J74" s="22"/>
    </row>
    <row r="75" spans="1:10" ht="15.5" x14ac:dyDescent="0.35">
      <c r="A75" s="37"/>
      <c r="B75" s="22"/>
      <c r="C75" s="22"/>
      <c r="D75" s="22"/>
      <c r="E75" s="22"/>
      <c r="F75" s="22"/>
      <c r="G75" s="22"/>
      <c r="H75" s="22"/>
      <c r="I75" s="22"/>
      <c r="J75" s="22"/>
    </row>
    <row r="76" spans="1:10" ht="15.5" x14ac:dyDescent="0.35">
      <c r="A76" s="37"/>
      <c r="B76" s="22"/>
      <c r="C76" s="22"/>
      <c r="D76" s="22"/>
      <c r="E76" s="22"/>
      <c r="F76" s="22"/>
      <c r="G76" s="22"/>
      <c r="H76" s="22"/>
      <c r="I76" s="22"/>
      <c r="J76" s="22"/>
    </row>
    <row r="77" spans="1:10" ht="15.5" x14ac:dyDescent="0.35">
      <c r="A77" s="37"/>
      <c r="B77" s="22"/>
      <c r="C77" s="22"/>
      <c r="D77" s="22"/>
      <c r="E77" s="22"/>
      <c r="F77" s="22"/>
      <c r="G77" s="22"/>
      <c r="H77" s="22"/>
      <c r="I77" s="22"/>
      <c r="J77" s="22"/>
    </row>
    <row r="78" spans="1:10" ht="15.5" x14ac:dyDescent="0.35">
      <c r="A78" s="37"/>
      <c r="B78" s="22"/>
      <c r="C78" s="22"/>
      <c r="D78" s="22"/>
      <c r="E78" s="22"/>
      <c r="F78" s="22"/>
      <c r="G78" s="22"/>
      <c r="H78" s="22"/>
      <c r="I78" s="22"/>
      <c r="J78" s="22"/>
    </row>
    <row r="79" spans="1:10" x14ac:dyDescent="0.25">
      <c r="A79" s="829"/>
    </row>
    <row r="80" spans="1:10" x14ac:dyDescent="0.25">
      <c r="A80" s="829"/>
    </row>
    <row r="81" spans="1:1" x14ac:dyDescent="0.25">
      <c r="A81" s="829"/>
    </row>
    <row r="82" spans="1:1" x14ac:dyDescent="0.25">
      <c r="A82" s="829"/>
    </row>
    <row r="83" spans="1:1" x14ac:dyDescent="0.25">
      <c r="A83" s="829"/>
    </row>
    <row r="84" spans="1:1" x14ac:dyDescent="0.25">
      <c r="A84" s="829"/>
    </row>
    <row r="85" spans="1:1" x14ac:dyDescent="0.25">
      <c r="A85" s="829"/>
    </row>
    <row r="86" spans="1:1" x14ac:dyDescent="0.25">
      <c r="A86" s="829"/>
    </row>
    <row r="87" spans="1:1" x14ac:dyDescent="0.25">
      <c r="A87" s="829"/>
    </row>
    <row r="88" spans="1:1" x14ac:dyDescent="0.25">
      <c r="A88" s="829"/>
    </row>
    <row r="89" spans="1:1" x14ac:dyDescent="0.25">
      <c r="A89" s="829"/>
    </row>
    <row r="90" spans="1:1" x14ac:dyDescent="0.25">
      <c r="A90" s="829"/>
    </row>
    <row r="91" spans="1:1" x14ac:dyDescent="0.25">
      <c r="A91" s="829"/>
    </row>
    <row r="92" spans="1:1" x14ac:dyDescent="0.25">
      <c r="A92" s="829"/>
    </row>
    <row r="93" spans="1:1" x14ac:dyDescent="0.25">
      <c r="A93" s="829"/>
    </row>
    <row r="94" spans="1:1" x14ac:dyDescent="0.25">
      <c r="A94" s="829"/>
    </row>
    <row r="95" spans="1:1" x14ac:dyDescent="0.25">
      <c r="A95" s="829"/>
    </row>
    <row r="96" spans="1:1" x14ac:dyDescent="0.25">
      <c r="A96" s="829"/>
    </row>
    <row r="97" spans="1:1" x14ac:dyDescent="0.25">
      <c r="A97" s="829"/>
    </row>
    <row r="98" spans="1:1" x14ac:dyDescent="0.25">
      <c r="A98" s="829"/>
    </row>
    <row r="99" spans="1:1" x14ac:dyDescent="0.25">
      <c r="A99" s="829"/>
    </row>
    <row r="100" spans="1:1" x14ac:dyDescent="0.25">
      <c r="A100" s="829"/>
    </row>
    <row r="101" spans="1:1" x14ac:dyDescent="0.25">
      <c r="A101" s="829"/>
    </row>
    <row r="102" spans="1:1" x14ac:dyDescent="0.25">
      <c r="A102" s="829"/>
    </row>
    <row r="103" spans="1:1" x14ac:dyDescent="0.25">
      <c r="A103" s="829"/>
    </row>
    <row r="104" spans="1:1" x14ac:dyDescent="0.25">
      <c r="A104" s="829"/>
    </row>
    <row r="105" spans="1:1" x14ac:dyDescent="0.25">
      <c r="A105" s="829"/>
    </row>
    <row r="106" spans="1:1" x14ac:dyDescent="0.25">
      <c r="A106" s="829"/>
    </row>
    <row r="107" spans="1:1" x14ac:dyDescent="0.25">
      <c r="A107" s="829"/>
    </row>
    <row r="108" spans="1:1" x14ac:dyDescent="0.25">
      <c r="A108" s="829"/>
    </row>
    <row r="109" spans="1:1" x14ac:dyDescent="0.25">
      <c r="A109" s="829"/>
    </row>
    <row r="110" spans="1:1" x14ac:dyDescent="0.25">
      <c r="A110" s="829"/>
    </row>
    <row r="111" spans="1:1" x14ac:dyDescent="0.25">
      <c r="A111" s="829"/>
    </row>
    <row r="112" spans="1:1" x14ac:dyDescent="0.25">
      <c r="A112" s="829"/>
    </row>
    <row r="113" spans="1:1" x14ac:dyDescent="0.25">
      <c r="A113" s="829"/>
    </row>
    <row r="114" spans="1:1" x14ac:dyDescent="0.25">
      <c r="A114" s="829"/>
    </row>
    <row r="115" spans="1:1" x14ac:dyDescent="0.25">
      <c r="A115" s="829"/>
    </row>
    <row r="116" spans="1:1" x14ac:dyDescent="0.25">
      <c r="A116" s="829"/>
    </row>
    <row r="117" spans="1:1" x14ac:dyDescent="0.25">
      <c r="A117" s="829"/>
    </row>
    <row r="118" spans="1:1" x14ac:dyDescent="0.25">
      <c r="A118" s="829"/>
    </row>
    <row r="119" spans="1:1" x14ac:dyDescent="0.25">
      <c r="A119" s="829"/>
    </row>
    <row r="120" spans="1:1" x14ac:dyDescent="0.25">
      <c r="A120" s="829"/>
    </row>
    <row r="121" spans="1:1" x14ac:dyDescent="0.25">
      <c r="A121" s="829"/>
    </row>
    <row r="122" spans="1:1" x14ac:dyDescent="0.25">
      <c r="A122" s="829"/>
    </row>
  </sheetData>
  <mergeCells count="1">
    <mergeCell ref="A4:J4"/>
  </mergeCells>
  <printOptions horizontalCentered="1"/>
  <pageMargins left="0.25" right="0.25" top="0.5" bottom="0.5" header="0.25" footer="0.25"/>
  <pageSetup scale="71" orientation="landscape" r:id="rId1"/>
  <headerFooter scaleWithDoc="0" alignWithMargins="0">
    <oddFooter>&amp;L&amp;"Times New Roman,Regular"&amp;F&amp;C&amp;"Times New Roman,Regular"Page 3 of 4&amp;R&amp;"Times New Roman,Regular"&amp;A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K122"/>
  <sheetViews>
    <sheetView zoomScale="80" zoomScaleNormal="80" workbookViewId="0"/>
  </sheetViews>
  <sheetFormatPr defaultColWidth="9.1796875" defaultRowHeight="12.5" x14ac:dyDescent="0.25"/>
  <cols>
    <col min="1" max="1" width="5.54296875" style="243" customWidth="1"/>
    <col min="2" max="2" width="45.54296875" style="243" customWidth="1"/>
    <col min="3" max="8" width="15.54296875" style="243" customWidth="1"/>
    <col min="9" max="9" width="18.54296875" style="243" customWidth="1"/>
    <col min="10" max="10" width="40.54296875" style="243" customWidth="1"/>
    <col min="11" max="11" width="5.54296875" style="243" customWidth="1"/>
    <col min="12" max="16384" width="9.1796875" style="243"/>
  </cols>
  <sheetData>
    <row r="2" spans="1:11" ht="15.5" x14ac:dyDescent="0.25">
      <c r="A2" s="5" t="s">
        <v>80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15.5" x14ac:dyDescent="0.25">
      <c r="A3" s="5" t="s">
        <v>52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5.5" x14ac:dyDescent="0.25">
      <c r="A4" s="5" t="str">
        <f>'Stmt BG - Page 1'!A4</f>
        <v>Transmission Revenue Balancing Account Adjustment (TRBAA) Revenues Data to Reflect Changed Rates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5.5" x14ac:dyDescent="0.25">
      <c r="A5" s="419" t="str">
        <f>'Stmt BG - Page 1'!A6</f>
        <v>Rate Effective Period - Twelve Months Ending December 31, 2024</v>
      </c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1:11" ht="16" thickBot="1" x14ac:dyDescent="0.4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</row>
    <row r="7" spans="1:11" ht="15" x14ac:dyDescent="0.3">
      <c r="A7" s="75"/>
      <c r="B7" s="75"/>
      <c r="C7" s="573" t="s">
        <v>153</v>
      </c>
      <c r="D7" s="573" t="s">
        <v>154</v>
      </c>
      <c r="E7" s="573" t="s">
        <v>155</v>
      </c>
      <c r="F7" s="573" t="s">
        <v>156</v>
      </c>
      <c r="G7" s="573" t="s">
        <v>157</v>
      </c>
      <c r="H7" s="573" t="s">
        <v>158</v>
      </c>
      <c r="I7" s="573" t="s">
        <v>159</v>
      </c>
      <c r="J7" s="573" t="s">
        <v>160</v>
      </c>
      <c r="K7" s="75"/>
    </row>
    <row r="8" spans="1:11" ht="15" x14ac:dyDescent="0.3">
      <c r="A8" s="75" t="s">
        <v>8</v>
      </c>
      <c r="B8" s="75"/>
      <c r="C8" s="574">
        <f>'Stmt BG - Page 2'!C26</f>
        <v>45108</v>
      </c>
      <c r="D8" s="574">
        <f>'Stmt BG - Page 2'!D26</f>
        <v>45139</v>
      </c>
      <c r="E8" s="574">
        <f>'Stmt BG - Page 2'!E26</f>
        <v>45170</v>
      </c>
      <c r="F8" s="574">
        <f>'Stmt BG - Page 2'!F26</f>
        <v>45200</v>
      </c>
      <c r="G8" s="574">
        <f>'Stmt BG - Page 2'!G26</f>
        <v>45231</v>
      </c>
      <c r="H8" s="574">
        <f>'Stmt BG - Page 2'!H26</f>
        <v>45261</v>
      </c>
      <c r="I8" s="574" t="s">
        <v>18</v>
      </c>
      <c r="J8" s="568"/>
      <c r="K8" s="75" t="s">
        <v>8</v>
      </c>
    </row>
    <row r="9" spans="1:11" ht="15.5" thickBot="1" x14ac:dyDescent="0.35">
      <c r="A9" s="153" t="s">
        <v>11</v>
      </c>
      <c r="B9" s="153" t="s">
        <v>88</v>
      </c>
      <c r="C9" s="153" t="s">
        <v>132</v>
      </c>
      <c r="D9" s="153" t="s">
        <v>132</v>
      </c>
      <c r="E9" s="153" t="s">
        <v>132</v>
      </c>
      <c r="F9" s="153" t="s">
        <v>132</v>
      </c>
      <c r="G9" s="153" t="s">
        <v>132</v>
      </c>
      <c r="H9" s="153" t="s">
        <v>132</v>
      </c>
      <c r="I9" s="153" t="s">
        <v>132</v>
      </c>
      <c r="J9" s="153" t="s">
        <v>16</v>
      </c>
      <c r="K9" s="153" t="s">
        <v>11</v>
      </c>
    </row>
    <row r="10" spans="1:11" ht="15.5" x14ac:dyDescent="0.35">
      <c r="A10" s="10"/>
      <c r="B10" s="10"/>
      <c r="C10" s="74"/>
      <c r="D10" s="10"/>
      <c r="E10" s="10"/>
      <c r="F10" s="10"/>
      <c r="G10" s="10"/>
      <c r="H10" s="10"/>
      <c r="I10" s="10"/>
      <c r="J10" s="10"/>
      <c r="K10" s="10"/>
    </row>
    <row r="11" spans="1:11" ht="15.5" x14ac:dyDescent="0.35">
      <c r="A11" s="10">
        <v>1</v>
      </c>
      <c r="B11" s="11" t="s">
        <v>93</v>
      </c>
      <c r="C11" s="31">
        <f>'WP 1.2 Forecast Sales'!I6*1000</f>
        <v>525656342.60944217</v>
      </c>
      <c r="D11" s="31">
        <f>'WP 1.2 Forecast Sales'!J6*1000</f>
        <v>620628554.52142882</v>
      </c>
      <c r="E11" s="31">
        <f>'WP 1.2 Forecast Sales'!K6*1000</f>
        <v>656306604.67005837</v>
      </c>
      <c r="F11" s="31">
        <f>'WP 1.2 Forecast Sales'!L6*1000</f>
        <v>525369758.79172343</v>
      </c>
      <c r="G11" s="31">
        <f>'WP 1.2 Forecast Sales'!M6*1000</f>
        <v>464778383.15024245</v>
      </c>
      <c r="H11" s="31">
        <f>'WP 1.2 Forecast Sales'!N6*1000</f>
        <v>531636879.53145432</v>
      </c>
      <c r="I11" s="31">
        <f>SUM('Stmt BG - Page 3'!C11:H11)+SUM('Stmt BG - Page 4'!C11:H11)</f>
        <v>6059160276.4376373</v>
      </c>
      <c r="J11" s="400" t="s">
        <v>133</v>
      </c>
      <c r="K11" s="10">
        <v>1</v>
      </c>
    </row>
    <row r="12" spans="1:11" ht="15.5" x14ac:dyDescent="0.35">
      <c r="A12" s="10">
        <f>A11+1</f>
        <v>2</v>
      </c>
      <c r="B12" s="11"/>
      <c r="C12" s="399"/>
      <c r="D12" s="399"/>
      <c r="E12" s="399"/>
      <c r="F12" s="399"/>
      <c r="G12" s="399"/>
      <c r="H12" s="399"/>
      <c r="I12" s="399"/>
      <c r="J12" s="405"/>
      <c r="K12" s="10">
        <f>K11+1</f>
        <v>2</v>
      </c>
    </row>
    <row r="13" spans="1:11" ht="15.5" x14ac:dyDescent="0.35">
      <c r="A13" s="10">
        <f t="shared" ref="A13:A45" si="0">A12+1</f>
        <v>3</v>
      </c>
      <c r="B13" s="11" t="s">
        <v>134</v>
      </c>
      <c r="C13" s="31">
        <f>'WP 1.2 Forecast Sales'!I7*1000</f>
        <v>203198304.34812796</v>
      </c>
      <c r="D13" s="31">
        <f>'WP 1.2 Forecast Sales'!J7*1000</f>
        <v>213885654.47013554</v>
      </c>
      <c r="E13" s="31">
        <f>'WP 1.2 Forecast Sales'!K7*1000</f>
        <v>221965118.21144944</v>
      </c>
      <c r="F13" s="31">
        <f>'WP 1.2 Forecast Sales'!L7*1000</f>
        <v>200473013.37395006</v>
      </c>
      <c r="G13" s="31">
        <f>'WP 1.2 Forecast Sales'!M7*1000</f>
        <v>185572672.27053156</v>
      </c>
      <c r="H13" s="31">
        <f>'WP 1.2 Forecast Sales'!N7*1000</f>
        <v>182348362.92665175</v>
      </c>
      <c r="I13" s="31">
        <f>SUM('Stmt BG - Page 3'!C13:H13)+SUM('Stmt BG - Page 4'!C13:H13)</f>
        <v>2263464796.9417963</v>
      </c>
      <c r="J13" s="400" t="s">
        <v>135</v>
      </c>
      <c r="K13" s="10">
        <f t="shared" ref="K13:K45" si="1">K12+1</f>
        <v>3</v>
      </c>
    </row>
    <row r="14" spans="1:11" ht="15.5" x14ac:dyDescent="0.35">
      <c r="A14" s="10">
        <f t="shared" si="0"/>
        <v>4</v>
      </c>
      <c r="B14" s="386"/>
      <c r="C14" s="394"/>
      <c r="D14" s="394"/>
      <c r="E14" s="394"/>
      <c r="F14" s="394"/>
      <c r="G14" s="394"/>
      <c r="H14" s="394"/>
      <c r="I14" s="31"/>
      <c r="J14" s="408"/>
      <c r="K14" s="10">
        <f t="shared" si="1"/>
        <v>4</v>
      </c>
    </row>
    <row r="15" spans="1:11" ht="15.5" x14ac:dyDescent="0.35">
      <c r="A15" s="10">
        <f t="shared" si="0"/>
        <v>5</v>
      </c>
      <c r="B15" s="17" t="s">
        <v>99</v>
      </c>
      <c r="C15" s="31">
        <f>'WP 1.2 Forecast Sales'!I8*1000</f>
        <v>868622185.35209262</v>
      </c>
      <c r="D15" s="31">
        <f>'WP 1.2 Forecast Sales'!J8*1000</f>
        <v>899164503.50116861</v>
      </c>
      <c r="E15" s="31">
        <f>'WP 1.2 Forecast Sales'!K8*1000</f>
        <v>910364934.26935649</v>
      </c>
      <c r="F15" s="31">
        <f>'WP 1.2 Forecast Sales'!L8*1000</f>
        <v>841167651.61303461</v>
      </c>
      <c r="G15" s="31">
        <f>'WP 1.2 Forecast Sales'!M8*1000</f>
        <v>793347754.76550806</v>
      </c>
      <c r="H15" s="31">
        <f>'WP 1.2 Forecast Sales'!N8*1000</f>
        <v>755699480.84398079</v>
      </c>
      <c r="I15" s="31">
        <f>SUM('Stmt BG - Page 3'!C15:H15)+SUM('Stmt BG - Page 4'!C15:H15)</f>
        <v>9543962265.9254513</v>
      </c>
      <c r="J15" s="400" t="s">
        <v>136</v>
      </c>
      <c r="K15" s="10">
        <f t="shared" si="1"/>
        <v>5</v>
      </c>
    </row>
    <row r="16" spans="1:11" ht="15.5" x14ac:dyDescent="0.35">
      <c r="A16" s="10">
        <f t="shared" si="0"/>
        <v>6</v>
      </c>
      <c r="B16" s="11"/>
      <c r="C16" s="31"/>
      <c r="D16" s="31"/>
      <c r="E16" s="31"/>
      <c r="F16" s="31"/>
      <c r="G16" s="31"/>
      <c r="H16" s="31"/>
      <c r="I16" s="31"/>
      <c r="J16" s="34"/>
      <c r="K16" s="10">
        <f t="shared" si="1"/>
        <v>6</v>
      </c>
    </row>
    <row r="17" spans="1:11" ht="15.5" x14ac:dyDescent="0.35">
      <c r="A17" s="10">
        <f t="shared" si="0"/>
        <v>7</v>
      </c>
      <c r="B17" s="11" t="s">
        <v>102</v>
      </c>
      <c r="C17" s="31">
        <f>'WP 1.2 Forecast Sales'!I10*1000</f>
        <v>12604148.016855329</v>
      </c>
      <c r="D17" s="31">
        <f>'WP 1.2 Forecast Sales'!J10*1000</f>
        <v>12994441.56316285</v>
      </c>
      <c r="E17" s="31">
        <f>'WP 1.2 Forecast Sales'!K10*1000</f>
        <v>13239169.105003502</v>
      </c>
      <c r="F17" s="31">
        <f>'WP 1.2 Forecast Sales'!L10*1000</f>
        <v>11464926.458473155</v>
      </c>
      <c r="G17" s="31">
        <f>'WP 1.2 Forecast Sales'!M10*1000</f>
        <v>8767886.2154162787</v>
      </c>
      <c r="H17" s="31">
        <f>'WP 1.2 Forecast Sales'!N10*1000</f>
        <v>8434773.2657557912</v>
      </c>
      <c r="I17" s="31">
        <f>SUM('Stmt BG - Page 3'!C17:H17)+SUM('Stmt BG - Page 4'!C17:H17)</f>
        <v>119762396.93889752</v>
      </c>
      <c r="J17" s="400" t="s">
        <v>137</v>
      </c>
      <c r="K17" s="10">
        <f t="shared" si="1"/>
        <v>7</v>
      </c>
    </row>
    <row r="18" spans="1:11" ht="15.5" x14ac:dyDescent="0.35">
      <c r="A18" s="10">
        <f t="shared" si="0"/>
        <v>8</v>
      </c>
      <c r="B18" s="11"/>
      <c r="C18" s="31"/>
      <c r="D18" s="31"/>
      <c r="E18" s="31"/>
      <c r="F18" s="31"/>
      <c r="G18" s="31"/>
      <c r="H18" s="31"/>
      <c r="I18" s="31"/>
      <c r="J18" s="34"/>
      <c r="K18" s="10">
        <f t="shared" si="1"/>
        <v>8</v>
      </c>
    </row>
    <row r="19" spans="1:11" ht="15.5" x14ac:dyDescent="0.35">
      <c r="A19" s="10">
        <f t="shared" si="0"/>
        <v>9</v>
      </c>
      <c r="B19" s="11" t="s">
        <v>105</v>
      </c>
      <c r="C19" s="31">
        <f>'WP 1.2 Forecast Sales'!I11*1000</f>
        <v>22410225.208110835</v>
      </c>
      <c r="D19" s="31">
        <f>'WP 1.2 Forecast Sales'!J11*1000</f>
        <v>21856569.408463039</v>
      </c>
      <c r="E19" s="31">
        <f>'WP 1.2 Forecast Sales'!K11*1000</f>
        <v>22291279.209385034</v>
      </c>
      <c r="F19" s="31">
        <f>'WP 1.2 Forecast Sales'!L11*1000</f>
        <v>20085383.000222251</v>
      </c>
      <c r="G19" s="31">
        <f>'WP 1.2 Forecast Sales'!M11*1000</f>
        <v>18856389.9300525</v>
      </c>
      <c r="H19" s="31">
        <f>'WP 1.2 Forecast Sales'!N11*1000</f>
        <v>16967494.891915545</v>
      </c>
      <c r="I19" s="31">
        <f>SUM('Stmt BG - Page 3'!C19:H19)+SUM('Stmt BG - Page 4'!C19:H19)</f>
        <v>221940537.37592039</v>
      </c>
      <c r="J19" s="400" t="s">
        <v>138</v>
      </c>
      <c r="K19" s="10">
        <f t="shared" si="1"/>
        <v>9</v>
      </c>
    </row>
    <row r="20" spans="1:11" ht="15.5" x14ac:dyDescent="0.35">
      <c r="A20" s="10">
        <f t="shared" si="0"/>
        <v>10</v>
      </c>
      <c r="B20" s="11"/>
      <c r="C20" s="31"/>
      <c r="D20" s="31"/>
      <c r="E20" s="31"/>
      <c r="F20" s="31"/>
      <c r="G20" s="31"/>
      <c r="H20" s="31"/>
      <c r="I20" s="31"/>
      <c r="J20" s="34"/>
      <c r="K20" s="10">
        <f t="shared" si="1"/>
        <v>10</v>
      </c>
    </row>
    <row r="21" spans="1:11" ht="15.5" x14ac:dyDescent="0.35">
      <c r="A21" s="10">
        <f t="shared" si="0"/>
        <v>11</v>
      </c>
      <c r="B21" s="11" t="s">
        <v>139</v>
      </c>
      <c r="C21" s="38">
        <f>'WP 1.2 Forecast Sales'!I12*1000</f>
        <v>6440289.3659817632</v>
      </c>
      <c r="D21" s="38">
        <f>'WP 1.2 Forecast Sales'!J12*1000</f>
        <v>6262475.9203543803</v>
      </c>
      <c r="E21" s="38">
        <f>'WP 1.2 Forecast Sales'!K12*1000</f>
        <v>6518034.2895418704</v>
      </c>
      <c r="F21" s="38">
        <f>'WP 1.2 Forecast Sales'!L12*1000</f>
        <v>6381736.302839567</v>
      </c>
      <c r="G21" s="38">
        <f>'WP 1.2 Forecast Sales'!M12*1000</f>
        <v>6425383.2416884284</v>
      </c>
      <c r="H21" s="38">
        <f>'WP 1.2 Forecast Sales'!N12*1000</f>
        <v>6493207.1985863773</v>
      </c>
      <c r="I21" s="38">
        <f>SUM('Stmt BG - Page 3'!C21:H21)+SUM('Stmt BG - Page 4'!C21:H21)</f>
        <v>77555572.032149196</v>
      </c>
      <c r="J21" s="400" t="s">
        <v>140</v>
      </c>
      <c r="K21" s="10">
        <f t="shared" si="1"/>
        <v>11</v>
      </c>
    </row>
    <row r="22" spans="1:11" ht="15.5" x14ac:dyDescent="0.35">
      <c r="A22" s="10">
        <f t="shared" si="0"/>
        <v>12</v>
      </c>
      <c r="B22" s="11"/>
      <c r="C22" s="31"/>
      <c r="D22" s="31"/>
      <c r="E22" s="31"/>
      <c r="F22" s="31"/>
      <c r="G22" s="31"/>
      <c r="H22" s="31"/>
      <c r="I22" s="31"/>
      <c r="J22" s="405"/>
      <c r="K22" s="10">
        <f t="shared" si="1"/>
        <v>12</v>
      </c>
    </row>
    <row r="23" spans="1:11" ht="16" thickBot="1" x14ac:dyDescent="0.4">
      <c r="A23" s="10">
        <f t="shared" si="0"/>
        <v>13</v>
      </c>
      <c r="B23" s="11" t="s">
        <v>161</v>
      </c>
      <c r="C23" s="475">
        <f>SUM(C11:C21)</f>
        <v>1638931494.9006107</v>
      </c>
      <c r="D23" s="475">
        <f t="shared" ref="D23:I23" si="2">SUM(D11:D21)</f>
        <v>1774792199.3847132</v>
      </c>
      <c r="E23" s="475">
        <f t="shared" si="2"/>
        <v>1830685139.7547948</v>
      </c>
      <c r="F23" s="475">
        <f t="shared" si="2"/>
        <v>1604942469.5402429</v>
      </c>
      <c r="G23" s="475">
        <f t="shared" si="2"/>
        <v>1477748469.5734394</v>
      </c>
      <c r="H23" s="475">
        <f t="shared" si="2"/>
        <v>1501580198.6583447</v>
      </c>
      <c r="I23" s="475">
        <f t="shared" si="2"/>
        <v>18285845845.651852</v>
      </c>
      <c r="J23" s="400" t="s">
        <v>141</v>
      </c>
      <c r="K23" s="10">
        <f t="shared" si="1"/>
        <v>13</v>
      </c>
    </row>
    <row r="24" spans="1:11" ht="16.5" thickTop="1" thickBot="1" x14ac:dyDescent="0.4">
      <c r="A24" s="57">
        <f t="shared" si="0"/>
        <v>14</v>
      </c>
      <c r="B24" s="420"/>
      <c r="C24" s="828"/>
      <c r="D24" s="58"/>
      <c r="E24" s="58"/>
      <c r="F24" s="58"/>
      <c r="G24" s="58"/>
      <c r="H24" s="58"/>
      <c r="I24" s="58"/>
      <c r="J24" s="58"/>
      <c r="K24" s="57">
        <f t="shared" si="1"/>
        <v>14</v>
      </c>
    </row>
    <row r="25" spans="1:11" ht="15.5" x14ac:dyDescent="0.35">
      <c r="A25" s="10">
        <f t="shared" si="0"/>
        <v>15</v>
      </c>
      <c r="B25" s="421"/>
      <c r="C25" s="409"/>
      <c r="D25" s="409"/>
      <c r="E25" s="409"/>
      <c r="F25" s="409"/>
      <c r="G25" s="409"/>
      <c r="H25" s="409"/>
      <c r="I25" s="409"/>
      <c r="J25" s="409"/>
      <c r="K25" s="10">
        <f t="shared" si="1"/>
        <v>15</v>
      </c>
    </row>
    <row r="26" spans="1:11" ht="16" thickBot="1" x14ac:dyDescent="0.4">
      <c r="A26" s="57">
        <f>A25+1</f>
        <v>16</v>
      </c>
      <c r="B26" s="420"/>
      <c r="C26" s="57" t="s">
        <v>142</v>
      </c>
      <c r="D26" s="57" t="s">
        <v>142</v>
      </c>
      <c r="E26" s="57" t="s">
        <v>142</v>
      </c>
      <c r="F26" s="57" t="s">
        <v>142</v>
      </c>
      <c r="G26" s="57" t="s">
        <v>142</v>
      </c>
      <c r="H26" s="57" t="s">
        <v>142</v>
      </c>
      <c r="I26" s="57"/>
      <c r="J26" s="57"/>
      <c r="K26" s="57">
        <f>K25+1</f>
        <v>16</v>
      </c>
    </row>
    <row r="27" spans="1:11" ht="15.5" x14ac:dyDescent="0.35">
      <c r="A27" s="10">
        <f t="shared" si="0"/>
        <v>17</v>
      </c>
      <c r="B27" s="11"/>
      <c r="C27" s="75"/>
      <c r="D27" s="10"/>
      <c r="E27" s="10"/>
      <c r="F27" s="10"/>
      <c r="G27" s="10"/>
      <c r="H27" s="10"/>
      <c r="I27" s="10"/>
      <c r="J27" s="10"/>
      <c r="K27" s="10">
        <f t="shared" si="1"/>
        <v>17</v>
      </c>
    </row>
    <row r="28" spans="1:11" ht="15.5" x14ac:dyDescent="0.35">
      <c r="A28" s="10">
        <f t="shared" si="0"/>
        <v>18</v>
      </c>
      <c r="B28" s="11" t="str">
        <f>'Stmt BG - Page 3'!B28</f>
        <v>Retail TRBAA Rate ($/kWh) @ Changed Rate</v>
      </c>
      <c r="C28" s="385">
        <f>'Stmt BG - Page 3'!C28</f>
        <v>-2.8900000000000002E-3</v>
      </c>
      <c r="D28" s="385">
        <f>$C28</f>
        <v>-2.8900000000000002E-3</v>
      </c>
      <c r="E28" s="385">
        <f>$C28</f>
        <v>-2.8900000000000002E-3</v>
      </c>
      <c r="F28" s="385">
        <f>$C28</f>
        <v>-2.8900000000000002E-3</v>
      </c>
      <c r="G28" s="385">
        <f>$C28</f>
        <v>-2.8900000000000002E-3</v>
      </c>
      <c r="H28" s="385">
        <f>$C28</f>
        <v>-2.8900000000000002E-3</v>
      </c>
      <c r="I28" s="31"/>
      <c r="J28" s="403" t="str">
        <f>'Stmt BG - Page 3'!I28</f>
        <v>Statement BL (Retail); Page 1; Line 27</v>
      </c>
      <c r="K28" s="10">
        <f t="shared" si="1"/>
        <v>18</v>
      </c>
    </row>
    <row r="29" spans="1:11" ht="16" thickBot="1" x14ac:dyDescent="0.4">
      <c r="A29" s="57">
        <f>A28+1</f>
        <v>19</v>
      </c>
      <c r="B29" s="420"/>
      <c r="C29" s="58"/>
      <c r="D29" s="58"/>
      <c r="E29" s="58"/>
      <c r="F29" s="58"/>
      <c r="G29" s="58"/>
      <c r="H29" s="58"/>
      <c r="I29" s="58"/>
      <c r="J29" s="58"/>
      <c r="K29" s="57">
        <f>K28+1</f>
        <v>19</v>
      </c>
    </row>
    <row r="30" spans="1:11" ht="15.5" x14ac:dyDescent="0.35">
      <c r="A30" s="10">
        <f t="shared" si="0"/>
        <v>20</v>
      </c>
      <c r="B30" s="11"/>
      <c r="C30" s="17"/>
      <c r="D30" s="17"/>
      <c r="E30" s="17"/>
      <c r="F30" s="17"/>
      <c r="G30" s="17"/>
      <c r="H30" s="17"/>
      <c r="I30" s="17"/>
      <c r="J30" s="17"/>
      <c r="K30" s="10">
        <f t="shared" si="1"/>
        <v>20</v>
      </c>
    </row>
    <row r="31" spans="1:11" ht="34.5" customHeight="1" thickBot="1" x14ac:dyDescent="0.4">
      <c r="A31" s="57">
        <f t="shared" si="0"/>
        <v>21</v>
      </c>
      <c r="B31" s="420"/>
      <c r="C31" s="404" t="s">
        <v>145</v>
      </c>
      <c r="D31" s="404" t="s">
        <v>145</v>
      </c>
      <c r="E31" s="404" t="s">
        <v>145</v>
      </c>
      <c r="F31" s="404" t="s">
        <v>145</v>
      </c>
      <c r="G31" s="404" t="s">
        <v>145</v>
      </c>
      <c r="H31" s="404" t="s">
        <v>145</v>
      </c>
      <c r="I31" s="404" t="s">
        <v>145</v>
      </c>
      <c r="J31" s="57"/>
      <c r="K31" s="57">
        <f t="shared" si="1"/>
        <v>21</v>
      </c>
    </row>
    <row r="32" spans="1:11" ht="15.5" x14ac:dyDescent="0.35">
      <c r="A32" s="10">
        <f t="shared" si="0"/>
        <v>22</v>
      </c>
      <c r="B32" s="11"/>
      <c r="C32" s="10"/>
      <c r="D32" s="10"/>
      <c r="E32" s="10"/>
      <c r="F32" s="10"/>
      <c r="G32" s="10"/>
      <c r="H32" s="10"/>
      <c r="I32" s="10"/>
      <c r="J32" s="74"/>
      <c r="K32" s="10">
        <f t="shared" si="1"/>
        <v>22</v>
      </c>
    </row>
    <row r="33" spans="1:11" ht="15.5" x14ac:dyDescent="0.35">
      <c r="A33" s="10">
        <f t="shared" si="0"/>
        <v>23</v>
      </c>
      <c r="B33" s="11" t="s">
        <v>93</v>
      </c>
      <c r="C33" s="141">
        <f>C11*C$28</f>
        <v>-1519146.830141288</v>
      </c>
      <c r="D33" s="141">
        <f t="shared" ref="D33:H33" si="3">D11*D$28</f>
        <v>-1793616.5225669295</v>
      </c>
      <c r="E33" s="141">
        <f t="shared" si="3"/>
        <v>-1896726.0874964688</v>
      </c>
      <c r="F33" s="141">
        <f t="shared" si="3"/>
        <v>-1518318.6029080809</v>
      </c>
      <c r="G33" s="141">
        <f t="shared" si="3"/>
        <v>-1343209.5273042007</v>
      </c>
      <c r="H33" s="141">
        <f t="shared" si="3"/>
        <v>-1536430.5818459031</v>
      </c>
      <c r="I33" s="141">
        <f>SUM('Stmt BG - Page 3'!C33:H33)+SUM('Stmt BG - Page 4'!C33:H33)</f>
        <v>-17510973.198904775</v>
      </c>
      <c r="J33" s="26" t="s">
        <v>146</v>
      </c>
      <c r="K33" s="10">
        <f t="shared" si="1"/>
        <v>23</v>
      </c>
    </row>
    <row r="34" spans="1:11" ht="15.5" x14ac:dyDescent="0.35">
      <c r="A34" s="10">
        <f t="shared" si="0"/>
        <v>24</v>
      </c>
      <c r="B34" s="11"/>
      <c r="C34" s="399"/>
      <c r="D34" s="399"/>
      <c r="E34" s="399"/>
      <c r="F34" s="399"/>
      <c r="G34" s="399"/>
      <c r="H34" s="399"/>
      <c r="I34" s="399"/>
      <c r="J34" s="405"/>
      <c r="K34" s="10">
        <f t="shared" si="1"/>
        <v>24</v>
      </c>
    </row>
    <row r="35" spans="1:11" ht="15.5" x14ac:dyDescent="0.35">
      <c r="A35" s="10">
        <f t="shared" si="0"/>
        <v>25</v>
      </c>
      <c r="B35" s="11" t="s">
        <v>134</v>
      </c>
      <c r="C35" s="44">
        <f>C13*C$28</f>
        <v>-587243.0995660898</v>
      </c>
      <c r="D35" s="44">
        <f t="shared" ref="D35:H35" si="4">D13*D$28</f>
        <v>-618129.54141869175</v>
      </c>
      <c r="E35" s="44">
        <f t="shared" si="4"/>
        <v>-641479.19163108896</v>
      </c>
      <c r="F35" s="44">
        <f t="shared" si="4"/>
        <v>-579367.0086507157</v>
      </c>
      <c r="G35" s="44">
        <f t="shared" si="4"/>
        <v>-536305.02286183625</v>
      </c>
      <c r="H35" s="44">
        <f t="shared" si="4"/>
        <v>-526986.76885802357</v>
      </c>
      <c r="I35" s="44">
        <f>SUM('Stmt BG - Page 3'!C35:H35)+SUM('Stmt BG - Page 4'!C35:H35)</f>
        <v>-6541413.2631617915</v>
      </c>
      <c r="J35" s="26" t="s">
        <v>147</v>
      </c>
      <c r="K35" s="10">
        <f t="shared" si="1"/>
        <v>25</v>
      </c>
    </row>
    <row r="36" spans="1:11" ht="15.5" x14ac:dyDescent="0.35">
      <c r="A36" s="10">
        <f t="shared" si="0"/>
        <v>26</v>
      </c>
      <c r="B36" s="386"/>
      <c r="C36" s="394"/>
      <c r="D36" s="394"/>
      <c r="E36" s="394"/>
      <c r="F36" s="394"/>
      <c r="G36" s="394"/>
      <c r="H36" s="394"/>
      <c r="I36" s="44"/>
      <c r="J36" s="26"/>
      <c r="K36" s="10">
        <f t="shared" si="1"/>
        <v>26</v>
      </c>
    </row>
    <row r="37" spans="1:11" ht="15.5" x14ac:dyDescent="0.35">
      <c r="A37" s="10">
        <f t="shared" si="0"/>
        <v>27</v>
      </c>
      <c r="B37" s="17" t="s">
        <v>99</v>
      </c>
      <c r="C37" s="44">
        <f>C15*C$28</f>
        <v>-2510318.115667548</v>
      </c>
      <c r="D37" s="44">
        <f t="shared" ref="D37:H37" si="5">D15*D$28</f>
        <v>-2598585.4151183777</v>
      </c>
      <c r="E37" s="44">
        <f t="shared" si="5"/>
        <v>-2630954.6600384405</v>
      </c>
      <c r="F37" s="44">
        <f t="shared" si="5"/>
        <v>-2430974.5131616704</v>
      </c>
      <c r="G37" s="44">
        <f t="shared" si="5"/>
        <v>-2292775.0112723187</v>
      </c>
      <c r="H37" s="44">
        <f t="shared" si="5"/>
        <v>-2183971.4996391046</v>
      </c>
      <c r="I37" s="44">
        <f>SUM('Stmt BG - Page 3'!C37:H37)+SUM('Stmt BG - Page 4'!C37:H37)</f>
        <v>-27582050.948524557</v>
      </c>
      <c r="J37" s="26" t="s">
        <v>148</v>
      </c>
      <c r="K37" s="10">
        <f t="shared" si="1"/>
        <v>27</v>
      </c>
    </row>
    <row r="38" spans="1:11" ht="15.5" x14ac:dyDescent="0.35">
      <c r="A38" s="10">
        <f t="shared" si="0"/>
        <v>28</v>
      </c>
      <c r="B38" s="11"/>
      <c r="C38" s="44"/>
      <c r="D38" s="44"/>
      <c r="E38" s="44"/>
      <c r="F38" s="44"/>
      <c r="G38" s="44"/>
      <c r="H38" s="44"/>
      <c r="I38" s="44"/>
      <c r="J38" s="26"/>
      <c r="K38" s="10">
        <f t="shared" si="1"/>
        <v>28</v>
      </c>
    </row>
    <row r="39" spans="1:11" ht="15.5" x14ac:dyDescent="0.35">
      <c r="A39" s="10">
        <f t="shared" si="0"/>
        <v>29</v>
      </c>
      <c r="B39" s="11" t="s">
        <v>102</v>
      </c>
      <c r="C39" s="44">
        <f>C17*C$28</f>
        <v>-36425.987768711908</v>
      </c>
      <c r="D39" s="44">
        <f t="shared" ref="D39:H39" si="6">D17*D$28</f>
        <v>-37553.936117540637</v>
      </c>
      <c r="E39" s="44">
        <f t="shared" si="6"/>
        <v>-38261.198713460122</v>
      </c>
      <c r="F39" s="44">
        <f t="shared" si="6"/>
        <v>-33133.63746498742</v>
      </c>
      <c r="G39" s="44">
        <f t="shared" si="6"/>
        <v>-25339.191162553048</v>
      </c>
      <c r="H39" s="44">
        <f t="shared" si="6"/>
        <v>-24376.494738034238</v>
      </c>
      <c r="I39" s="44">
        <f>SUM('Stmt BG - Page 3'!C39:H39)+SUM('Stmt BG - Page 4'!C39:H39)</f>
        <v>-346113.32715341391</v>
      </c>
      <c r="J39" s="26" t="s">
        <v>149</v>
      </c>
      <c r="K39" s="10">
        <f t="shared" si="1"/>
        <v>29</v>
      </c>
    </row>
    <row r="40" spans="1:11" ht="15.5" x14ac:dyDescent="0.35">
      <c r="A40" s="10">
        <f t="shared" si="0"/>
        <v>30</v>
      </c>
      <c r="B40" s="11"/>
      <c r="C40" s="44"/>
      <c r="D40" s="44"/>
      <c r="E40" s="44"/>
      <c r="F40" s="44"/>
      <c r="G40" s="44"/>
      <c r="H40" s="44"/>
      <c r="I40" s="44"/>
      <c r="J40" s="26"/>
      <c r="K40" s="10">
        <f t="shared" si="1"/>
        <v>30</v>
      </c>
    </row>
    <row r="41" spans="1:11" ht="15.5" x14ac:dyDescent="0.35">
      <c r="A41" s="10">
        <f t="shared" si="0"/>
        <v>31</v>
      </c>
      <c r="B41" s="11" t="s">
        <v>105</v>
      </c>
      <c r="C41" s="44">
        <f>C19*C$28</f>
        <v>-64765.550851440319</v>
      </c>
      <c r="D41" s="44">
        <f t="shared" ref="D41:H41" si="7">D19*D$28</f>
        <v>-63165.485590458185</v>
      </c>
      <c r="E41" s="44">
        <f t="shared" si="7"/>
        <v>-64421.796915122752</v>
      </c>
      <c r="F41" s="44">
        <f t="shared" si="7"/>
        <v>-58046.756870642312</v>
      </c>
      <c r="G41" s="44">
        <f t="shared" si="7"/>
        <v>-54494.966897851729</v>
      </c>
      <c r="H41" s="44">
        <f t="shared" si="7"/>
        <v>-49036.060237635931</v>
      </c>
      <c r="I41" s="44">
        <f>SUM('Stmt BG - Page 3'!C41:H41)+SUM('Stmt BG - Page 4'!C41:H41)</f>
        <v>-641408.15301640995</v>
      </c>
      <c r="J41" s="26" t="s">
        <v>150</v>
      </c>
      <c r="K41" s="10">
        <f t="shared" si="1"/>
        <v>31</v>
      </c>
    </row>
    <row r="42" spans="1:11" ht="15.5" x14ac:dyDescent="0.35">
      <c r="A42" s="10">
        <f t="shared" si="0"/>
        <v>32</v>
      </c>
      <c r="B42" s="11"/>
      <c r="C42" s="44"/>
      <c r="D42" s="44"/>
      <c r="E42" s="44"/>
      <c r="F42" s="44"/>
      <c r="G42" s="44"/>
      <c r="H42" s="44"/>
      <c r="I42" s="44"/>
      <c r="J42" s="26"/>
      <c r="K42" s="10">
        <f t="shared" si="1"/>
        <v>32</v>
      </c>
    </row>
    <row r="43" spans="1:11" ht="15.5" x14ac:dyDescent="0.35">
      <c r="A43" s="10">
        <f t="shared" si="0"/>
        <v>33</v>
      </c>
      <c r="B43" s="11" t="s">
        <v>139</v>
      </c>
      <c r="C43" s="51">
        <f>C21*C$28</f>
        <v>-18612.436267687299</v>
      </c>
      <c r="D43" s="51">
        <f t="shared" ref="D43:H43" si="8">D21*D$28</f>
        <v>-18098.555409824159</v>
      </c>
      <c r="E43" s="51">
        <f t="shared" si="8"/>
        <v>-18837.119096776005</v>
      </c>
      <c r="F43" s="51">
        <f t="shared" si="8"/>
        <v>-18443.217915206351</v>
      </c>
      <c r="G43" s="51">
        <f t="shared" si="8"/>
        <v>-18569.357568479558</v>
      </c>
      <c r="H43" s="51">
        <f t="shared" si="8"/>
        <v>-18765.368803914633</v>
      </c>
      <c r="I43" s="44">
        <f>SUM('Stmt BG - Page 3'!C43:H43)+SUM('Stmt BG - Page 4'!C43:H43)</f>
        <v>-224135.60317291121</v>
      </c>
      <c r="J43" s="26" t="s">
        <v>151</v>
      </c>
      <c r="K43" s="10">
        <f t="shared" si="1"/>
        <v>33</v>
      </c>
    </row>
    <row r="44" spans="1:11" ht="15.5" x14ac:dyDescent="0.35">
      <c r="A44" s="10">
        <f t="shared" si="0"/>
        <v>34</v>
      </c>
      <c r="B44" s="11"/>
      <c r="C44" s="476"/>
      <c r="D44" s="476"/>
      <c r="E44" s="476"/>
      <c r="F44" s="476"/>
      <c r="G44" s="476"/>
      <c r="H44" s="476"/>
      <c r="I44" s="476"/>
      <c r="J44" s="26"/>
      <c r="K44" s="10">
        <f t="shared" si="1"/>
        <v>34</v>
      </c>
    </row>
    <row r="45" spans="1:11" ht="15.5" x14ac:dyDescent="0.35">
      <c r="A45" s="10">
        <f t="shared" si="0"/>
        <v>35</v>
      </c>
      <c r="B45" s="11" t="s">
        <v>161</v>
      </c>
      <c r="C45" s="514">
        <f>SUM(C33:C43)</f>
        <v>-4736512.0202627648</v>
      </c>
      <c r="D45" s="514">
        <f t="shared" ref="D45:I45" si="9">SUM(D33:D43)</f>
        <v>-5129149.4562218226</v>
      </c>
      <c r="E45" s="514">
        <f t="shared" si="9"/>
        <v>-5290680.053891357</v>
      </c>
      <c r="F45" s="514">
        <f t="shared" si="9"/>
        <v>-4638283.7369713029</v>
      </c>
      <c r="G45" s="514">
        <f t="shared" si="9"/>
        <v>-4270693.0770672392</v>
      </c>
      <c r="H45" s="514">
        <f t="shared" si="9"/>
        <v>-4339566.7741226163</v>
      </c>
      <c r="I45" s="514">
        <f t="shared" si="9"/>
        <v>-52846094.493933864</v>
      </c>
      <c r="J45" s="406" t="s">
        <v>152</v>
      </c>
      <c r="K45" s="10">
        <f t="shared" si="1"/>
        <v>35</v>
      </c>
    </row>
    <row r="46" spans="1:11" ht="16" thickBot="1" x14ac:dyDescent="0.4">
      <c r="A46" s="57"/>
      <c r="B46" s="57"/>
      <c r="C46" s="828"/>
      <c r="D46" s="58"/>
      <c r="E46" s="58"/>
      <c r="F46" s="58"/>
      <c r="G46" s="58"/>
      <c r="H46" s="58"/>
      <c r="I46" s="58"/>
      <c r="J46" s="58"/>
      <c r="K46" s="57"/>
    </row>
    <row r="47" spans="1:11" ht="15.5" x14ac:dyDescent="0.35">
      <c r="A47" s="37"/>
      <c r="B47" s="391"/>
      <c r="C47" s="22"/>
      <c r="D47" s="22"/>
      <c r="E47" s="22"/>
      <c r="F47" s="22"/>
      <c r="G47" s="22"/>
      <c r="H47" s="22"/>
      <c r="I47" s="22"/>
      <c r="J47" s="22"/>
      <c r="K47" s="22"/>
    </row>
    <row r="48" spans="1:11" ht="18.5" x14ac:dyDescent="0.35">
      <c r="A48" s="69"/>
      <c r="B48" s="22"/>
      <c r="C48" s="22"/>
      <c r="D48" s="22"/>
      <c r="E48" s="22"/>
      <c r="F48" s="22"/>
      <c r="G48" s="22"/>
      <c r="H48" s="22"/>
      <c r="I48" s="22"/>
      <c r="J48" s="22"/>
      <c r="K48" s="22"/>
    </row>
    <row r="49" spans="1:11" ht="15.5" x14ac:dyDescent="0.35">
      <c r="A49" s="829"/>
      <c r="B49" s="22"/>
      <c r="C49" s="22"/>
      <c r="D49" s="22"/>
      <c r="E49" s="22"/>
      <c r="F49" s="22"/>
      <c r="G49" s="22"/>
      <c r="H49" s="22"/>
      <c r="I49" s="22"/>
      <c r="J49" s="22"/>
      <c r="K49" s="22"/>
    </row>
    <row r="50" spans="1:11" ht="15.5" x14ac:dyDescent="0.35">
      <c r="A50" s="829"/>
      <c r="B50" s="22"/>
      <c r="C50" s="22"/>
      <c r="D50" s="22"/>
      <c r="E50" s="22"/>
      <c r="F50" s="22"/>
      <c r="G50" s="22"/>
      <c r="H50" s="22"/>
      <c r="I50" s="22"/>
      <c r="J50" s="22"/>
      <c r="K50" s="22"/>
    </row>
    <row r="51" spans="1:11" ht="15.5" x14ac:dyDescent="0.35">
      <c r="A51" s="37"/>
      <c r="B51" s="22"/>
      <c r="C51" s="22"/>
      <c r="D51" s="22"/>
      <c r="E51" s="22"/>
      <c r="F51" s="22"/>
      <c r="G51" s="22"/>
      <c r="H51" s="22"/>
      <c r="I51" s="22"/>
      <c r="J51" s="22"/>
      <c r="K51" s="22"/>
    </row>
    <row r="52" spans="1:11" ht="15.5" x14ac:dyDescent="0.35">
      <c r="A52" s="37"/>
      <c r="B52" s="22"/>
      <c r="C52" s="22"/>
      <c r="D52" s="22"/>
      <c r="E52" s="22"/>
      <c r="F52" s="22"/>
      <c r="G52" s="22"/>
      <c r="H52" s="22"/>
      <c r="I52" s="22"/>
      <c r="J52" s="22"/>
      <c r="K52" s="22"/>
    </row>
    <row r="53" spans="1:11" ht="15.5" x14ac:dyDescent="0.35">
      <c r="A53" s="37"/>
      <c r="B53" s="22"/>
      <c r="C53" s="22"/>
      <c r="D53" s="22"/>
      <c r="E53" s="22"/>
      <c r="F53" s="22"/>
      <c r="G53" s="22"/>
      <c r="H53" s="22"/>
      <c r="I53" s="22"/>
      <c r="J53" s="22"/>
      <c r="K53" s="22"/>
    </row>
    <row r="54" spans="1:11" ht="15.5" x14ac:dyDescent="0.35">
      <c r="A54" s="37"/>
      <c r="B54" s="22"/>
      <c r="C54" s="22"/>
      <c r="D54" s="22"/>
      <c r="E54" s="22"/>
      <c r="F54" s="22"/>
      <c r="G54" s="22"/>
      <c r="H54" s="22"/>
      <c r="I54" s="22"/>
      <c r="J54" s="22"/>
      <c r="K54" s="22"/>
    </row>
    <row r="55" spans="1:11" ht="15.5" x14ac:dyDescent="0.35">
      <c r="A55" s="37"/>
      <c r="B55" s="22"/>
      <c r="C55" s="22"/>
      <c r="D55" s="22"/>
      <c r="E55" s="22"/>
      <c r="F55" s="22"/>
      <c r="G55" s="22"/>
      <c r="H55" s="22"/>
      <c r="I55" s="22"/>
      <c r="J55" s="22"/>
      <c r="K55" s="22"/>
    </row>
    <row r="56" spans="1:11" ht="15.5" x14ac:dyDescent="0.35">
      <c r="A56" s="37"/>
      <c r="B56" s="22"/>
      <c r="C56" s="22"/>
      <c r="D56" s="22"/>
      <c r="E56" s="22"/>
      <c r="F56" s="22"/>
      <c r="G56" s="22"/>
      <c r="H56" s="22"/>
      <c r="I56" s="22"/>
      <c r="J56" s="22"/>
      <c r="K56" s="22"/>
    </row>
    <row r="57" spans="1:11" ht="15.5" x14ac:dyDescent="0.35">
      <c r="A57" s="37"/>
      <c r="B57" s="22"/>
      <c r="C57" s="22"/>
      <c r="D57" s="22"/>
      <c r="E57" s="22"/>
      <c r="F57" s="22"/>
      <c r="G57" s="22"/>
      <c r="H57" s="22"/>
      <c r="I57" s="22"/>
      <c r="J57" s="22"/>
      <c r="K57" s="22"/>
    </row>
    <row r="58" spans="1:11" ht="15.5" x14ac:dyDescent="0.35">
      <c r="A58" s="37"/>
      <c r="B58" s="22"/>
      <c r="C58" s="22"/>
      <c r="D58" s="22"/>
      <c r="E58" s="22"/>
      <c r="F58" s="22"/>
      <c r="G58" s="22"/>
      <c r="H58" s="22"/>
      <c r="I58" s="22"/>
      <c r="J58" s="22"/>
      <c r="K58" s="22"/>
    </row>
    <row r="59" spans="1:11" ht="15.5" x14ac:dyDescent="0.35">
      <c r="A59" s="37"/>
      <c r="B59" s="22"/>
      <c r="C59" s="22"/>
      <c r="D59" s="22"/>
      <c r="E59" s="22"/>
      <c r="F59" s="22"/>
      <c r="G59" s="22"/>
      <c r="H59" s="22"/>
      <c r="I59" s="22"/>
      <c r="J59" s="22"/>
      <c r="K59" s="22"/>
    </row>
    <row r="60" spans="1:11" ht="15.5" x14ac:dyDescent="0.35">
      <c r="A60" s="37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 ht="15.5" x14ac:dyDescent="0.35">
      <c r="A61" s="37"/>
      <c r="B61" s="22"/>
      <c r="C61" s="22"/>
      <c r="D61" s="22"/>
      <c r="E61" s="22"/>
      <c r="F61" s="22"/>
      <c r="G61" s="22"/>
      <c r="H61" s="22"/>
      <c r="I61" s="22"/>
      <c r="J61" s="22"/>
      <c r="K61" s="22"/>
    </row>
    <row r="62" spans="1:11" ht="15.5" x14ac:dyDescent="0.35">
      <c r="A62" s="37"/>
      <c r="B62" s="22"/>
      <c r="C62" s="22"/>
      <c r="D62" s="22"/>
      <c r="E62" s="22"/>
      <c r="F62" s="22"/>
      <c r="G62" s="22"/>
      <c r="H62" s="22"/>
      <c r="I62" s="22"/>
      <c r="J62" s="22"/>
      <c r="K62" s="22"/>
    </row>
    <row r="63" spans="1:11" ht="15.5" x14ac:dyDescent="0.35">
      <c r="A63" s="37"/>
      <c r="B63" s="22"/>
      <c r="C63" s="22"/>
      <c r="D63" s="22"/>
      <c r="E63" s="22"/>
      <c r="F63" s="22"/>
      <c r="G63" s="22"/>
      <c r="H63" s="22"/>
      <c r="I63" s="22"/>
      <c r="J63" s="22"/>
      <c r="K63" s="22"/>
    </row>
    <row r="64" spans="1:11" ht="15.5" x14ac:dyDescent="0.35">
      <c r="A64" s="37"/>
      <c r="B64" s="22"/>
      <c r="C64" s="22"/>
      <c r="D64" s="22"/>
      <c r="E64" s="22"/>
      <c r="F64" s="22"/>
      <c r="G64" s="22"/>
      <c r="H64" s="22"/>
      <c r="I64" s="22"/>
      <c r="J64" s="22"/>
      <c r="K64" s="22"/>
    </row>
    <row r="65" spans="1:11" ht="15.5" x14ac:dyDescent="0.35">
      <c r="A65" s="37"/>
      <c r="B65" s="22"/>
      <c r="C65" s="22"/>
      <c r="D65" s="22"/>
      <c r="E65" s="22"/>
      <c r="F65" s="22"/>
      <c r="G65" s="22"/>
      <c r="H65" s="22"/>
      <c r="I65" s="22"/>
      <c r="J65" s="22"/>
      <c r="K65" s="22"/>
    </row>
    <row r="66" spans="1:11" ht="15.5" x14ac:dyDescent="0.35">
      <c r="A66" s="37"/>
      <c r="B66" s="22"/>
      <c r="C66" s="22"/>
      <c r="D66" s="22"/>
      <c r="E66" s="22"/>
      <c r="F66" s="22"/>
      <c r="G66" s="22"/>
      <c r="H66" s="22"/>
      <c r="I66" s="22"/>
      <c r="J66" s="22"/>
      <c r="K66" s="22"/>
    </row>
    <row r="67" spans="1:11" ht="15.5" x14ac:dyDescent="0.35">
      <c r="A67" s="37"/>
      <c r="B67" s="22"/>
      <c r="C67" s="22"/>
      <c r="D67" s="22"/>
      <c r="E67" s="22"/>
      <c r="F67" s="22"/>
      <c r="G67" s="22"/>
      <c r="H67" s="22"/>
      <c r="I67" s="22"/>
      <c r="J67" s="22"/>
      <c r="K67" s="22"/>
    </row>
    <row r="68" spans="1:11" ht="15.5" x14ac:dyDescent="0.35">
      <c r="A68" s="37"/>
      <c r="B68" s="22"/>
      <c r="C68" s="22"/>
      <c r="D68" s="22"/>
      <c r="E68" s="22"/>
      <c r="F68" s="22"/>
      <c r="G68" s="22"/>
      <c r="H68" s="22"/>
      <c r="I68" s="22"/>
      <c r="J68" s="22"/>
      <c r="K68" s="22"/>
    </row>
    <row r="69" spans="1:11" ht="15.5" x14ac:dyDescent="0.35">
      <c r="A69" s="37"/>
      <c r="B69" s="22"/>
      <c r="C69" s="22"/>
      <c r="D69" s="22"/>
      <c r="E69" s="22"/>
      <c r="F69" s="22"/>
      <c r="G69" s="22"/>
      <c r="H69" s="22"/>
      <c r="I69" s="22"/>
      <c r="J69" s="22"/>
      <c r="K69" s="22"/>
    </row>
    <row r="70" spans="1:11" ht="15.5" x14ac:dyDescent="0.35">
      <c r="A70" s="37"/>
      <c r="B70" s="22"/>
      <c r="C70" s="22"/>
      <c r="D70" s="22"/>
      <c r="E70" s="22"/>
      <c r="F70" s="22"/>
      <c r="G70" s="22"/>
      <c r="H70" s="22"/>
      <c r="I70" s="22"/>
      <c r="J70" s="22"/>
      <c r="K70" s="22"/>
    </row>
    <row r="71" spans="1:11" ht="15.5" x14ac:dyDescent="0.35">
      <c r="A71" s="37"/>
      <c r="B71" s="22"/>
      <c r="C71" s="22"/>
      <c r="D71" s="22"/>
      <c r="E71" s="22"/>
      <c r="F71" s="22"/>
      <c r="G71" s="22"/>
      <c r="H71" s="22"/>
      <c r="I71" s="22"/>
      <c r="J71" s="22"/>
      <c r="K71" s="22"/>
    </row>
    <row r="72" spans="1:11" ht="15.5" x14ac:dyDescent="0.35">
      <c r="A72" s="37"/>
      <c r="B72" s="22"/>
      <c r="C72" s="22"/>
      <c r="D72" s="22"/>
      <c r="E72" s="22"/>
      <c r="F72" s="22"/>
      <c r="G72" s="22"/>
      <c r="H72" s="22"/>
      <c r="I72" s="22"/>
      <c r="J72" s="22"/>
      <c r="K72" s="22"/>
    </row>
    <row r="73" spans="1:11" ht="15.5" x14ac:dyDescent="0.35">
      <c r="A73" s="37"/>
      <c r="B73" s="22"/>
      <c r="C73" s="22"/>
      <c r="D73" s="22"/>
      <c r="E73" s="22"/>
      <c r="F73" s="22"/>
      <c r="G73" s="22"/>
      <c r="H73" s="22"/>
      <c r="I73" s="22"/>
      <c r="J73" s="22"/>
      <c r="K73" s="22"/>
    </row>
    <row r="74" spans="1:11" ht="15.5" x14ac:dyDescent="0.35">
      <c r="A74" s="37"/>
      <c r="B74" s="22"/>
      <c r="C74" s="22"/>
      <c r="D74" s="22"/>
      <c r="E74" s="22"/>
      <c r="F74" s="22"/>
      <c r="G74" s="22"/>
      <c r="H74" s="22"/>
      <c r="I74" s="22"/>
      <c r="J74" s="22"/>
      <c r="K74" s="22"/>
    </row>
    <row r="75" spans="1:11" ht="15.5" x14ac:dyDescent="0.35">
      <c r="A75" s="37"/>
      <c r="B75" s="22"/>
      <c r="C75" s="22"/>
      <c r="D75" s="22"/>
      <c r="E75" s="22"/>
      <c r="F75" s="22"/>
      <c r="G75" s="22"/>
      <c r="H75" s="22"/>
      <c r="I75" s="22"/>
      <c r="J75" s="22"/>
      <c r="K75" s="22"/>
    </row>
    <row r="76" spans="1:11" ht="15.5" x14ac:dyDescent="0.35">
      <c r="A76" s="37"/>
      <c r="B76" s="22"/>
      <c r="C76" s="22"/>
      <c r="D76" s="22"/>
      <c r="E76" s="22"/>
      <c r="F76" s="22"/>
      <c r="G76" s="22"/>
      <c r="H76" s="22"/>
      <c r="I76" s="22"/>
      <c r="J76" s="22"/>
      <c r="K76" s="22"/>
    </row>
    <row r="77" spans="1:11" ht="15.5" x14ac:dyDescent="0.35">
      <c r="A77" s="37"/>
      <c r="B77" s="22"/>
      <c r="C77" s="22"/>
      <c r="D77" s="22"/>
      <c r="E77" s="22"/>
      <c r="F77" s="22"/>
      <c r="G77" s="22"/>
      <c r="H77" s="22"/>
      <c r="I77" s="22"/>
      <c r="J77" s="22"/>
      <c r="K77" s="22"/>
    </row>
    <row r="78" spans="1:11" ht="15.5" x14ac:dyDescent="0.35">
      <c r="A78" s="37"/>
      <c r="B78" s="22"/>
      <c r="C78" s="22"/>
      <c r="D78" s="22"/>
      <c r="E78" s="22"/>
      <c r="F78" s="22"/>
      <c r="G78" s="22"/>
      <c r="H78" s="22"/>
      <c r="I78" s="22"/>
      <c r="J78" s="22"/>
      <c r="K78" s="22"/>
    </row>
    <row r="79" spans="1:11" ht="15.5" x14ac:dyDescent="0.35">
      <c r="A79" s="37"/>
      <c r="B79" s="22"/>
      <c r="C79" s="22"/>
      <c r="D79" s="22"/>
      <c r="E79" s="22"/>
      <c r="F79" s="22"/>
      <c r="G79" s="22"/>
      <c r="H79" s="22"/>
      <c r="I79" s="22"/>
      <c r="J79" s="22"/>
      <c r="K79" s="22"/>
    </row>
    <row r="80" spans="1:11" ht="15.5" x14ac:dyDescent="0.35">
      <c r="A80" s="37"/>
      <c r="B80" s="22"/>
      <c r="C80" s="22"/>
      <c r="D80" s="22"/>
      <c r="E80" s="22"/>
      <c r="F80" s="22"/>
      <c r="G80" s="22"/>
      <c r="H80" s="22"/>
      <c r="I80" s="22"/>
      <c r="J80" s="22"/>
      <c r="K80" s="22"/>
    </row>
    <row r="81" spans="1:11" ht="15.5" x14ac:dyDescent="0.35">
      <c r="A81" s="37"/>
      <c r="B81" s="22"/>
      <c r="C81" s="22"/>
      <c r="D81" s="22"/>
      <c r="E81" s="22"/>
      <c r="F81" s="22"/>
      <c r="G81" s="22"/>
      <c r="H81" s="22"/>
      <c r="I81" s="22"/>
      <c r="J81" s="22"/>
      <c r="K81" s="22"/>
    </row>
    <row r="82" spans="1:11" ht="15.5" x14ac:dyDescent="0.35">
      <c r="A82" s="37"/>
      <c r="B82" s="22"/>
      <c r="C82" s="22"/>
      <c r="D82" s="22"/>
      <c r="E82" s="22"/>
      <c r="F82" s="22"/>
      <c r="G82" s="22"/>
      <c r="H82" s="22"/>
      <c r="I82" s="22"/>
      <c r="J82" s="22"/>
      <c r="K82" s="22"/>
    </row>
    <row r="83" spans="1:11" ht="15.5" x14ac:dyDescent="0.35">
      <c r="A83" s="37"/>
      <c r="B83" s="22"/>
      <c r="C83" s="22"/>
      <c r="D83" s="22"/>
      <c r="E83" s="22"/>
      <c r="F83" s="22"/>
      <c r="G83" s="22"/>
      <c r="H83" s="22"/>
      <c r="I83" s="22"/>
      <c r="J83" s="22"/>
      <c r="K83" s="22"/>
    </row>
    <row r="84" spans="1:11" ht="15.5" x14ac:dyDescent="0.35">
      <c r="A84" s="37"/>
      <c r="B84" s="22"/>
      <c r="C84" s="22"/>
      <c r="D84" s="22"/>
      <c r="E84" s="22"/>
      <c r="F84" s="22"/>
      <c r="G84" s="22"/>
      <c r="H84" s="22"/>
      <c r="I84" s="22"/>
      <c r="J84" s="22"/>
      <c r="K84" s="22"/>
    </row>
    <row r="85" spans="1:11" ht="15.5" x14ac:dyDescent="0.35">
      <c r="A85" s="37"/>
      <c r="B85" s="22"/>
      <c r="C85" s="22"/>
      <c r="D85" s="22"/>
      <c r="E85" s="22"/>
      <c r="F85" s="22"/>
      <c r="G85" s="22"/>
      <c r="H85" s="22"/>
      <c r="I85" s="22"/>
      <c r="J85" s="22"/>
      <c r="K85" s="22"/>
    </row>
    <row r="86" spans="1:11" ht="15.5" x14ac:dyDescent="0.35">
      <c r="A86" s="37"/>
      <c r="B86" s="22"/>
      <c r="C86" s="22"/>
      <c r="D86" s="22"/>
      <c r="E86" s="22"/>
      <c r="F86" s="22"/>
      <c r="G86" s="22"/>
      <c r="H86" s="22"/>
      <c r="I86" s="22"/>
      <c r="J86" s="22"/>
      <c r="K86" s="22"/>
    </row>
    <row r="87" spans="1:11" ht="15.5" x14ac:dyDescent="0.35">
      <c r="A87" s="37"/>
      <c r="B87" s="22"/>
      <c r="C87" s="22"/>
      <c r="D87" s="22"/>
      <c r="E87" s="22"/>
      <c r="F87" s="22"/>
      <c r="G87" s="22"/>
      <c r="H87" s="22"/>
      <c r="I87" s="22"/>
      <c r="J87" s="22"/>
      <c r="K87" s="22"/>
    </row>
    <row r="88" spans="1:11" ht="15.5" x14ac:dyDescent="0.35">
      <c r="A88" s="37"/>
      <c r="B88" s="22"/>
      <c r="C88" s="22"/>
      <c r="D88" s="22"/>
      <c r="E88" s="22"/>
      <c r="F88" s="22"/>
      <c r="G88" s="22"/>
      <c r="H88" s="22"/>
      <c r="I88" s="22"/>
      <c r="J88" s="22"/>
      <c r="K88" s="22"/>
    </row>
    <row r="89" spans="1:11" ht="15.5" x14ac:dyDescent="0.35">
      <c r="A89" s="37"/>
      <c r="B89" s="22"/>
      <c r="C89" s="22"/>
      <c r="D89" s="22"/>
      <c r="E89" s="22"/>
      <c r="F89" s="22"/>
      <c r="G89" s="22"/>
      <c r="H89" s="22"/>
      <c r="I89" s="22"/>
      <c r="J89" s="22"/>
      <c r="K89" s="22"/>
    </row>
    <row r="90" spans="1:11" ht="15.5" x14ac:dyDescent="0.35">
      <c r="A90" s="37"/>
      <c r="B90" s="22"/>
      <c r="C90" s="22"/>
      <c r="D90" s="22"/>
      <c r="E90" s="22"/>
      <c r="F90" s="22"/>
      <c r="G90" s="22"/>
      <c r="H90" s="22"/>
      <c r="I90" s="22"/>
      <c r="J90" s="22"/>
      <c r="K90" s="22"/>
    </row>
    <row r="91" spans="1:11" ht="15.5" x14ac:dyDescent="0.35">
      <c r="A91" s="37"/>
      <c r="B91" s="22"/>
      <c r="C91" s="22"/>
      <c r="D91" s="22"/>
      <c r="E91" s="22"/>
      <c r="F91" s="22"/>
      <c r="G91" s="22"/>
      <c r="H91" s="22"/>
      <c r="I91" s="22"/>
      <c r="J91" s="22"/>
      <c r="K91" s="22"/>
    </row>
    <row r="92" spans="1:11" ht="15.5" x14ac:dyDescent="0.35">
      <c r="A92" s="37"/>
      <c r="B92" s="22"/>
      <c r="C92" s="22"/>
      <c r="D92" s="22"/>
      <c r="E92" s="22"/>
      <c r="F92" s="22"/>
      <c r="G92" s="22"/>
      <c r="H92" s="22"/>
      <c r="I92" s="22"/>
      <c r="J92" s="22"/>
      <c r="K92" s="22"/>
    </row>
    <row r="93" spans="1:11" ht="15.5" x14ac:dyDescent="0.35">
      <c r="A93" s="37"/>
      <c r="B93" s="22"/>
      <c r="C93" s="22"/>
      <c r="D93" s="22"/>
      <c r="E93" s="22"/>
      <c r="F93" s="22"/>
      <c r="G93" s="22"/>
      <c r="H93" s="22"/>
      <c r="I93" s="22"/>
      <c r="J93" s="22"/>
      <c r="K93" s="22"/>
    </row>
    <row r="94" spans="1:11" ht="15.5" x14ac:dyDescent="0.35">
      <c r="A94" s="37"/>
      <c r="B94" s="22"/>
      <c r="C94" s="22"/>
      <c r="D94" s="22"/>
      <c r="E94" s="22"/>
      <c r="F94" s="22"/>
      <c r="G94" s="22"/>
      <c r="H94" s="22"/>
      <c r="I94" s="22"/>
      <c r="J94" s="22"/>
      <c r="K94" s="22"/>
    </row>
    <row r="95" spans="1:11" ht="15.5" x14ac:dyDescent="0.35">
      <c r="A95" s="37"/>
      <c r="B95" s="22"/>
      <c r="C95" s="22"/>
      <c r="D95" s="22"/>
      <c r="E95" s="22"/>
      <c r="F95" s="22"/>
      <c r="G95" s="22"/>
      <c r="H95" s="22"/>
      <c r="I95" s="22"/>
      <c r="J95" s="22"/>
      <c r="K95" s="22"/>
    </row>
    <row r="96" spans="1:11" ht="15.5" x14ac:dyDescent="0.35">
      <c r="A96" s="37"/>
      <c r="B96" s="22"/>
      <c r="C96" s="22"/>
      <c r="D96" s="22"/>
      <c r="E96" s="22"/>
      <c r="F96" s="22"/>
      <c r="G96" s="22"/>
      <c r="H96" s="22"/>
      <c r="I96" s="22"/>
      <c r="J96" s="22"/>
      <c r="K96" s="22"/>
    </row>
    <row r="97" spans="1:11" ht="15.5" x14ac:dyDescent="0.35">
      <c r="A97" s="37"/>
      <c r="B97" s="22"/>
      <c r="C97" s="22"/>
      <c r="D97" s="22"/>
      <c r="E97" s="22"/>
      <c r="F97" s="22"/>
      <c r="G97" s="22"/>
      <c r="H97" s="22"/>
      <c r="I97" s="22"/>
      <c r="J97" s="22"/>
      <c r="K97" s="22"/>
    </row>
    <row r="98" spans="1:11" ht="15.5" x14ac:dyDescent="0.35">
      <c r="A98" s="37"/>
      <c r="B98" s="22"/>
      <c r="C98" s="22"/>
      <c r="D98" s="22"/>
      <c r="E98" s="22"/>
      <c r="F98" s="22"/>
      <c r="G98" s="22"/>
      <c r="H98" s="22"/>
      <c r="I98" s="22"/>
      <c r="J98" s="22"/>
      <c r="K98" s="22"/>
    </row>
    <row r="99" spans="1:11" ht="15.5" x14ac:dyDescent="0.35">
      <c r="A99" s="37"/>
      <c r="B99" s="22"/>
      <c r="C99" s="22"/>
      <c r="D99" s="22"/>
      <c r="E99" s="22"/>
      <c r="F99" s="22"/>
      <c r="G99" s="22"/>
      <c r="H99" s="22"/>
      <c r="I99" s="22"/>
      <c r="J99" s="22"/>
      <c r="K99" s="22"/>
    </row>
    <row r="100" spans="1:11" ht="15.5" x14ac:dyDescent="0.35">
      <c r="A100" s="37"/>
      <c r="B100" s="22"/>
      <c r="C100" s="22"/>
      <c r="D100" s="22"/>
      <c r="E100" s="22"/>
      <c r="F100" s="22"/>
      <c r="G100" s="22"/>
      <c r="H100" s="22"/>
      <c r="I100" s="22"/>
      <c r="J100" s="22"/>
      <c r="K100" s="22"/>
    </row>
    <row r="101" spans="1:11" ht="15.5" x14ac:dyDescent="0.35">
      <c r="A101" s="37"/>
      <c r="B101" s="22"/>
      <c r="C101" s="22"/>
      <c r="D101" s="22"/>
      <c r="E101" s="22"/>
      <c r="F101" s="22"/>
      <c r="G101" s="22"/>
      <c r="H101" s="22"/>
      <c r="I101" s="22"/>
      <c r="J101" s="22"/>
      <c r="K101" s="22"/>
    </row>
    <row r="102" spans="1:11" ht="15.5" x14ac:dyDescent="0.35">
      <c r="A102" s="37"/>
      <c r="B102" s="22"/>
      <c r="C102" s="22"/>
      <c r="D102" s="22"/>
      <c r="E102" s="22"/>
      <c r="F102" s="22"/>
      <c r="G102" s="22"/>
      <c r="H102" s="22"/>
      <c r="I102" s="22"/>
      <c r="J102" s="22"/>
      <c r="K102" s="22"/>
    </row>
    <row r="103" spans="1:11" ht="15.5" x14ac:dyDescent="0.35">
      <c r="A103" s="37"/>
      <c r="B103" s="22"/>
      <c r="C103" s="22"/>
      <c r="D103" s="22"/>
      <c r="E103" s="22"/>
      <c r="F103" s="22"/>
      <c r="G103" s="22"/>
      <c r="H103" s="22"/>
      <c r="I103" s="22"/>
      <c r="J103" s="22"/>
      <c r="K103" s="22"/>
    </row>
    <row r="104" spans="1:11" ht="15.5" x14ac:dyDescent="0.35">
      <c r="A104" s="37"/>
      <c r="B104" s="22"/>
      <c r="C104" s="22"/>
      <c r="D104" s="22"/>
      <c r="E104" s="22"/>
      <c r="F104" s="22"/>
      <c r="G104" s="22"/>
      <c r="H104" s="22"/>
      <c r="I104" s="22"/>
      <c r="J104" s="22"/>
      <c r="K104" s="22"/>
    </row>
    <row r="105" spans="1:11" ht="15.5" x14ac:dyDescent="0.35">
      <c r="A105" s="37"/>
      <c r="B105" s="22"/>
      <c r="C105" s="22"/>
      <c r="D105" s="22"/>
      <c r="E105" s="22"/>
      <c r="F105" s="22"/>
      <c r="G105" s="22"/>
      <c r="H105" s="22"/>
      <c r="I105" s="22"/>
      <c r="J105" s="22"/>
      <c r="K105" s="22"/>
    </row>
    <row r="106" spans="1:11" ht="15.5" x14ac:dyDescent="0.35">
      <c r="A106" s="37"/>
      <c r="B106" s="22"/>
      <c r="C106" s="22"/>
      <c r="D106" s="22"/>
      <c r="E106" s="22"/>
      <c r="F106" s="22"/>
      <c r="G106" s="22"/>
      <c r="H106" s="22"/>
      <c r="I106" s="22"/>
      <c r="J106" s="22"/>
      <c r="K106" s="22"/>
    </row>
    <row r="107" spans="1:11" ht="15.5" x14ac:dyDescent="0.35">
      <c r="A107" s="37"/>
      <c r="B107" s="22"/>
      <c r="C107" s="22"/>
      <c r="D107" s="22"/>
      <c r="E107" s="22"/>
      <c r="F107" s="22"/>
      <c r="G107" s="22"/>
      <c r="H107" s="22"/>
      <c r="I107" s="22"/>
      <c r="J107" s="22"/>
      <c r="K107" s="22"/>
    </row>
    <row r="108" spans="1:11" ht="15.5" x14ac:dyDescent="0.35">
      <c r="A108" s="37"/>
      <c r="B108" s="22"/>
      <c r="C108" s="22"/>
      <c r="D108" s="22"/>
      <c r="E108" s="22"/>
      <c r="F108" s="22"/>
      <c r="G108" s="22"/>
      <c r="H108" s="22"/>
      <c r="I108" s="22"/>
      <c r="J108" s="22"/>
      <c r="K108" s="22"/>
    </row>
    <row r="109" spans="1:11" ht="15.5" x14ac:dyDescent="0.35">
      <c r="A109" s="37"/>
      <c r="B109" s="22"/>
      <c r="C109" s="22"/>
      <c r="D109" s="22"/>
      <c r="E109" s="22"/>
      <c r="F109" s="22"/>
      <c r="G109" s="22"/>
      <c r="H109" s="22"/>
      <c r="I109" s="22"/>
      <c r="J109" s="22"/>
      <c r="K109" s="22"/>
    </row>
    <row r="110" spans="1:11" ht="15.5" x14ac:dyDescent="0.35">
      <c r="A110" s="37"/>
      <c r="B110" s="22"/>
      <c r="C110" s="22"/>
      <c r="D110" s="22"/>
      <c r="E110" s="22"/>
      <c r="F110" s="22"/>
      <c r="G110" s="22"/>
      <c r="H110" s="22"/>
      <c r="I110" s="22"/>
      <c r="J110" s="22"/>
      <c r="K110" s="22"/>
    </row>
    <row r="111" spans="1:11" ht="15.5" x14ac:dyDescent="0.35">
      <c r="A111" s="37"/>
      <c r="B111" s="22"/>
      <c r="C111" s="22"/>
      <c r="D111" s="22"/>
      <c r="E111" s="22"/>
      <c r="F111" s="22"/>
      <c r="G111" s="22"/>
      <c r="H111" s="22"/>
      <c r="I111" s="22"/>
      <c r="J111" s="22"/>
      <c r="K111" s="22"/>
    </row>
    <row r="112" spans="1:11" x14ac:dyDescent="0.25">
      <c r="A112" s="829"/>
    </row>
    <row r="113" spans="1:1" x14ac:dyDescent="0.25">
      <c r="A113" s="829"/>
    </row>
    <row r="114" spans="1:1" x14ac:dyDescent="0.25">
      <c r="A114" s="829"/>
    </row>
    <row r="115" spans="1:1" x14ac:dyDescent="0.25">
      <c r="A115" s="829"/>
    </row>
    <row r="116" spans="1:1" x14ac:dyDescent="0.25">
      <c r="A116" s="829"/>
    </row>
    <row r="117" spans="1:1" x14ac:dyDescent="0.25">
      <c r="A117" s="829"/>
    </row>
    <row r="118" spans="1:1" x14ac:dyDescent="0.25">
      <c r="A118" s="829"/>
    </row>
    <row r="119" spans="1:1" x14ac:dyDescent="0.25">
      <c r="A119" s="829"/>
    </row>
    <row r="120" spans="1:1" x14ac:dyDescent="0.25">
      <c r="A120" s="829"/>
    </row>
    <row r="121" spans="1:1" x14ac:dyDescent="0.25">
      <c r="A121" s="829"/>
    </row>
    <row r="122" spans="1:1" x14ac:dyDescent="0.25">
      <c r="A122" s="829"/>
    </row>
  </sheetData>
  <printOptions horizontalCentered="1"/>
  <pageMargins left="0.25" right="0.25" top="0.5" bottom="0.5" header="0.25" footer="0.25"/>
  <pageSetup scale="65" orientation="landscape" r:id="rId1"/>
  <headerFooter alignWithMargins="0">
    <oddFooter>&amp;L&amp;"Times New Roman,Regular"&amp;12&amp;F&amp;C&amp;"Times New Roman,Regular"&amp;12Page 4 of 4&amp;R&amp;"Times New Roman,Regular"&amp;12&amp;A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C0C4427B38DE4E8452B3A89053EC88" ma:contentTypeVersion="3" ma:contentTypeDescription="Create a new document." ma:contentTypeScope="" ma:versionID="86e604c333d1e82adf9a8cac158f27f9">
  <xsd:schema xmlns:xsd="http://www.w3.org/2001/XMLSchema" xmlns:xs="http://www.w3.org/2001/XMLSchema" xmlns:p="http://schemas.microsoft.com/office/2006/metadata/properties" xmlns:ns2="2e183c04-4e8d-4715-bce7-54b439dc82e0" targetNamespace="http://schemas.microsoft.com/office/2006/metadata/properties" ma:root="true" ma:fieldsID="f60c0adbf44dadf1983ea72cf2a1c870" ns2:_="">
    <xsd:import namespace="2e183c04-4e8d-4715-bce7-54b439dc82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83c04-4e8d-4715-bce7-54b439dc82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6297B1-FE97-4212-A05A-D269667DDA0A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2e183c04-4e8d-4715-bce7-54b439dc82e0"/>
  </ds:schemaRefs>
</ds:datastoreItem>
</file>

<file path=customXml/itemProps2.xml><?xml version="1.0" encoding="utf-8"?>
<ds:datastoreItem xmlns:ds="http://schemas.openxmlformats.org/officeDocument/2006/customXml" ds:itemID="{19D883E1-D7F1-4B52-B5CA-7803708D19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817F5B-5112-439B-BCD6-D64DF782B1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183c04-4e8d-4715-bce7-54b439dc82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15</vt:i4>
      </vt:variant>
    </vt:vector>
  </HeadingPairs>
  <TitlesOfParts>
    <vt:vector size="45" baseType="lpstr">
      <vt:lpstr>Stmnt BD - Recorded KWH</vt:lpstr>
      <vt:lpstr>Stmnt BD - Forecast KWH</vt:lpstr>
      <vt:lpstr>Stmnt BD-Forecast MWH@Transm.</vt:lpstr>
      <vt:lpstr>Stmt BD-Forecast Pump Storage</vt:lpstr>
      <vt:lpstr>Stmt BD-Pump Load True Up Adj</vt:lpstr>
      <vt:lpstr>Stmt BG - Page 1</vt:lpstr>
      <vt:lpstr>Stmt BG - Page 2</vt:lpstr>
      <vt:lpstr>Stmt BG - Page 3</vt:lpstr>
      <vt:lpstr>Stmt BG - Page 4</vt:lpstr>
      <vt:lpstr>Stmt BH - Page 1</vt:lpstr>
      <vt:lpstr>Stmt BH - Page 2</vt:lpstr>
      <vt:lpstr>Stmt BH - Page 3</vt:lpstr>
      <vt:lpstr>Stmnt BK1 - TRBAA</vt:lpstr>
      <vt:lpstr>Stmnt BK2 - TRBAA</vt:lpstr>
      <vt:lpstr>Stmnt BL (Retail) - TRBAA</vt:lpstr>
      <vt:lpstr>Stmnt BL - CAISO WHOLESALE</vt:lpstr>
      <vt:lpstr>WP 1.1 Recorded Sales</vt:lpstr>
      <vt:lpstr>WP 1.2 Forecast Sales</vt:lpstr>
      <vt:lpstr>WP 2 Allocation of TRBAA</vt:lpstr>
      <vt:lpstr>WP 3 Standby Revenues</vt:lpstr>
      <vt:lpstr>WP 4 Monthly TRBAA </vt:lpstr>
      <vt:lpstr>WP 4 Footnotes</vt:lpstr>
      <vt:lpstr>WP 5 CAISO Charges</vt:lpstr>
      <vt:lpstr>WP 6 HV LV Alloc Summary</vt:lpstr>
      <vt:lpstr>WP 7 Wheeling Revenues</vt:lpstr>
      <vt:lpstr>WP 8 CT4575</vt:lpstr>
      <vt:lpstr>WP 9 ETC Cost Diffs</vt:lpstr>
      <vt:lpstr>WP 10 ETC Costs</vt:lpstr>
      <vt:lpstr>WP 11 Other PTO Forecast</vt:lpstr>
      <vt:lpstr>WP 12 PTO</vt:lpstr>
      <vt:lpstr>'Stmt BG - Page 2'!Print_Area</vt:lpstr>
      <vt:lpstr>'Stmt BH - Page 1'!Print_Area</vt:lpstr>
      <vt:lpstr>'Stmt BH - Page 2'!Print_Area</vt:lpstr>
      <vt:lpstr>'Stmt BH - Page 3'!Print_Area</vt:lpstr>
      <vt:lpstr>'WP 1.1 Recorded Sales'!Print_Area</vt:lpstr>
      <vt:lpstr>'WP 1.2 Forecast Sales'!Print_Area</vt:lpstr>
      <vt:lpstr>'WP 10 ETC Costs'!Print_Area</vt:lpstr>
      <vt:lpstr>'WP 12 PTO'!Print_Area</vt:lpstr>
      <vt:lpstr>'WP 3 Standby Revenues'!Print_Area</vt:lpstr>
      <vt:lpstr>'WP 4 Monthly TRBAA '!Print_Area</vt:lpstr>
      <vt:lpstr>'WP 5 CAISO Charges'!Print_Area</vt:lpstr>
      <vt:lpstr>'WP 6 HV LV Alloc Summary'!Print_Area</vt:lpstr>
      <vt:lpstr>'WP 10 ETC Costs'!Print_Titles</vt:lpstr>
      <vt:lpstr>'WP 4 Monthly TRBAA '!Print_Titles</vt:lpstr>
      <vt:lpstr>'WP 5 CAISO Charges'!Print_Titles</vt:lpstr>
    </vt:vector>
  </TitlesOfParts>
  <Manager/>
  <Company>Southern California Edison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Standard Configuration</dc:creator>
  <cp:keywords/>
  <dc:description/>
  <cp:lastModifiedBy>Tanedo, Lolit</cp:lastModifiedBy>
  <cp:revision/>
  <cp:lastPrinted>2023-10-19T16:54:34Z</cp:lastPrinted>
  <dcterms:created xsi:type="dcterms:W3CDTF">2001-12-04T15:42:58Z</dcterms:created>
  <dcterms:modified xsi:type="dcterms:W3CDTF">2023-10-19T23:48:54Z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2016 TRBAA Filing.xlsx</vt:lpwstr>
  </property>
  <property fmtid="{D5CDD505-2E9C-101B-9397-08002B2CF9AE}" pid="3" name="LINKTEK-ID-FILE">
    <vt:lpwstr>0198-58FE-34DB-7A1C</vt:lpwstr>
  </property>
  <property fmtid="{D5CDD505-2E9C-101B-9397-08002B2CF9AE}" pid="4" name="LINKTEK-ID-LINK=1">
    <vt:lpwstr>0199-2CFC-E4E6-C374|/2018/TO5-Cycle 1 Formula Rate Filing/B Statements/BD/TO5 C1 Statement BD.xlsx</vt:lpwstr>
  </property>
  <property fmtid="{D5CDD505-2E9C-101B-9397-08002B2CF9AE}" pid="5" name="LINKTEK-ID-LINK=2">
    <vt:lpwstr>011A-09EA-FF42-DCE9|2019 TRBAA Workpapers.xlsx</vt:lpwstr>
  </property>
  <property fmtid="{D5CDD505-2E9C-101B-9397-08002B2CF9AE}" pid="6" name="ContentTypeId">
    <vt:lpwstr>0x01010051C0C4427B38DE4E8452B3A89053EC88</vt:lpwstr>
  </property>
  <property fmtid="{D5CDD505-2E9C-101B-9397-08002B2CF9AE}" pid="7" name="SV_QUERY_LIST_4F35BF76-6C0D-4D9B-82B2-816C12CF3733">
    <vt:lpwstr>empty_477D106A-C0D6-4607-AEBD-E2C9D60EA279</vt:lpwstr>
  </property>
  <property fmtid="{D5CDD505-2E9C-101B-9397-08002B2CF9AE}" pid="8" name="SV_HIDDEN_GRID_QUERY_LIST_4F35BF76-6C0D-4D9B-82B2-816C12CF3733">
    <vt:lpwstr>empty_477D106A-C0D6-4607-AEBD-E2C9D60EA279</vt:lpwstr>
  </property>
</Properties>
</file>