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sempra.sharepoint.com@SSL\DavWWWRoot\teams\transmissionrevenue\2020\TRBAA, TACBAA, RSBA Filings in 2020 for 2021\TRBAA\Filing Workpapers\"/>
    </mc:Choice>
  </mc:AlternateContent>
  <xr:revisionPtr revIDLastSave="7" documentId="13_ncr:1_{709817A8-B92F-44EE-88BF-B3E7BC145B33}" xr6:coauthVersionLast="45" xr6:coauthVersionMax="45" xr10:uidLastSave="{242D0A76-C5AE-460C-A3A5-EB6F85A6A9CC}"/>
  <bookViews>
    <workbookView xWindow="-110" yWindow="-110" windowWidth="25820" windowHeight="14020" tabRatio="914" xr2:uid="{00000000-000D-0000-FFFF-FFFF00000000}"/>
  </bookViews>
  <sheets>
    <sheet name="Stmnt BD - Recorded KWH" sheetId="24" r:id="rId1"/>
    <sheet name="Stmnt BD - Forecast KWH" sheetId="51" r:id="rId2"/>
    <sheet name="Stmnt BD-Forecast MWH@Transm." sheetId="35" r:id="rId3"/>
    <sheet name="Stmt BD-Forecast Pump Storage" sheetId="138" r:id="rId4"/>
    <sheet name="Stmt BD-Pump Load True Up Adj" sheetId="146" r:id="rId5"/>
    <sheet name="Stmt BG - Page 1" sheetId="114" r:id="rId6"/>
    <sheet name="Stmt BG - Page 2" sheetId="139" r:id="rId7"/>
    <sheet name="Stmt BG - Page 3" sheetId="116" r:id="rId8"/>
    <sheet name="Stmt BG - Page 4" sheetId="117" r:id="rId9"/>
    <sheet name="Stmt BH - Page 1" sheetId="140" r:id="rId10"/>
    <sheet name="Stmt BH - Page 2" sheetId="119" r:id="rId11"/>
    <sheet name="Stmt BH - Page 3" sheetId="120" r:id="rId12"/>
    <sheet name="Stmnt BK1 - TRBAA" sheetId="46" r:id="rId13"/>
    <sheet name="Stmnt BK2 - TRBAA" sheetId="32" r:id="rId14"/>
    <sheet name="Stmnt BL (Retail) - TRBAA" sheetId="47" r:id="rId15"/>
    <sheet name="Stmnt BL - CAISO WHOLESALE" sheetId="22" r:id="rId16"/>
    <sheet name="WP 1.1 Recorded Sales" sheetId="96" r:id="rId17"/>
    <sheet name="WP 1.2 Forecast Sales" sheetId="97" r:id="rId18"/>
    <sheet name="WP 2 Allocation of TRBAA" sheetId="17" r:id="rId19"/>
    <sheet name="WP 3 Standby Revenues" sheetId="147" r:id="rId20"/>
    <sheet name="WP 4 Monthly TRBAA " sheetId="111" r:id="rId21"/>
    <sheet name="WP 4 Footnotes" sheetId="89" r:id="rId22"/>
    <sheet name="WP 5 CAISO Charges" sheetId="56" r:id="rId23"/>
    <sheet name="WP 6 HV LV Alloc Summary" sheetId="143" r:id="rId24"/>
    <sheet name="WP 7 Wheeling Revenues" sheetId="79" r:id="rId25"/>
    <sheet name="WP 8 CT4575" sheetId="113" r:id="rId26"/>
    <sheet name="WP 9 ETC Cost Diffs" sheetId="144" r:id="rId27"/>
    <sheet name="WP 10 ETC Costs" sheetId="141" r:id="rId28"/>
    <sheet name="WP 11 Other PTO Forecast" sheetId="107" r:id="rId29"/>
    <sheet name="WP 12 PTO" sheetId="108" r:id="rId30"/>
  </sheets>
  <externalReferences>
    <externalReference r:id="rId31"/>
  </externalReferences>
  <definedNames>
    <definedName name="_Fill" localSheetId="4" hidden="1">[1]Statement_BK!#REF!</definedName>
    <definedName name="_Fill" localSheetId="28" hidden="1">[1]Statement_BK!#REF!</definedName>
    <definedName name="_Fill" localSheetId="29" hidden="1">[1]Statement_BK!#REF!</definedName>
    <definedName name="_Fill" localSheetId="20" hidden="1">[1]Statement_BK!#REF!</definedName>
    <definedName name="_Fill" localSheetId="25" hidden="1">[1]Statement_BK!#REF!</definedName>
    <definedName name="_Fill" hidden="1">[1]Statement_BK!#REF!</definedName>
    <definedName name="_xlnm.Print_Area" localSheetId="6">'Stmt BG - Page 2'!$A$1:$J$45</definedName>
    <definedName name="_xlnm.Print_Area" localSheetId="9">'Stmt BH - Page 1'!$A$1:$J$45</definedName>
    <definedName name="_xlnm.Print_Area" localSheetId="10">'Stmt BH - Page 2'!$A$1:$J$46</definedName>
    <definedName name="_xlnm.Print_Area" localSheetId="11">'Stmt BH - Page 3'!$A$1:$K$46</definedName>
    <definedName name="_xlnm.Print_Area" localSheetId="27">'WP 10 ETC Costs'!$D$3:$Q$65</definedName>
    <definedName name="_xlnm.Print_Area" localSheetId="29">'WP 12 PTO'!$A$1:$Q$35</definedName>
    <definedName name="_xlnm.Print_Area" localSheetId="19">'WP 3 Standby Revenues'!$A$1:$G$20</definedName>
    <definedName name="_xlnm.Print_Area" localSheetId="20">'WP 4 Monthly TRBAA '!$A$1:$Q$44</definedName>
    <definedName name="_xlnm.Print_Area" localSheetId="22">'WP 5 CAISO Charges'!$A$1:$T$20</definedName>
    <definedName name="_xlnm.Print_Area" localSheetId="23">'WP 6 HV LV Alloc Summary'!$A$1:$G$50</definedName>
    <definedName name="_xlnm.Print_Titles" localSheetId="27">'WP 10 ETC Costs'!$A:$C</definedName>
    <definedName name="_xlnm.Print_Titles" localSheetId="20">'WP 4 Monthly TRBAA '!$A:$B</definedName>
    <definedName name="_xlnm.Print_Titles" localSheetId="22">'WP 5 CAISO Charges'!$A:$B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7" l="1"/>
  <c r="C11" i="147"/>
  <c r="G10" i="147"/>
  <c r="G11" i="147" s="1"/>
  <c r="G12" i="147" s="1"/>
  <c r="G13" i="147" s="1"/>
  <c r="G14" i="147" s="1"/>
  <c r="G15" i="147" s="1"/>
  <c r="A10" i="147"/>
  <c r="A11" i="147" s="1"/>
  <c r="A12" i="147" s="1"/>
  <c r="A13" i="147" s="1"/>
  <c r="A14" i="147" s="1"/>
  <c r="A15" i="147" s="1"/>
  <c r="E11" i="147" l="1"/>
  <c r="C13" i="147" s="1"/>
  <c r="E13" i="147" l="1"/>
  <c r="C15" i="147"/>
  <c r="D13" i="147"/>
  <c r="D15" i="147" s="1"/>
  <c r="D35" i="32" s="1"/>
  <c r="E15" i="147" l="1"/>
  <c r="C35" i="32"/>
  <c r="P34" i="108" l="1"/>
  <c r="D45" i="143" s="1"/>
  <c r="P33" i="108"/>
  <c r="C45" i="143" s="1"/>
  <c r="P35" i="108" l="1"/>
  <c r="K35" i="108" l="1"/>
  <c r="O19" i="108" l="1"/>
  <c r="N19" i="108"/>
  <c r="M19" i="108"/>
  <c r="L19" i="108"/>
  <c r="K19" i="108"/>
  <c r="J19" i="108"/>
  <c r="I19" i="108"/>
  <c r="H19" i="108"/>
  <c r="G19" i="108"/>
  <c r="F19" i="108"/>
  <c r="E19" i="108"/>
  <c r="D19" i="108"/>
  <c r="P17" i="108"/>
  <c r="A5" i="108"/>
  <c r="A6" i="108" s="1"/>
  <c r="A7" i="108" s="1"/>
  <c r="A8" i="108" s="1"/>
  <c r="A9" i="108" s="1"/>
  <c r="A10" i="108" s="1"/>
  <c r="A11" i="108" s="1"/>
  <c r="A12" i="108" s="1"/>
  <c r="A13" i="108" s="1"/>
  <c r="A14" i="108" s="1"/>
  <c r="A15" i="108" s="1"/>
  <c r="A16" i="108" s="1"/>
  <c r="A17" i="108" s="1"/>
  <c r="A18" i="108" s="1"/>
  <c r="A19" i="108" s="1"/>
  <c r="A20" i="108" s="1"/>
  <c r="A21" i="108" s="1"/>
  <c r="A22" i="108" s="1"/>
  <c r="A23" i="108" s="1"/>
  <c r="A24" i="108" s="1"/>
  <c r="A25" i="108" s="1"/>
  <c r="K43" i="111" l="1"/>
  <c r="H43" i="111"/>
  <c r="G43" i="111"/>
  <c r="F43" i="111"/>
  <c r="N43" i="111" s="1"/>
  <c r="F42" i="111"/>
  <c r="M42" i="111" s="1"/>
  <c r="C43" i="111"/>
  <c r="D43" i="111" s="1"/>
  <c r="C42" i="111"/>
  <c r="E42" i="111" s="1"/>
  <c r="G42" i="111" l="1"/>
  <c r="N42" i="111"/>
  <c r="J42" i="111"/>
  <c r="K42" i="111"/>
  <c r="L43" i="111"/>
  <c r="E43" i="111"/>
  <c r="D42" i="111"/>
  <c r="H42" i="111"/>
  <c r="L42" i="111"/>
  <c r="I43" i="111"/>
  <c r="M43" i="111"/>
  <c r="I42" i="111"/>
  <c r="J43" i="111"/>
  <c r="P57" i="141"/>
  <c r="P56" i="141"/>
  <c r="P55" i="141"/>
  <c r="P54" i="141"/>
  <c r="P53" i="141"/>
  <c r="P52" i="141"/>
  <c r="P51" i="141"/>
  <c r="P50" i="141"/>
  <c r="P49" i="141"/>
  <c r="P48" i="141"/>
  <c r="P47" i="141"/>
  <c r="P46" i="141"/>
  <c r="P45" i="141"/>
  <c r="P44" i="141"/>
  <c r="P43" i="141"/>
  <c r="P42" i="141"/>
  <c r="P41" i="141"/>
  <c r="P40" i="141"/>
  <c r="P39" i="141"/>
  <c r="P38" i="141"/>
  <c r="P37" i="141"/>
  <c r="P36" i="141"/>
  <c r="P35" i="141"/>
  <c r="P34" i="141"/>
  <c r="P33" i="141"/>
  <c r="P31" i="141"/>
  <c r="P28" i="141"/>
  <c r="P27" i="141"/>
  <c r="P26" i="141"/>
  <c r="P25" i="141"/>
  <c r="P24" i="141"/>
  <c r="P23" i="141"/>
  <c r="P22" i="141"/>
  <c r="P21" i="141"/>
  <c r="P20" i="141"/>
  <c r="P19" i="141"/>
  <c r="P18" i="141"/>
  <c r="P17" i="141"/>
  <c r="P16" i="141"/>
  <c r="P15" i="141"/>
  <c r="P14" i="141"/>
  <c r="P13" i="141"/>
  <c r="P12" i="141"/>
  <c r="P11" i="141"/>
  <c r="P10" i="141"/>
  <c r="P9" i="141"/>
  <c r="P8" i="141"/>
  <c r="P7" i="141"/>
  <c r="P13" i="108" l="1"/>
  <c r="I50" i="111" l="1"/>
  <c r="C30" i="111"/>
  <c r="E13" i="32" l="1"/>
  <c r="D24" i="35" l="1"/>
  <c r="D23" i="35"/>
  <c r="D22" i="35"/>
  <c r="D21" i="35"/>
  <c r="D20" i="35"/>
  <c r="D19" i="35"/>
  <c r="D18" i="35"/>
  <c r="D17" i="35"/>
  <c r="D16" i="35"/>
  <c r="D15" i="35"/>
  <c r="D14" i="35"/>
  <c r="D13" i="35"/>
  <c r="D36" i="97"/>
  <c r="D13" i="51" s="1"/>
  <c r="E36" i="97"/>
  <c r="D14" i="51" s="1"/>
  <c r="F36" i="97"/>
  <c r="D15" i="51" s="1"/>
  <c r="G36" i="97"/>
  <c r="D16" i="51" s="1"/>
  <c r="H36" i="97"/>
  <c r="D17" i="51" s="1"/>
  <c r="I36" i="97"/>
  <c r="D18" i="51" s="1"/>
  <c r="J36" i="97"/>
  <c r="D19" i="51" s="1"/>
  <c r="K36" i="97"/>
  <c r="D20" i="51" s="1"/>
  <c r="L36" i="97"/>
  <c r="D21" i="51" s="1"/>
  <c r="M36" i="97"/>
  <c r="D22" i="51" s="1"/>
  <c r="N36" i="97"/>
  <c r="D23" i="51" s="1"/>
  <c r="C36" i="97"/>
  <c r="D12" i="51" s="1"/>
  <c r="O35" i="108" l="1"/>
  <c r="E45" i="143" l="1"/>
  <c r="E12" i="146" l="1"/>
  <c r="E14" i="146" s="1"/>
  <c r="E16" i="146" s="1"/>
  <c r="E18" i="146" s="1"/>
  <c r="A12" i="146"/>
  <c r="A14" i="146" s="1"/>
  <c r="A16" i="146" s="1"/>
  <c r="A18" i="146" s="1"/>
  <c r="C14" i="146" l="1"/>
  <c r="C18" i="146" s="1"/>
  <c r="F38" i="35" s="1"/>
  <c r="C6" i="89" l="1"/>
  <c r="A6" i="89"/>
  <c r="C7" i="89" l="1"/>
  <c r="P5" i="108" l="1"/>
  <c r="Q6" i="108"/>
  <c r="Q7" i="108" s="1"/>
  <c r="Q8" i="108" s="1"/>
  <c r="D30" i="107" l="1"/>
  <c r="D28" i="107"/>
  <c r="D26" i="107"/>
  <c r="D24" i="107"/>
  <c r="D22" i="107"/>
  <c r="D20" i="107"/>
  <c r="D18" i="107"/>
  <c r="D16" i="107"/>
  <c r="D14" i="107"/>
  <c r="D12" i="107"/>
  <c r="D10" i="107"/>
  <c r="A9" i="107"/>
  <c r="A10" i="107" s="1"/>
  <c r="A11" i="107" s="1"/>
  <c r="E8" i="107"/>
  <c r="E9" i="107" l="1"/>
  <c r="E11" i="107"/>
  <c r="A12" i="107"/>
  <c r="E10" i="107"/>
  <c r="C30" i="113"/>
  <c r="C28" i="113"/>
  <c r="C26" i="113"/>
  <c r="C24" i="113"/>
  <c r="C22" i="113"/>
  <c r="C20" i="113"/>
  <c r="C18" i="113"/>
  <c r="C16" i="113"/>
  <c r="C14" i="113"/>
  <c r="C12" i="113"/>
  <c r="C10" i="113"/>
  <c r="C8" i="113"/>
  <c r="D30" i="144"/>
  <c r="D28" i="144"/>
  <c r="D26" i="144"/>
  <c r="D24" i="144"/>
  <c r="D22" i="144"/>
  <c r="D20" i="144"/>
  <c r="D18" i="144"/>
  <c r="D16" i="144"/>
  <c r="D14" i="144"/>
  <c r="D12" i="144"/>
  <c r="D10" i="144"/>
  <c r="A10" i="144"/>
  <c r="E10" i="144" s="1"/>
  <c r="A9" i="144"/>
  <c r="E9" i="144" s="1"/>
  <c r="E8" i="144"/>
  <c r="D30" i="113"/>
  <c r="D28" i="113"/>
  <c r="D26" i="113"/>
  <c r="D24" i="113"/>
  <c r="D22" i="113"/>
  <c r="D20" i="113"/>
  <c r="D18" i="113"/>
  <c r="D16" i="113"/>
  <c r="D14" i="113"/>
  <c r="D12" i="113"/>
  <c r="D10" i="113"/>
  <c r="A9" i="113"/>
  <c r="A10" i="113" s="1"/>
  <c r="A11" i="113" s="1"/>
  <c r="D16" i="143"/>
  <c r="C16" i="143"/>
  <c r="E14" i="143"/>
  <c r="E12" i="143"/>
  <c r="A9" i="143"/>
  <c r="A10" i="143" s="1"/>
  <c r="B28" i="120"/>
  <c r="B28" i="117"/>
  <c r="A11" i="144" l="1"/>
  <c r="E9" i="113"/>
  <c r="A11" i="143"/>
  <c r="G10" i="143"/>
  <c r="G9" i="143"/>
  <c r="E16" i="143"/>
  <c r="D18" i="143" s="1"/>
  <c r="E12" i="107"/>
  <c r="A13" i="107"/>
  <c r="C32" i="113"/>
  <c r="C34" i="113" s="1"/>
  <c r="E11" i="113"/>
  <c r="A12" i="113"/>
  <c r="E10" i="113"/>
  <c r="A12" i="144" l="1"/>
  <c r="E11" i="144"/>
  <c r="C16" i="47"/>
  <c r="C16" i="46"/>
  <c r="E30" i="143"/>
  <c r="A12" i="143"/>
  <c r="G11" i="143"/>
  <c r="C18" i="143"/>
  <c r="E18" i="143" s="1"/>
  <c r="C24" i="143" s="1"/>
  <c r="A14" i="107"/>
  <c r="E13" i="107"/>
  <c r="E12" i="113"/>
  <c r="A13" i="113"/>
  <c r="A13" i="144" l="1"/>
  <c r="E12" i="144"/>
  <c r="D33" i="143"/>
  <c r="E14" i="17" s="1"/>
  <c r="C33" i="143"/>
  <c r="E33" i="143" s="1"/>
  <c r="A13" i="143"/>
  <c r="G12" i="143"/>
  <c r="E24" i="143"/>
  <c r="E14" i="107"/>
  <c r="A15" i="107"/>
  <c r="A14" i="113"/>
  <c r="E13" i="113"/>
  <c r="E31" i="35"/>
  <c r="A14" i="144" l="1"/>
  <c r="E13" i="144"/>
  <c r="D21" i="32"/>
  <c r="D14" i="17"/>
  <c r="G13" i="143"/>
  <c r="A14" i="143"/>
  <c r="C21" i="32"/>
  <c r="A16" i="107"/>
  <c r="E15" i="107"/>
  <c r="E14" i="113"/>
  <c r="A15" i="113"/>
  <c r="A15" i="144" l="1"/>
  <c r="E14" i="144"/>
  <c r="A15" i="143"/>
  <c r="G14" i="143"/>
  <c r="A17" i="107"/>
  <c r="E16" i="107"/>
  <c r="A16" i="113"/>
  <c r="E15" i="113"/>
  <c r="A16" i="144" l="1"/>
  <c r="E15" i="144"/>
  <c r="A16" i="143"/>
  <c r="G15" i="143"/>
  <c r="A18" i="107"/>
  <c r="E17" i="107"/>
  <c r="A17" i="113"/>
  <c r="E16" i="113"/>
  <c r="A17" i="144" l="1"/>
  <c r="E16" i="144"/>
  <c r="G16" i="143"/>
  <c r="A17" i="143"/>
  <c r="E18" i="107"/>
  <c r="A19" i="107"/>
  <c r="A18" i="113"/>
  <c r="E17" i="113"/>
  <c r="E17" i="144" l="1"/>
  <c r="A18" i="144"/>
  <c r="A18" i="143"/>
  <c r="G17" i="143"/>
  <c r="E19" i="107"/>
  <c r="A20" i="107"/>
  <c r="A19" i="113"/>
  <c r="E18" i="113"/>
  <c r="A19" i="144" l="1"/>
  <c r="E18" i="144"/>
  <c r="G18" i="143"/>
  <c r="A19" i="143"/>
  <c r="A21" i="107"/>
  <c r="E20" i="107"/>
  <c r="E19" i="113"/>
  <c r="A20" i="113"/>
  <c r="C61" i="111"/>
  <c r="D21" i="120"/>
  <c r="E21" i="120"/>
  <c r="F21" i="120"/>
  <c r="G21" i="120"/>
  <c r="H21" i="120"/>
  <c r="C21" i="120"/>
  <c r="D19" i="120"/>
  <c r="E19" i="120"/>
  <c r="F19" i="120"/>
  <c r="G19" i="120"/>
  <c r="H19" i="120"/>
  <c r="C19" i="120"/>
  <c r="D17" i="120"/>
  <c r="E17" i="120"/>
  <c r="F17" i="120"/>
  <c r="G17" i="120"/>
  <c r="H17" i="120"/>
  <c r="C17" i="120"/>
  <c r="D13" i="120"/>
  <c r="E13" i="120"/>
  <c r="F13" i="120"/>
  <c r="G13" i="120"/>
  <c r="H13" i="120"/>
  <c r="C13" i="120"/>
  <c r="D11" i="120"/>
  <c r="E11" i="120"/>
  <c r="F11" i="120"/>
  <c r="G11" i="120"/>
  <c r="H11" i="120"/>
  <c r="C11" i="120"/>
  <c r="D21" i="119"/>
  <c r="E21" i="119"/>
  <c r="F21" i="119"/>
  <c r="G21" i="119"/>
  <c r="H21" i="119"/>
  <c r="C21" i="119"/>
  <c r="C43" i="119" s="1"/>
  <c r="D19" i="119"/>
  <c r="E19" i="119"/>
  <c r="F19" i="119"/>
  <c r="G19" i="119"/>
  <c r="H19" i="119"/>
  <c r="C19" i="119"/>
  <c r="C41" i="119" s="1"/>
  <c r="D17" i="119"/>
  <c r="E17" i="119"/>
  <c r="F17" i="119"/>
  <c r="G17" i="119"/>
  <c r="H17" i="119"/>
  <c r="C17" i="119"/>
  <c r="C39" i="119" s="1"/>
  <c r="D13" i="119"/>
  <c r="E13" i="119"/>
  <c r="F13" i="119"/>
  <c r="G13" i="119"/>
  <c r="H13" i="119"/>
  <c r="C13" i="119"/>
  <c r="C35" i="119" s="1"/>
  <c r="D11" i="119"/>
  <c r="E11" i="119"/>
  <c r="F11" i="119"/>
  <c r="G11" i="119"/>
  <c r="H11" i="119"/>
  <c r="C11" i="119"/>
  <c r="C33" i="119" s="1"/>
  <c r="D21" i="117"/>
  <c r="E21" i="117"/>
  <c r="F21" i="117"/>
  <c r="G21" i="117"/>
  <c r="H21" i="117"/>
  <c r="C21" i="117"/>
  <c r="D19" i="117"/>
  <c r="E19" i="117"/>
  <c r="F19" i="117"/>
  <c r="G19" i="117"/>
  <c r="H19" i="117"/>
  <c r="C19" i="117"/>
  <c r="D17" i="117"/>
  <c r="E17" i="117"/>
  <c r="F17" i="117"/>
  <c r="G17" i="117"/>
  <c r="H17" i="117"/>
  <c r="C17" i="117"/>
  <c r="D13" i="117"/>
  <c r="E13" i="117"/>
  <c r="F13" i="117"/>
  <c r="G13" i="117"/>
  <c r="H13" i="117"/>
  <c r="C13" i="117"/>
  <c r="D11" i="117"/>
  <c r="E11" i="117"/>
  <c r="F11" i="117"/>
  <c r="G11" i="117"/>
  <c r="H11" i="117"/>
  <c r="C11" i="117"/>
  <c r="D21" i="116"/>
  <c r="E21" i="116"/>
  <c r="F21" i="116"/>
  <c r="G21" i="116"/>
  <c r="H21" i="116"/>
  <c r="C21" i="116"/>
  <c r="D19" i="116"/>
  <c r="E19" i="116"/>
  <c r="F19" i="116"/>
  <c r="G19" i="116"/>
  <c r="H19" i="116"/>
  <c r="C19" i="116"/>
  <c r="D17" i="116"/>
  <c r="E17" i="116"/>
  <c r="F17" i="116"/>
  <c r="G17" i="116"/>
  <c r="H17" i="116"/>
  <c r="C17" i="116"/>
  <c r="D13" i="116"/>
  <c r="E13" i="116"/>
  <c r="F13" i="116"/>
  <c r="G13" i="116"/>
  <c r="H13" i="116"/>
  <c r="C13" i="116"/>
  <c r="D11" i="116"/>
  <c r="E11" i="116"/>
  <c r="F11" i="116"/>
  <c r="G11" i="116"/>
  <c r="H11" i="116"/>
  <c r="C11" i="116"/>
  <c r="A20" i="144" l="1"/>
  <c r="E19" i="144"/>
  <c r="A20" i="143"/>
  <c r="G19" i="143"/>
  <c r="A22" i="107"/>
  <c r="E21" i="107"/>
  <c r="A21" i="113"/>
  <c r="E20" i="113"/>
  <c r="A21" i="144" l="1"/>
  <c r="E20" i="144"/>
  <c r="G20" i="143"/>
  <c r="A21" i="143"/>
  <c r="E22" i="107"/>
  <c r="A23" i="107"/>
  <c r="A22" i="113"/>
  <c r="E21" i="113"/>
  <c r="Q16" i="56"/>
  <c r="E21" i="144" l="1"/>
  <c r="A22" i="144"/>
  <c r="A22" i="143"/>
  <c r="G21" i="143"/>
  <c r="E23" i="107"/>
  <c r="A24" i="107"/>
  <c r="E22" i="113"/>
  <c r="A23" i="113"/>
  <c r="E59" i="141"/>
  <c r="F59" i="141"/>
  <c r="G59" i="141"/>
  <c r="P6" i="141"/>
  <c r="A6" i="141"/>
  <c r="A7" i="141" s="1"/>
  <c r="Q5" i="141"/>
  <c r="N59" i="141"/>
  <c r="M59" i="141"/>
  <c r="J59" i="141"/>
  <c r="I59" i="141"/>
  <c r="A8" i="141" l="1"/>
  <c r="Q7" i="141"/>
  <c r="Q6" i="141"/>
  <c r="E22" i="144"/>
  <c r="A23" i="144"/>
  <c r="G22" i="143"/>
  <c r="A23" i="143"/>
  <c r="A25" i="107"/>
  <c r="E24" i="107"/>
  <c r="A24" i="113"/>
  <c r="E23" i="113"/>
  <c r="N62" i="141"/>
  <c r="M16" i="56"/>
  <c r="C28" i="144" s="1"/>
  <c r="M62" i="141"/>
  <c r="L16" i="56"/>
  <c r="C26" i="144" s="1"/>
  <c r="J62" i="141"/>
  <c r="I16" i="56"/>
  <c r="C20" i="144" s="1"/>
  <c r="I62" i="141"/>
  <c r="H16" i="56"/>
  <c r="C18" i="144" s="1"/>
  <c r="G62" i="141"/>
  <c r="F16" i="56"/>
  <c r="C14" i="144" s="1"/>
  <c r="F62" i="141"/>
  <c r="E16" i="56"/>
  <c r="C12" i="144" s="1"/>
  <c r="E62" i="141"/>
  <c r="D16" i="56"/>
  <c r="C10" i="144" s="1"/>
  <c r="O59" i="141"/>
  <c r="H59" i="141"/>
  <c r="L59" i="141"/>
  <c r="K59" i="141"/>
  <c r="D59" i="141"/>
  <c r="P32" i="141"/>
  <c r="P5" i="141"/>
  <c r="A9" i="141" l="1"/>
  <c r="Q8" i="141"/>
  <c r="A24" i="144"/>
  <c r="E23" i="144"/>
  <c r="A24" i="143"/>
  <c r="G23" i="143"/>
  <c r="A26" i="107"/>
  <c r="E25" i="107"/>
  <c r="A25" i="113"/>
  <c r="E24" i="113"/>
  <c r="O62" i="141"/>
  <c r="N16" i="56"/>
  <c r="C30" i="144" s="1"/>
  <c r="K62" i="141"/>
  <c r="J16" i="56"/>
  <c r="C22" i="144" s="1"/>
  <c r="H62" i="141"/>
  <c r="G16" i="56"/>
  <c r="C16" i="144" s="1"/>
  <c r="D62" i="141"/>
  <c r="C16" i="56"/>
  <c r="C8" i="144" s="1"/>
  <c r="L62" i="141"/>
  <c r="K16" i="56"/>
  <c r="C24" i="144" s="1"/>
  <c r="P59" i="141"/>
  <c r="P62" i="141" s="1"/>
  <c r="F50" i="111"/>
  <c r="A10" i="141" l="1"/>
  <c r="Q9" i="141"/>
  <c r="E24" i="144"/>
  <c r="A25" i="144"/>
  <c r="C32" i="144"/>
  <c r="C34" i="144" s="1"/>
  <c r="C18" i="47" s="1"/>
  <c r="A25" i="143"/>
  <c r="G24" i="143"/>
  <c r="A27" i="107"/>
  <c r="E26" i="107"/>
  <c r="E25" i="113"/>
  <c r="A26" i="113"/>
  <c r="A11" i="141" l="1"/>
  <c r="Q10" i="141"/>
  <c r="E25" i="144"/>
  <c r="A26" i="144"/>
  <c r="C18" i="46"/>
  <c r="E37" i="143"/>
  <c r="G25" i="143"/>
  <c r="A26" i="143"/>
  <c r="E27" i="107"/>
  <c r="A28" i="107"/>
  <c r="A27" i="113"/>
  <c r="E26" i="113"/>
  <c r="B41" i="96"/>
  <c r="A4" i="120"/>
  <c r="A4" i="119"/>
  <c r="A5" i="140"/>
  <c r="A5" i="117"/>
  <c r="A4" i="117"/>
  <c r="A5" i="116"/>
  <c r="A4" i="116"/>
  <c r="A5" i="139"/>
  <c r="A4" i="139"/>
  <c r="A12" i="141" l="1"/>
  <c r="Q11" i="141"/>
  <c r="A27" i="144"/>
  <c r="E26" i="144"/>
  <c r="D39" i="143"/>
  <c r="D23" i="32" s="1"/>
  <c r="C39" i="143"/>
  <c r="D16" i="17" s="1"/>
  <c r="G26" i="143"/>
  <c r="G27" i="143" s="1"/>
  <c r="G28" i="143" s="1"/>
  <c r="G29" i="143" s="1"/>
  <c r="G30" i="143" s="1"/>
  <c r="G31" i="143" s="1"/>
  <c r="G32" i="143" s="1"/>
  <c r="G33" i="143" s="1"/>
  <c r="G34" i="143" s="1"/>
  <c r="G35" i="143" s="1"/>
  <c r="G36" i="143" s="1"/>
  <c r="G37" i="143" s="1"/>
  <c r="G38" i="143" s="1"/>
  <c r="G39" i="143" s="1"/>
  <c r="G40" i="143" s="1"/>
  <c r="G41" i="143" s="1"/>
  <c r="G42" i="143" s="1"/>
  <c r="G43" i="143" s="1"/>
  <c r="G44" i="143" s="1"/>
  <c r="G45" i="143" s="1"/>
  <c r="G46" i="143" s="1"/>
  <c r="G47" i="143" s="1"/>
  <c r="G48" i="143" s="1"/>
  <c r="A27" i="143"/>
  <c r="A28" i="143" s="1"/>
  <c r="A29" i="143" s="1"/>
  <c r="A30" i="143" s="1"/>
  <c r="A31" i="143" s="1"/>
  <c r="A32" i="143" s="1"/>
  <c r="A33" i="143" s="1"/>
  <c r="A34" i="143" s="1"/>
  <c r="A35" i="143" s="1"/>
  <c r="A36" i="143" s="1"/>
  <c r="A37" i="143" s="1"/>
  <c r="A38" i="143" s="1"/>
  <c r="A39" i="143" s="1"/>
  <c r="A40" i="143" s="1"/>
  <c r="A41" i="143" s="1"/>
  <c r="A42" i="143" s="1"/>
  <c r="A43" i="143" s="1"/>
  <c r="E28" i="107"/>
  <c r="A29" i="107"/>
  <c r="E27" i="113"/>
  <c r="A28" i="113"/>
  <c r="P23" i="111"/>
  <c r="A5" i="120"/>
  <c r="D8" i="117"/>
  <c r="E8" i="117"/>
  <c r="F8" i="117"/>
  <c r="G8" i="117"/>
  <c r="H8" i="117"/>
  <c r="C8" i="117"/>
  <c r="D8" i="116"/>
  <c r="E8" i="116"/>
  <c r="F8" i="116"/>
  <c r="G8" i="116"/>
  <c r="H8" i="116"/>
  <c r="C8" i="116"/>
  <c r="D26" i="140"/>
  <c r="D8" i="120" s="1"/>
  <c r="E26" i="140"/>
  <c r="E8" i="120" s="1"/>
  <c r="F26" i="140"/>
  <c r="F8" i="120" s="1"/>
  <c r="G26" i="140"/>
  <c r="G8" i="120" s="1"/>
  <c r="H26" i="140"/>
  <c r="H8" i="120" s="1"/>
  <c r="C26" i="140"/>
  <c r="C8" i="120" s="1"/>
  <c r="D8" i="140"/>
  <c r="D8" i="119" s="1"/>
  <c r="E8" i="140"/>
  <c r="E8" i="119" s="1"/>
  <c r="F8" i="140"/>
  <c r="F8" i="119" s="1"/>
  <c r="G8" i="140"/>
  <c r="G8" i="119" s="1"/>
  <c r="H8" i="140"/>
  <c r="H8" i="119" s="1"/>
  <c r="C8" i="140"/>
  <c r="C8" i="119" s="1"/>
  <c r="I25" i="140"/>
  <c r="H25" i="140"/>
  <c r="G25" i="140"/>
  <c r="F25" i="140"/>
  <c r="E25" i="140"/>
  <c r="D25" i="140"/>
  <c r="C25" i="140"/>
  <c r="J11" i="140"/>
  <c r="J12" i="140" s="1"/>
  <c r="J13" i="140" s="1"/>
  <c r="J14" i="140" s="1"/>
  <c r="J15" i="140" s="1"/>
  <c r="J16" i="140" s="1"/>
  <c r="J17" i="140" s="1"/>
  <c r="J18" i="140" s="1"/>
  <c r="J19" i="140" s="1"/>
  <c r="J20" i="140" s="1"/>
  <c r="J21" i="140" s="1"/>
  <c r="J22" i="140" s="1"/>
  <c r="J28" i="140" s="1"/>
  <c r="J29" i="140" s="1"/>
  <c r="J30" i="140" s="1"/>
  <c r="J31" i="140" s="1"/>
  <c r="J32" i="140" s="1"/>
  <c r="J33" i="140" s="1"/>
  <c r="J34" i="140" s="1"/>
  <c r="J35" i="140" s="1"/>
  <c r="J36" i="140" s="1"/>
  <c r="J37" i="140" s="1"/>
  <c r="J38" i="140" s="1"/>
  <c r="J39" i="140" s="1"/>
  <c r="J40" i="140" s="1"/>
  <c r="A11" i="140"/>
  <c r="A12" i="140" s="1"/>
  <c r="A13" i="140" s="1"/>
  <c r="A14" i="140" s="1"/>
  <c r="A15" i="140" s="1"/>
  <c r="A16" i="140" s="1"/>
  <c r="A17" i="140" s="1"/>
  <c r="A18" i="140" s="1"/>
  <c r="A19" i="140" s="1"/>
  <c r="A20" i="140" s="1"/>
  <c r="A21" i="140" s="1"/>
  <c r="A22" i="140" s="1"/>
  <c r="A28" i="140" s="1"/>
  <c r="A29" i="140" s="1"/>
  <c r="A30" i="140" s="1"/>
  <c r="A31" i="140" s="1"/>
  <c r="A32" i="140" s="1"/>
  <c r="A33" i="140" s="1"/>
  <c r="A34" i="140" s="1"/>
  <c r="A35" i="140" s="1"/>
  <c r="A36" i="140" s="1"/>
  <c r="A37" i="140" s="1"/>
  <c r="A38" i="140" s="1"/>
  <c r="A39" i="140" s="1"/>
  <c r="A40" i="140" s="1"/>
  <c r="I25" i="139"/>
  <c r="H25" i="139"/>
  <c r="G25" i="139"/>
  <c r="F25" i="139"/>
  <c r="E25" i="139"/>
  <c r="D25" i="139"/>
  <c r="C25" i="139"/>
  <c r="J11" i="139"/>
  <c r="J12" i="139" s="1"/>
  <c r="J13" i="139" s="1"/>
  <c r="J14" i="139" s="1"/>
  <c r="J15" i="139" s="1"/>
  <c r="J16" i="139" s="1"/>
  <c r="J17" i="139" s="1"/>
  <c r="J18" i="139" s="1"/>
  <c r="J19" i="139" s="1"/>
  <c r="J20" i="139" s="1"/>
  <c r="J21" i="139" s="1"/>
  <c r="J22" i="139" s="1"/>
  <c r="J28" i="139" s="1"/>
  <c r="J29" i="139" s="1"/>
  <c r="J30" i="139" s="1"/>
  <c r="J31" i="139" s="1"/>
  <c r="J32" i="139" s="1"/>
  <c r="J33" i="139" s="1"/>
  <c r="J34" i="139" s="1"/>
  <c r="J35" i="139" s="1"/>
  <c r="J36" i="139" s="1"/>
  <c r="J37" i="139" s="1"/>
  <c r="J38" i="139" s="1"/>
  <c r="J39" i="139" s="1"/>
  <c r="J40" i="139" s="1"/>
  <c r="A11" i="139"/>
  <c r="A12" i="139" s="1"/>
  <c r="A13" i="139" s="1"/>
  <c r="A14" i="139" s="1"/>
  <c r="A15" i="139" s="1"/>
  <c r="A16" i="139" s="1"/>
  <c r="A17" i="139" s="1"/>
  <c r="A18" i="139" s="1"/>
  <c r="A19" i="139" s="1"/>
  <c r="A20" i="139" s="1"/>
  <c r="A21" i="139" s="1"/>
  <c r="A22" i="139" s="1"/>
  <c r="A28" i="139" s="1"/>
  <c r="A29" i="139" s="1"/>
  <c r="A30" i="139" s="1"/>
  <c r="A31" i="139" s="1"/>
  <c r="A32" i="139" s="1"/>
  <c r="A33" i="139" s="1"/>
  <c r="A34" i="139" s="1"/>
  <c r="A35" i="139" s="1"/>
  <c r="A36" i="139" s="1"/>
  <c r="A37" i="139" s="1"/>
  <c r="A38" i="139" s="1"/>
  <c r="A39" i="139" s="1"/>
  <c r="A40" i="139" s="1"/>
  <c r="A13" i="141" l="1"/>
  <c r="Q12" i="141"/>
  <c r="A44" i="143"/>
  <c r="A45" i="143" s="1"/>
  <c r="A46" i="143" s="1"/>
  <c r="A47" i="143" s="1"/>
  <c r="A48" i="143" s="1"/>
  <c r="A49" i="143" s="1"/>
  <c r="A50" i="143" s="1"/>
  <c r="A28" i="144"/>
  <c r="E27" i="144"/>
  <c r="E16" i="17"/>
  <c r="G49" i="143"/>
  <c r="G50" i="143" s="1"/>
  <c r="E39" i="143"/>
  <c r="C23" i="32"/>
  <c r="A30" i="107"/>
  <c r="E29" i="107"/>
  <c r="A29" i="113"/>
  <c r="E28" i="113"/>
  <c r="A5" i="119"/>
  <c r="A14" i="141" l="1"/>
  <c r="Q13" i="141"/>
  <c r="A29" i="144"/>
  <c r="E28" i="144"/>
  <c r="E30" i="107"/>
  <c r="A31" i="107"/>
  <c r="A30" i="113"/>
  <c r="E29" i="113"/>
  <c r="A15" i="141" l="1"/>
  <c r="Q14" i="141"/>
  <c r="A30" i="144"/>
  <c r="E29" i="144"/>
  <c r="A32" i="107"/>
  <c r="E31" i="107"/>
  <c r="E30" i="113"/>
  <c r="A31" i="113"/>
  <c r="N5" i="97"/>
  <c r="M5" i="97"/>
  <c r="L5" i="97"/>
  <c r="K5" i="97"/>
  <c r="J5" i="97"/>
  <c r="I5" i="97"/>
  <c r="H5" i="97"/>
  <c r="G5" i="97"/>
  <c r="F5" i="97"/>
  <c r="E5" i="97"/>
  <c r="D5" i="97"/>
  <c r="C5" i="97"/>
  <c r="N5" i="96"/>
  <c r="O3" i="141" s="1"/>
  <c r="O3" i="108" s="1"/>
  <c r="M5" i="96"/>
  <c r="N3" i="141" s="1"/>
  <c r="N3" i="108" s="1"/>
  <c r="L5" i="96"/>
  <c r="M3" i="141" s="1"/>
  <c r="M3" i="108" s="1"/>
  <c r="K5" i="96"/>
  <c r="L3" i="141" s="1"/>
  <c r="L3" i="108" s="1"/>
  <c r="J5" i="96"/>
  <c r="K3" i="141" s="1"/>
  <c r="K3" i="108" s="1"/>
  <c r="I5" i="96"/>
  <c r="J3" i="141" s="1"/>
  <c r="J3" i="108" s="1"/>
  <c r="H5" i="96"/>
  <c r="I3" i="141" s="1"/>
  <c r="I3" i="108" s="1"/>
  <c r="G5" i="96"/>
  <c r="H3" i="141" s="1"/>
  <c r="H3" i="108" s="1"/>
  <c r="F5" i="96"/>
  <c r="G3" i="141" s="1"/>
  <c r="G3" i="108" s="1"/>
  <c r="E5" i="96"/>
  <c r="F3" i="141" s="1"/>
  <c r="F3" i="108" s="1"/>
  <c r="D5" i="96"/>
  <c r="E3" i="141" s="1"/>
  <c r="E3" i="108" s="1"/>
  <c r="C5" i="96"/>
  <c r="D3" i="141" s="1"/>
  <c r="D3" i="108" s="1"/>
  <c r="A16" i="141" l="1"/>
  <c r="Q15" i="141"/>
  <c r="E30" i="144"/>
  <c r="A31" i="144"/>
  <c r="E32" i="107"/>
  <c r="A33" i="107"/>
  <c r="A32" i="113"/>
  <c r="E31" i="113"/>
  <c r="R25" i="56"/>
  <c r="A17" i="141" l="1"/>
  <c r="Q16" i="141"/>
  <c r="A32" i="144"/>
  <c r="E31" i="144"/>
  <c r="A34" i="107"/>
  <c r="A35" i="107" s="1"/>
  <c r="E33" i="107"/>
  <c r="E34" i="107" s="1"/>
  <c r="E35" i="107" s="1"/>
  <c r="E32" i="113"/>
  <c r="A33" i="113"/>
  <c r="A18" i="141" l="1"/>
  <c r="Q17" i="141"/>
  <c r="E32" i="144"/>
  <c r="A33" i="144"/>
  <c r="A34" i="113"/>
  <c r="E33" i="113"/>
  <c r="A19" i="141" l="1"/>
  <c r="Q18" i="141"/>
  <c r="A34" i="144"/>
  <c r="E33" i="144"/>
  <c r="A35" i="113"/>
  <c r="E34" i="113"/>
  <c r="E35" i="113" s="1"/>
  <c r="A20" i="141" l="1"/>
  <c r="Q19" i="141"/>
  <c r="A35" i="144"/>
  <c r="E34" i="144"/>
  <c r="E35" i="144" s="1"/>
  <c r="B3" i="17"/>
  <c r="Q9" i="108"/>
  <c r="Q10" i="108" s="1"/>
  <c r="A21" i="141" l="1"/>
  <c r="Q20" i="141"/>
  <c r="Q11" i="108"/>
  <c r="Q12" i="108" s="1"/>
  <c r="A22" i="141" l="1"/>
  <c r="Q21" i="141"/>
  <c r="Q13" i="108"/>
  <c r="Q14" i="108" s="1"/>
  <c r="Q15" i="108" s="1"/>
  <c r="P8" i="56"/>
  <c r="Q16" i="108" l="1"/>
  <c r="Q17" i="108" s="1"/>
  <c r="Q18" i="108" s="1"/>
  <c r="Q19" i="108" s="1"/>
  <c r="A23" i="141"/>
  <c r="Q22" i="141"/>
  <c r="E10" i="56"/>
  <c r="A24" i="141" l="1"/>
  <c r="Q23" i="141"/>
  <c r="C15" i="79"/>
  <c r="E17" i="111"/>
  <c r="R9" i="56"/>
  <c r="A25" i="141" l="1"/>
  <c r="Q24" i="141"/>
  <c r="Q10" i="56"/>
  <c r="A26" i="141" l="1"/>
  <c r="Q25" i="141"/>
  <c r="A7" i="89"/>
  <c r="A8" i="89" s="1"/>
  <c r="A27" i="141" l="1"/>
  <c r="Q26" i="141"/>
  <c r="N9" i="138"/>
  <c r="N13" i="138" s="1"/>
  <c r="F36" i="35" s="1"/>
  <c r="A28" i="141" l="1"/>
  <c r="Q27" i="141"/>
  <c r="J28" i="117"/>
  <c r="A29" i="141" l="1"/>
  <c r="Q28" i="141"/>
  <c r="D20" i="47"/>
  <c r="F33" i="79"/>
  <c r="F31" i="79"/>
  <c r="F29" i="79"/>
  <c r="F27" i="79"/>
  <c r="F25" i="79"/>
  <c r="F23" i="79"/>
  <c r="F21" i="79"/>
  <c r="F19" i="79"/>
  <c r="F17" i="79"/>
  <c r="F15" i="79"/>
  <c r="F13" i="79"/>
  <c r="D18" i="47"/>
  <c r="G15" i="35"/>
  <c r="G16" i="35"/>
  <c r="G17" i="35"/>
  <c r="G18" i="35"/>
  <c r="G19" i="35"/>
  <c r="G20" i="35"/>
  <c r="G21" i="35"/>
  <c r="G22" i="35"/>
  <c r="G23" i="35"/>
  <c r="G24" i="35"/>
  <c r="G14" i="35"/>
  <c r="F14" i="51"/>
  <c r="F15" i="51"/>
  <c r="F16" i="51"/>
  <c r="F17" i="51"/>
  <c r="F18" i="51"/>
  <c r="F19" i="51"/>
  <c r="F20" i="51"/>
  <c r="F21" i="51"/>
  <c r="F22" i="51"/>
  <c r="F23" i="51"/>
  <c r="F13" i="51"/>
  <c r="F14" i="24"/>
  <c r="F15" i="24"/>
  <c r="F16" i="24"/>
  <c r="F17" i="24"/>
  <c r="F18" i="24"/>
  <c r="F19" i="24"/>
  <c r="F20" i="24"/>
  <c r="F21" i="24"/>
  <c r="F22" i="24"/>
  <c r="F23" i="24"/>
  <c r="F13" i="24"/>
  <c r="A3" i="79"/>
  <c r="A30" i="141" l="1"/>
  <c r="Q29" i="141"/>
  <c r="A3" i="143"/>
  <c r="A3" i="113"/>
  <c r="A3" i="107" s="1"/>
  <c r="A3" i="144"/>
  <c r="N58" i="111"/>
  <c r="M58" i="111"/>
  <c r="F61" i="111"/>
  <c r="K58" i="111"/>
  <c r="J58" i="111"/>
  <c r="N59" i="111"/>
  <c r="M59" i="111"/>
  <c r="K59" i="111"/>
  <c r="J59" i="111"/>
  <c r="I59" i="111"/>
  <c r="I61" i="111" s="1"/>
  <c r="H59" i="111"/>
  <c r="E59" i="111"/>
  <c r="D59" i="111"/>
  <c r="G59" i="111"/>
  <c r="L59" i="111" s="1"/>
  <c r="L61" i="111" s="1"/>
  <c r="A31" i="141" l="1"/>
  <c r="Q30" i="141"/>
  <c r="M61" i="111"/>
  <c r="N61" i="111"/>
  <c r="J61" i="111"/>
  <c r="K61" i="111"/>
  <c r="B33" i="79"/>
  <c r="B31" i="79"/>
  <c r="B29" i="79"/>
  <c r="B27" i="79"/>
  <c r="B25" i="79"/>
  <c r="B23" i="79"/>
  <c r="B21" i="79"/>
  <c r="B19" i="79"/>
  <c r="B17" i="79"/>
  <c r="B15" i="79"/>
  <c r="B13" i="79"/>
  <c r="B11" i="79"/>
  <c r="A32" i="141" l="1"/>
  <c r="Q31" i="141"/>
  <c r="B14" i="107"/>
  <c r="B14" i="144"/>
  <c r="B14" i="113"/>
  <c r="B12" i="113"/>
  <c r="B12" i="144"/>
  <c r="B12" i="107"/>
  <c r="B20" i="113"/>
  <c r="B20" i="107"/>
  <c r="B20" i="144"/>
  <c r="B28" i="113"/>
  <c r="B28" i="144"/>
  <c r="B28" i="107"/>
  <c r="B22" i="107"/>
  <c r="B22" i="144"/>
  <c r="B22" i="113"/>
  <c r="B30" i="107"/>
  <c r="B30" i="144"/>
  <c r="B30" i="113"/>
  <c r="B16" i="107"/>
  <c r="B16" i="144"/>
  <c r="B16" i="113"/>
  <c r="B24" i="107"/>
  <c r="B24" i="144"/>
  <c r="B24" i="113"/>
  <c r="B10" i="144"/>
  <c r="B10" i="113"/>
  <c r="B10" i="107"/>
  <c r="B18" i="144"/>
  <c r="B18" i="113"/>
  <c r="B18" i="107"/>
  <c r="B26" i="144"/>
  <c r="B26" i="113"/>
  <c r="B26" i="107"/>
  <c r="B8" i="107"/>
  <c r="B8" i="144"/>
  <c r="B8" i="113"/>
  <c r="A33" i="141" l="1"/>
  <c r="Q32" i="141"/>
  <c r="B4" i="46"/>
  <c r="B3" i="147" s="1"/>
  <c r="J28" i="120"/>
  <c r="J27" i="120"/>
  <c r="A34" i="141" l="1"/>
  <c r="Q33" i="141"/>
  <c r="I21" i="120"/>
  <c r="I13" i="120"/>
  <c r="I11" i="120"/>
  <c r="I17" i="120"/>
  <c r="I19" i="120"/>
  <c r="A35" i="141" l="1"/>
  <c r="Q34" i="141"/>
  <c r="Q8" i="56"/>
  <c r="C28" i="120"/>
  <c r="A36" i="141" l="1"/>
  <c r="Q35" i="141"/>
  <c r="C35" i="120"/>
  <c r="C39" i="120"/>
  <c r="C41" i="120"/>
  <c r="C43" i="120"/>
  <c r="C33" i="120"/>
  <c r="H28" i="120"/>
  <c r="F28" i="120"/>
  <c r="E28" i="120"/>
  <c r="D28" i="120"/>
  <c r="G28" i="120"/>
  <c r="K12" i="120"/>
  <c r="K13" i="120" s="1"/>
  <c r="K14" i="120" s="1"/>
  <c r="K15" i="120" s="1"/>
  <c r="K16" i="120" s="1"/>
  <c r="K17" i="120" s="1"/>
  <c r="K18" i="120" s="1"/>
  <c r="K19" i="120" s="1"/>
  <c r="K20" i="120" s="1"/>
  <c r="K21" i="120" s="1"/>
  <c r="K22" i="120" s="1"/>
  <c r="K23" i="120" s="1"/>
  <c r="K24" i="120" s="1"/>
  <c r="K25" i="120" s="1"/>
  <c r="A12" i="120"/>
  <c r="A13" i="120" s="1"/>
  <c r="A14" i="120" s="1"/>
  <c r="A15" i="120" s="1"/>
  <c r="A16" i="120" s="1"/>
  <c r="A17" i="120" s="1"/>
  <c r="A18" i="120" s="1"/>
  <c r="A19" i="120" s="1"/>
  <c r="A20" i="120" s="1"/>
  <c r="A21" i="120" s="1"/>
  <c r="A22" i="120" s="1"/>
  <c r="A23" i="120" s="1"/>
  <c r="A24" i="120" s="1"/>
  <c r="A25" i="120" s="1"/>
  <c r="F28" i="119"/>
  <c r="E28" i="119"/>
  <c r="J12" i="119"/>
  <c r="J13" i="119" s="1"/>
  <c r="J14" i="119" s="1"/>
  <c r="J15" i="119" s="1"/>
  <c r="J16" i="119" s="1"/>
  <c r="J17" i="119" s="1"/>
  <c r="J18" i="119" s="1"/>
  <c r="J19" i="119" s="1"/>
  <c r="J20" i="119" s="1"/>
  <c r="J21" i="119" s="1"/>
  <c r="J22" i="119" s="1"/>
  <c r="J23" i="119" s="1"/>
  <c r="J24" i="119" s="1"/>
  <c r="J25" i="119" s="1"/>
  <c r="A12" i="119"/>
  <c r="A13" i="119" s="1"/>
  <c r="A14" i="119" s="1"/>
  <c r="A15" i="119" s="1"/>
  <c r="A16" i="119" s="1"/>
  <c r="A17" i="119" s="1"/>
  <c r="A18" i="119" s="1"/>
  <c r="A19" i="119" s="1"/>
  <c r="A20" i="119" s="1"/>
  <c r="A21" i="119" s="1"/>
  <c r="A22" i="119" s="1"/>
  <c r="A23" i="119" s="1"/>
  <c r="A24" i="119" s="1"/>
  <c r="A25" i="119" s="1"/>
  <c r="A37" i="141" l="1"/>
  <c r="Q36" i="141"/>
  <c r="F33" i="120"/>
  <c r="F35" i="120"/>
  <c r="F39" i="120"/>
  <c r="F43" i="120"/>
  <c r="F41" i="120"/>
  <c r="G41" i="120"/>
  <c r="G35" i="120"/>
  <c r="G43" i="120"/>
  <c r="G39" i="120"/>
  <c r="G33" i="120"/>
  <c r="H39" i="120"/>
  <c r="H33" i="120"/>
  <c r="H41" i="120"/>
  <c r="H35" i="120"/>
  <c r="H43" i="120"/>
  <c r="D41" i="120"/>
  <c r="D43" i="120"/>
  <c r="D39" i="120"/>
  <c r="D35" i="120"/>
  <c r="D33" i="120"/>
  <c r="E33" i="120"/>
  <c r="E41" i="120"/>
  <c r="E39" i="120"/>
  <c r="E35" i="120"/>
  <c r="E43" i="120"/>
  <c r="E35" i="119"/>
  <c r="E33" i="119"/>
  <c r="E43" i="119"/>
  <c r="E41" i="119"/>
  <c r="E39" i="119"/>
  <c r="F35" i="119"/>
  <c r="F43" i="119"/>
  <c r="F41" i="119"/>
  <c r="F39" i="119"/>
  <c r="F33" i="119"/>
  <c r="K26" i="120"/>
  <c r="K27" i="120" s="1"/>
  <c r="K28" i="120" s="1"/>
  <c r="A26" i="120"/>
  <c r="A27" i="120" s="1"/>
  <c r="A28" i="120" s="1"/>
  <c r="A26" i="119"/>
  <c r="A27" i="119" s="1"/>
  <c r="A28" i="119" s="1"/>
  <c r="J26" i="119"/>
  <c r="J27" i="119" s="1"/>
  <c r="J28" i="119" s="1"/>
  <c r="D28" i="119"/>
  <c r="H28" i="119"/>
  <c r="G28" i="119"/>
  <c r="A38" i="141" l="1"/>
  <c r="Q37" i="141"/>
  <c r="A29" i="120"/>
  <c r="A30" i="120" s="1"/>
  <c r="A31" i="120" s="1"/>
  <c r="A32" i="120" s="1"/>
  <c r="A33" i="120" s="1"/>
  <c r="A34" i="120" s="1"/>
  <c r="A35" i="120" s="1"/>
  <c r="A36" i="120" s="1"/>
  <c r="A37" i="120" s="1"/>
  <c r="A38" i="120" s="1"/>
  <c r="A39" i="120" s="1"/>
  <c r="A40" i="120" s="1"/>
  <c r="A41" i="120" s="1"/>
  <c r="A42" i="120" s="1"/>
  <c r="A43" i="120" s="1"/>
  <c r="A44" i="120" s="1"/>
  <c r="A45" i="120" s="1"/>
  <c r="A29" i="119"/>
  <c r="A30" i="119" s="1"/>
  <c r="A31" i="119" s="1"/>
  <c r="A32" i="119" s="1"/>
  <c r="A33" i="119" s="1"/>
  <c r="A34" i="119" s="1"/>
  <c r="A35" i="119" s="1"/>
  <c r="A36" i="119" s="1"/>
  <c r="A37" i="119" s="1"/>
  <c r="A38" i="119" s="1"/>
  <c r="A39" i="119" s="1"/>
  <c r="A40" i="119" s="1"/>
  <c r="A41" i="119" s="1"/>
  <c r="A42" i="119" s="1"/>
  <c r="A43" i="119" s="1"/>
  <c r="A44" i="119" s="1"/>
  <c r="A45" i="119" s="1"/>
  <c r="K29" i="120"/>
  <c r="K30" i="120" s="1"/>
  <c r="K31" i="120" s="1"/>
  <c r="K32" i="120" s="1"/>
  <c r="K33" i="120" s="1"/>
  <c r="K34" i="120" s="1"/>
  <c r="K35" i="120" s="1"/>
  <c r="K36" i="120" s="1"/>
  <c r="K37" i="120" s="1"/>
  <c r="K38" i="120" s="1"/>
  <c r="K39" i="120" s="1"/>
  <c r="K40" i="120" s="1"/>
  <c r="K41" i="120" s="1"/>
  <c r="K42" i="120" s="1"/>
  <c r="K43" i="120" s="1"/>
  <c r="K44" i="120" s="1"/>
  <c r="K45" i="120" s="1"/>
  <c r="J29" i="119"/>
  <c r="J30" i="119" s="1"/>
  <c r="J31" i="119" s="1"/>
  <c r="J32" i="119" s="1"/>
  <c r="J33" i="119" s="1"/>
  <c r="J34" i="119" s="1"/>
  <c r="J35" i="119" s="1"/>
  <c r="J36" i="119" s="1"/>
  <c r="J37" i="119" s="1"/>
  <c r="J38" i="119" s="1"/>
  <c r="J39" i="119" s="1"/>
  <c r="J40" i="119" s="1"/>
  <c r="J41" i="119" s="1"/>
  <c r="J42" i="119" s="1"/>
  <c r="J43" i="119" s="1"/>
  <c r="J44" i="119" s="1"/>
  <c r="J45" i="119" s="1"/>
  <c r="D35" i="119"/>
  <c r="D43" i="119"/>
  <c r="D33" i="119"/>
  <c r="D39" i="119"/>
  <c r="D41" i="119"/>
  <c r="H33" i="119"/>
  <c r="H39" i="119"/>
  <c r="H43" i="119"/>
  <c r="H41" i="119"/>
  <c r="H35" i="119"/>
  <c r="G39" i="119"/>
  <c r="G35" i="119"/>
  <c r="G33" i="119"/>
  <c r="G43" i="119"/>
  <c r="G41" i="119"/>
  <c r="K12" i="117"/>
  <c r="K13" i="117" s="1"/>
  <c r="K14" i="117" s="1"/>
  <c r="K15" i="117" s="1"/>
  <c r="K16" i="117" s="1"/>
  <c r="K17" i="117" s="1"/>
  <c r="K18" i="117" s="1"/>
  <c r="K19" i="117" s="1"/>
  <c r="K20" i="117" s="1"/>
  <c r="K21" i="117" s="1"/>
  <c r="K22" i="117" s="1"/>
  <c r="K23" i="117" s="1"/>
  <c r="K24" i="117" s="1"/>
  <c r="K25" i="117" s="1"/>
  <c r="A12" i="117"/>
  <c r="A13" i="117" s="1"/>
  <c r="A14" i="117" s="1"/>
  <c r="A15" i="117" s="1"/>
  <c r="A16" i="117" s="1"/>
  <c r="A17" i="117" s="1"/>
  <c r="A18" i="117" s="1"/>
  <c r="A19" i="117" s="1"/>
  <c r="A20" i="117" s="1"/>
  <c r="A21" i="117" s="1"/>
  <c r="A22" i="117" s="1"/>
  <c r="A23" i="117" s="1"/>
  <c r="A24" i="117" s="1"/>
  <c r="A25" i="117" s="1"/>
  <c r="J12" i="116"/>
  <c r="J13" i="116" s="1"/>
  <c r="J14" i="116" s="1"/>
  <c r="J15" i="116" s="1"/>
  <c r="J16" i="116" s="1"/>
  <c r="J17" i="116" s="1"/>
  <c r="J18" i="116" s="1"/>
  <c r="J19" i="116" s="1"/>
  <c r="J20" i="116" s="1"/>
  <c r="J21" i="116" s="1"/>
  <c r="J22" i="116" s="1"/>
  <c r="J23" i="116" s="1"/>
  <c r="J24" i="116" s="1"/>
  <c r="J25" i="116" s="1"/>
  <c r="A12" i="116"/>
  <c r="A13" i="116" s="1"/>
  <c r="A14" i="116" s="1"/>
  <c r="A15" i="116" s="1"/>
  <c r="A16" i="116" s="1"/>
  <c r="A17" i="116" s="1"/>
  <c r="A18" i="116" s="1"/>
  <c r="A19" i="116" s="1"/>
  <c r="A20" i="116" s="1"/>
  <c r="A21" i="116" s="1"/>
  <c r="A22" i="116" s="1"/>
  <c r="A23" i="116" s="1"/>
  <c r="A24" i="116" s="1"/>
  <c r="A25" i="116" s="1"/>
  <c r="I15" i="114"/>
  <c r="I16" i="114" s="1"/>
  <c r="I17" i="114" s="1"/>
  <c r="I18" i="114" s="1"/>
  <c r="I19" i="114" s="1"/>
  <c r="I20" i="114" s="1"/>
  <c r="I21" i="114" s="1"/>
  <c r="I22" i="114" s="1"/>
  <c r="I23" i="114" s="1"/>
  <c r="I24" i="114" s="1"/>
  <c r="I25" i="114" s="1"/>
  <c r="I26" i="114" s="1"/>
  <c r="I27" i="114" s="1"/>
  <c r="A15" i="114"/>
  <c r="A16" i="114" s="1"/>
  <c r="A17" i="114" s="1"/>
  <c r="A18" i="114" s="1"/>
  <c r="A19" i="114" s="1"/>
  <c r="A20" i="114" s="1"/>
  <c r="A21" i="114" s="1"/>
  <c r="A22" i="114" s="1"/>
  <c r="A23" i="114" s="1"/>
  <c r="A24" i="114" s="1"/>
  <c r="A25" i="114" s="1"/>
  <c r="A26" i="114" s="1"/>
  <c r="A27" i="114" s="1"/>
  <c r="A39" i="141" l="1"/>
  <c r="Q38" i="141"/>
  <c r="J26" i="116"/>
  <c r="J27" i="116" s="1"/>
  <c r="J28" i="116" s="1"/>
  <c r="K26" i="117"/>
  <c r="K27" i="117" s="1"/>
  <c r="K28" i="117" s="1"/>
  <c r="A26" i="117"/>
  <c r="A27" i="117" s="1"/>
  <c r="A28" i="117" s="1"/>
  <c r="A26" i="116"/>
  <c r="A27" i="116" s="1"/>
  <c r="A28" i="116" s="1"/>
  <c r="A40" i="141" l="1"/>
  <c r="Q39" i="141"/>
  <c r="J29" i="116"/>
  <c r="J30" i="116" s="1"/>
  <c r="J31" i="116" s="1"/>
  <c r="J32" i="116" s="1"/>
  <c r="J33" i="116" s="1"/>
  <c r="J34" i="116" s="1"/>
  <c r="J35" i="116" s="1"/>
  <c r="J36" i="116" s="1"/>
  <c r="J37" i="116" s="1"/>
  <c r="J38" i="116" s="1"/>
  <c r="J39" i="116" s="1"/>
  <c r="J40" i="116" s="1"/>
  <c r="J41" i="116" s="1"/>
  <c r="J42" i="116" s="1"/>
  <c r="J43" i="116" s="1"/>
  <c r="J44" i="116" s="1"/>
  <c r="J45" i="116" s="1"/>
  <c r="A29" i="116"/>
  <c r="A30" i="116" s="1"/>
  <c r="A31" i="116" s="1"/>
  <c r="A32" i="116" s="1"/>
  <c r="A33" i="116" s="1"/>
  <c r="A34" i="116" s="1"/>
  <c r="A35" i="116" s="1"/>
  <c r="A36" i="116" s="1"/>
  <c r="A37" i="116" s="1"/>
  <c r="A38" i="116" s="1"/>
  <c r="A39" i="116" s="1"/>
  <c r="A40" i="116" s="1"/>
  <c r="A41" i="116" s="1"/>
  <c r="A42" i="116" s="1"/>
  <c r="A43" i="116" s="1"/>
  <c r="A44" i="116" s="1"/>
  <c r="A45" i="116" s="1"/>
  <c r="A29" i="117"/>
  <c r="A30" i="117" s="1"/>
  <c r="A31" i="117" s="1"/>
  <c r="A32" i="117" s="1"/>
  <c r="A33" i="117" s="1"/>
  <c r="A34" i="117" s="1"/>
  <c r="A35" i="117" s="1"/>
  <c r="A36" i="117" s="1"/>
  <c r="A37" i="117" s="1"/>
  <c r="A38" i="117" s="1"/>
  <c r="A39" i="117" s="1"/>
  <c r="A40" i="117" s="1"/>
  <c r="A41" i="117" s="1"/>
  <c r="A42" i="117" s="1"/>
  <c r="A43" i="117" s="1"/>
  <c r="A44" i="117" s="1"/>
  <c r="A45" i="117" s="1"/>
  <c r="K29" i="117"/>
  <c r="K30" i="117" s="1"/>
  <c r="K31" i="117" s="1"/>
  <c r="K32" i="117" s="1"/>
  <c r="K33" i="117" s="1"/>
  <c r="K34" i="117" s="1"/>
  <c r="K35" i="117" s="1"/>
  <c r="K36" i="117" s="1"/>
  <c r="K37" i="117" s="1"/>
  <c r="K38" i="117" s="1"/>
  <c r="K39" i="117" s="1"/>
  <c r="K40" i="117" s="1"/>
  <c r="K41" i="117" s="1"/>
  <c r="K42" i="117" s="1"/>
  <c r="K43" i="117" s="1"/>
  <c r="K44" i="117" s="1"/>
  <c r="K45" i="117" s="1"/>
  <c r="A41" i="141" l="1"/>
  <c r="Q40" i="141"/>
  <c r="O62" i="111"/>
  <c r="N63" i="111"/>
  <c r="M63" i="111"/>
  <c r="L63" i="111"/>
  <c r="K63" i="111"/>
  <c r="J63" i="111"/>
  <c r="I63" i="111"/>
  <c r="F63" i="111"/>
  <c r="C63" i="111"/>
  <c r="O60" i="111"/>
  <c r="O59" i="111"/>
  <c r="H58" i="111"/>
  <c r="G58" i="111"/>
  <c r="G61" i="111" s="1"/>
  <c r="G63" i="111" s="1"/>
  <c r="E58" i="111"/>
  <c r="D58" i="111"/>
  <c r="C56" i="111"/>
  <c r="K56" i="111" s="1"/>
  <c r="B51" i="111"/>
  <c r="C50" i="111"/>
  <c r="N44" i="111"/>
  <c r="M44" i="111"/>
  <c r="L44" i="111"/>
  <c r="K44" i="111"/>
  <c r="J44" i="111"/>
  <c r="I44" i="111"/>
  <c r="H44" i="111"/>
  <c r="G44" i="111"/>
  <c r="F44" i="111"/>
  <c r="E44" i="111"/>
  <c r="D44" i="111"/>
  <c r="C44" i="111"/>
  <c r="O36" i="111"/>
  <c r="N33" i="111"/>
  <c r="M33" i="111"/>
  <c r="L33" i="111"/>
  <c r="K33" i="111"/>
  <c r="J33" i="111"/>
  <c r="I33" i="111"/>
  <c r="H33" i="111"/>
  <c r="G33" i="111"/>
  <c r="F33" i="111"/>
  <c r="E33" i="111"/>
  <c r="D33" i="111"/>
  <c r="C33" i="11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O23" i="111"/>
  <c r="O24" i="111" s="1"/>
  <c r="G11" i="111"/>
  <c r="H11" i="111" s="1"/>
  <c r="C11" i="111"/>
  <c r="D11" i="111" s="1"/>
  <c r="E11" i="111" s="1"/>
  <c r="Q8" i="111"/>
  <c r="Q9" i="111" s="1"/>
  <c r="Q10" i="111" s="1"/>
  <c r="Q11" i="111" s="1"/>
  <c r="Q12" i="111" s="1"/>
  <c r="Q13" i="111" s="1"/>
  <c r="Q14" i="111" s="1"/>
  <c r="Q15" i="111" s="1"/>
  <c r="Q16" i="111" s="1"/>
  <c r="Q17" i="111" s="1"/>
  <c r="Q18" i="111" s="1"/>
  <c r="Q19" i="111" s="1"/>
  <c r="Q20" i="111" s="1"/>
  <c r="Q21" i="111" s="1"/>
  <c r="Q22" i="111" s="1"/>
  <c r="Q23" i="111" s="1"/>
  <c r="Q24" i="111" s="1"/>
  <c r="Q25" i="111" s="1"/>
  <c r="Q26" i="111" s="1"/>
  <c r="Q27" i="111" s="1"/>
  <c r="Q28" i="111" s="1"/>
  <c r="Q29" i="111" s="1"/>
  <c r="Q30" i="111" s="1"/>
  <c r="Q31" i="111" s="1"/>
  <c r="Q32" i="111" s="1"/>
  <c r="Q33" i="111" s="1"/>
  <c r="Q34" i="111" s="1"/>
  <c r="A8" i="111"/>
  <c r="A9" i="111" s="1"/>
  <c r="A10" i="111" s="1"/>
  <c r="A11" i="111" s="1"/>
  <c r="A12" i="111" s="1"/>
  <c r="A13" i="111" s="1"/>
  <c r="A14" i="111" s="1"/>
  <c r="A15" i="111" s="1"/>
  <c r="A16" i="111" s="1"/>
  <c r="A17" i="111" s="1"/>
  <c r="A18" i="111" s="1"/>
  <c r="A19" i="111" s="1"/>
  <c r="A20" i="111" s="1"/>
  <c r="A21" i="111" s="1"/>
  <c r="A22" i="111" s="1"/>
  <c r="A23" i="111" s="1"/>
  <c r="A24" i="111" s="1"/>
  <c r="A25" i="111" s="1"/>
  <c r="A26" i="111" s="1"/>
  <c r="A27" i="111" s="1"/>
  <c r="A28" i="111" s="1"/>
  <c r="A29" i="111" s="1"/>
  <c r="A30" i="111" s="1"/>
  <c r="A31" i="111" s="1"/>
  <c r="A32" i="111" s="1"/>
  <c r="A33" i="111" s="1"/>
  <c r="A34" i="111" s="1"/>
  <c r="O7" i="111"/>
  <c r="N5" i="111"/>
  <c r="M5" i="111"/>
  <c r="L5" i="111"/>
  <c r="K5" i="111"/>
  <c r="J5" i="111"/>
  <c r="I5" i="111"/>
  <c r="H5" i="111"/>
  <c r="G5" i="111"/>
  <c r="F5" i="111"/>
  <c r="E5" i="111"/>
  <c r="D5" i="111"/>
  <c r="A42" i="141" l="1"/>
  <c r="Q41" i="141"/>
  <c r="H61" i="111"/>
  <c r="H63" i="111" s="1"/>
  <c r="D61" i="111"/>
  <c r="D63" i="111" s="1"/>
  <c r="E61" i="111"/>
  <c r="C51" i="111"/>
  <c r="F11" i="111" s="1"/>
  <c r="Q35" i="111"/>
  <c r="Q36" i="111" s="1"/>
  <c r="Q37" i="111" s="1"/>
  <c r="Q38" i="111" s="1"/>
  <c r="A35" i="111"/>
  <c r="A36" i="111" s="1"/>
  <c r="A37" i="111" s="1"/>
  <c r="A38" i="111" s="1"/>
  <c r="H56" i="111"/>
  <c r="I11" i="111"/>
  <c r="J11" i="111" s="1"/>
  <c r="K11" i="111" s="1"/>
  <c r="L11" i="111" s="1"/>
  <c r="M11" i="111" s="1"/>
  <c r="N11" i="111" s="1"/>
  <c r="D56" i="111"/>
  <c r="L56" i="111"/>
  <c r="I56" i="111"/>
  <c r="E56" i="111"/>
  <c r="M56" i="111"/>
  <c r="F56" i="111"/>
  <c r="J56" i="111"/>
  <c r="N56" i="111"/>
  <c r="G56" i="111"/>
  <c r="A43" i="141" l="1"/>
  <c r="Q42" i="141"/>
  <c r="O61" i="111"/>
  <c r="A39" i="111"/>
  <c r="A40" i="111" s="1"/>
  <c r="A41" i="111" s="1"/>
  <c r="A42" i="111" s="1"/>
  <c r="A43" i="111" s="1"/>
  <c r="A44" i="111" s="1"/>
  <c r="Q39" i="111"/>
  <c r="Q40" i="111" s="1"/>
  <c r="Q41" i="111" s="1"/>
  <c r="Q42" i="111" s="1"/>
  <c r="Q43" i="111" s="1"/>
  <c r="Q44" i="111" s="1"/>
  <c r="E63" i="111"/>
  <c r="O63" i="111" s="1"/>
  <c r="P9" i="108"/>
  <c r="P15" i="108"/>
  <c r="P7" i="108"/>
  <c r="N19" i="56"/>
  <c r="C30" i="107" s="1"/>
  <c r="M19" i="56"/>
  <c r="C28" i="107" s="1"/>
  <c r="L19" i="56"/>
  <c r="C26" i="107" s="1"/>
  <c r="K19" i="56"/>
  <c r="C24" i="107" s="1"/>
  <c r="J19" i="56"/>
  <c r="C22" i="107" s="1"/>
  <c r="I19" i="56"/>
  <c r="C20" i="107" s="1"/>
  <c r="H19" i="56"/>
  <c r="C18" i="107" s="1"/>
  <c r="F19" i="56"/>
  <c r="C14" i="107" s="1"/>
  <c r="E19" i="56"/>
  <c r="C12" i="107" s="1"/>
  <c r="D19" i="56"/>
  <c r="C10" i="107" s="1"/>
  <c r="C19" i="56"/>
  <c r="C8" i="107" s="1"/>
  <c r="A44" i="141" l="1"/>
  <c r="Q43" i="141"/>
  <c r="O22" i="108"/>
  <c r="N22" i="108"/>
  <c r="M22" i="108"/>
  <c r="L22" i="108"/>
  <c r="K22" i="108"/>
  <c r="J22" i="108"/>
  <c r="I22" i="108"/>
  <c r="G22" i="108"/>
  <c r="F22" i="108"/>
  <c r="E22" i="108"/>
  <c r="D22" i="108"/>
  <c r="A45" i="141" l="1"/>
  <c r="Q44" i="141"/>
  <c r="P11" i="108"/>
  <c r="P19" i="108" s="1"/>
  <c r="G19" i="56"/>
  <c r="C16" i="107" s="1"/>
  <c r="C32" i="107" s="1"/>
  <c r="C34" i="107" s="1"/>
  <c r="Q20" i="108"/>
  <c r="Q21" i="108" s="1"/>
  <c r="Q22" i="108" s="1"/>
  <c r="Q23" i="108" s="1"/>
  <c r="Q24" i="108" s="1"/>
  <c r="Q25" i="108" s="1"/>
  <c r="A46" i="141" l="1"/>
  <c r="Q45" i="141"/>
  <c r="C20" i="47"/>
  <c r="C20" i="46"/>
  <c r="E43" i="143"/>
  <c r="E47" i="143" s="1"/>
  <c r="L20" i="111"/>
  <c r="M23" i="108" s="1"/>
  <c r="C20" i="111"/>
  <c r="D23" i="108" s="1"/>
  <c r="N20" i="111"/>
  <c r="O23" i="108" s="1"/>
  <c r="E20" i="111"/>
  <c r="F23" i="108" s="1"/>
  <c r="F20" i="111"/>
  <c r="G23" i="108" s="1"/>
  <c r="D20" i="111"/>
  <c r="E23" i="108" s="1"/>
  <c r="I20" i="111"/>
  <c r="J23" i="108" s="1"/>
  <c r="J20" i="111"/>
  <c r="K23" i="108" s="1"/>
  <c r="H20" i="111"/>
  <c r="I23" i="108" s="1"/>
  <c r="M20" i="111"/>
  <c r="N23" i="108" s="1"/>
  <c r="K20" i="111"/>
  <c r="L23" i="108" s="1"/>
  <c r="H22" i="108"/>
  <c r="A47" i="141" l="1"/>
  <c r="Q46" i="141"/>
  <c r="D47" i="143"/>
  <c r="D49" i="143" s="1"/>
  <c r="C47" i="143"/>
  <c r="C49" i="143" s="1"/>
  <c r="P22" i="108"/>
  <c r="G20" i="111"/>
  <c r="H23" i="108" s="1"/>
  <c r="R19" i="56"/>
  <c r="A48" i="141" l="1"/>
  <c r="Q47" i="141"/>
  <c r="E49" i="143"/>
  <c r="O20" i="111"/>
  <c r="P23" i="108" s="1"/>
  <c r="A49" i="141" l="1"/>
  <c r="Q48" i="141"/>
  <c r="D18" i="17"/>
  <c r="C25" i="32"/>
  <c r="E18" i="17"/>
  <c r="D25" i="32"/>
  <c r="A50" i="141" l="1"/>
  <c r="Q49" i="141"/>
  <c r="A51" i="141" l="1"/>
  <c r="Q50" i="141"/>
  <c r="O41" i="97"/>
  <c r="N29" i="97"/>
  <c r="N41" i="97" s="1"/>
  <c r="M29" i="97"/>
  <c r="M41" i="97" s="1"/>
  <c r="L29" i="97"/>
  <c r="L41" i="97" s="1"/>
  <c r="K29" i="97"/>
  <c r="K41" i="97" s="1"/>
  <c r="J29" i="97"/>
  <c r="J41" i="97" s="1"/>
  <c r="I29" i="97"/>
  <c r="I41" i="97" s="1"/>
  <c r="H29" i="97"/>
  <c r="H41" i="97" s="1"/>
  <c r="G29" i="97"/>
  <c r="G41" i="97" s="1"/>
  <c r="F29" i="97"/>
  <c r="F41" i="97" s="1"/>
  <c r="E29" i="97"/>
  <c r="E41" i="97" s="1"/>
  <c r="D29" i="97"/>
  <c r="D41" i="97" s="1"/>
  <c r="C29" i="97"/>
  <c r="C41" i="97" s="1"/>
  <c r="B27" i="97"/>
  <c r="P5" i="97"/>
  <c r="P6" i="97" s="1"/>
  <c r="P7" i="97" s="1"/>
  <c r="P8" i="97" s="1"/>
  <c r="P9" i="97" s="1"/>
  <c r="P10" i="97" s="1"/>
  <c r="P11" i="97" s="1"/>
  <c r="P12" i="97" s="1"/>
  <c r="P13" i="97" s="1"/>
  <c r="P14" i="97" s="1"/>
  <c r="P15" i="97" s="1"/>
  <c r="P16" i="97" s="1"/>
  <c r="P17" i="97" s="1"/>
  <c r="P18" i="97" s="1"/>
  <c r="P19" i="97" s="1"/>
  <c r="P20" i="97" s="1"/>
  <c r="P21" i="97" s="1"/>
  <c r="P22" i="97" s="1"/>
  <c r="P23" i="97" s="1"/>
  <c r="P28" i="97" s="1"/>
  <c r="P29" i="97" s="1"/>
  <c r="P30" i="97" s="1"/>
  <c r="P31" i="97" s="1"/>
  <c r="P32" i="97" s="1"/>
  <c r="P33" i="97" s="1"/>
  <c r="P34" i="97" s="1"/>
  <c r="P35" i="97" s="1"/>
  <c r="P36" i="97" s="1"/>
  <c r="P37" i="97" s="1"/>
  <c r="P38" i="97" s="1"/>
  <c r="P39" i="97" s="1"/>
  <c r="P40" i="97" s="1"/>
  <c r="P41" i="97" s="1"/>
  <c r="P42" i="97" s="1"/>
  <c r="P43" i="97" s="1"/>
  <c r="P44" i="97" s="1"/>
  <c r="P45" i="97" s="1"/>
  <c r="P46" i="97" s="1"/>
  <c r="P47" i="97" s="1"/>
  <c r="A5" i="97"/>
  <c r="A6" i="97" s="1"/>
  <c r="A7" i="97" s="1"/>
  <c r="A8" i="97" s="1"/>
  <c r="A9" i="97" s="1"/>
  <c r="A10" i="97" s="1"/>
  <c r="A11" i="97" s="1"/>
  <c r="A12" i="97" s="1"/>
  <c r="A13" i="97" s="1"/>
  <c r="A14" i="97" s="1"/>
  <c r="A15" i="97" s="1"/>
  <c r="A16" i="97" s="1"/>
  <c r="A17" i="97" s="1"/>
  <c r="A18" i="97" s="1"/>
  <c r="A19" i="97" s="1"/>
  <c r="A20" i="97" s="1"/>
  <c r="A21" i="97" s="1"/>
  <c r="A22" i="97" s="1"/>
  <c r="A23" i="97" s="1"/>
  <c r="A28" i="97" s="1"/>
  <c r="A29" i="97" s="1"/>
  <c r="A30" i="97" s="1"/>
  <c r="A31" i="97" s="1"/>
  <c r="A32" i="97" s="1"/>
  <c r="A33" i="97" s="1"/>
  <c r="A34" i="97" s="1"/>
  <c r="A35" i="97" s="1"/>
  <c r="A36" i="97" s="1"/>
  <c r="A37" i="97" s="1"/>
  <c r="A38" i="97" s="1"/>
  <c r="A39" i="97" s="1"/>
  <c r="A40" i="97" s="1"/>
  <c r="A41" i="97" s="1"/>
  <c r="A42" i="97" s="1"/>
  <c r="A43" i="97" s="1"/>
  <c r="A44" i="97" s="1"/>
  <c r="A45" i="97" s="1"/>
  <c r="A46" i="97" s="1"/>
  <c r="A47" i="97" s="1"/>
  <c r="N45" i="97"/>
  <c r="M45" i="97"/>
  <c r="L45" i="97"/>
  <c r="K45" i="97"/>
  <c r="J45" i="97"/>
  <c r="I45" i="97"/>
  <c r="H45" i="97"/>
  <c r="G45" i="97"/>
  <c r="F45" i="97"/>
  <c r="E45" i="97"/>
  <c r="D45" i="97"/>
  <c r="C45" i="97"/>
  <c r="N44" i="97"/>
  <c r="K44" i="97"/>
  <c r="J44" i="97"/>
  <c r="I44" i="97"/>
  <c r="H22" i="97"/>
  <c r="G44" i="97"/>
  <c r="F44" i="97"/>
  <c r="D22" i="97"/>
  <c r="C44" i="97"/>
  <c r="M43" i="97"/>
  <c r="L43" i="97"/>
  <c r="K43" i="97"/>
  <c r="I43" i="97"/>
  <c r="H43" i="97"/>
  <c r="E43" i="97"/>
  <c r="D43" i="97"/>
  <c r="O17" i="97"/>
  <c r="N17" i="97"/>
  <c r="M17" i="97"/>
  <c r="L17" i="97"/>
  <c r="K17" i="97"/>
  <c r="J17" i="97"/>
  <c r="I17" i="97"/>
  <c r="H17" i="97"/>
  <c r="G17" i="97"/>
  <c r="F17" i="97"/>
  <c r="E17" i="97"/>
  <c r="D17" i="97"/>
  <c r="C17" i="97"/>
  <c r="N45" i="96"/>
  <c r="M45" i="96"/>
  <c r="L45" i="96"/>
  <c r="K45" i="96"/>
  <c r="J45" i="96"/>
  <c r="I45" i="96"/>
  <c r="H45" i="96"/>
  <c r="G45" i="96"/>
  <c r="F45" i="96"/>
  <c r="E45" i="96"/>
  <c r="D45" i="96"/>
  <c r="C45" i="96"/>
  <c r="N44" i="96"/>
  <c r="M44" i="96"/>
  <c r="L44" i="96"/>
  <c r="K44" i="96"/>
  <c r="J44" i="96"/>
  <c r="I44" i="96"/>
  <c r="H44" i="96"/>
  <c r="G44" i="96"/>
  <c r="F44" i="96"/>
  <c r="E44" i="96"/>
  <c r="D44" i="96"/>
  <c r="C44" i="96"/>
  <c r="N43" i="96"/>
  <c r="M43" i="96"/>
  <c r="L43" i="96"/>
  <c r="K43" i="96"/>
  <c r="J43" i="96"/>
  <c r="I43" i="96"/>
  <c r="H43" i="96"/>
  <c r="G43" i="96"/>
  <c r="F43" i="96"/>
  <c r="E43" i="96"/>
  <c r="D43" i="96"/>
  <c r="C43" i="96"/>
  <c r="O41" i="96"/>
  <c r="N36" i="96"/>
  <c r="M36" i="96"/>
  <c r="L36" i="96"/>
  <c r="K36" i="96"/>
  <c r="J36" i="96"/>
  <c r="I36" i="96"/>
  <c r="H36" i="96"/>
  <c r="G36" i="96"/>
  <c r="F36" i="96"/>
  <c r="E36" i="96"/>
  <c r="D36" i="96"/>
  <c r="C36" i="96"/>
  <c r="N35" i="96"/>
  <c r="M35" i="96"/>
  <c r="L35" i="96"/>
  <c r="K35" i="96"/>
  <c r="J35" i="96"/>
  <c r="I35" i="96"/>
  <c r="H35" i="96"/>
  <c r="G35" i="96"/>
  <c r="F35" i="96"/>
  <c r="E35" i="96"/>
  <c r="D35" i="96"/>
  <c r="C35" i="96"/>
  <c r="N34" i="96"/>
  <c r="M34" i="96"/>
  <c r="L34" i="96"/>
  <c r="K34" i="96"/>
  <c r="J34" i="96"/>
  <c r="I34" i="96"/>
  <c r="H34" i="96"/>
  <c r="G34" i="96"/>
  <c r="F34" i="96"/>
  <c r="E34" i="96"/>
  <c r="D34" i="96"/>
  <c r="C34" i="96"/>
  <c r="N33" i="96"/>
  <c r="M33" i="96"/>
  <c r="L33" i="96"/>
  <c r="K33" i="96"/>
  <c r="J33" i="96"/>
  <c r="I33" i="96"/>
  <c r="H33" i="96"/>
  <c r="G33" i="96"/>
  <c r="F33" i="96"/>
  <c r="E33" i="96"/>
  <c r="D33" i="96"/>
  <c r="C33" i="96"/>
  <c r="N31" i="96"/>
  <c r="M31" i="96"/>
  <c r="L31" i="96"/>
  <c r="K31" i="96"/>
  <c r="J31" i="96"/>
  <c r="I31" i="96"/>
  <c r="H31" i="96"/>
  <c r="G31" i="96"/>
  <c r="F31" i="96"/>
  <c r="E31" i="96"/>
  <c r="D31" i="96"/>
  <c r="C31" i="96"/>
  <c r="N30" i="96"/>
  <c r="M30" i="96"/>
  <c r="L30" i="96"/>
  <c r="K30" i="96"/>
  <c r="J30" i="96"/>
  <c r="I30" i="96"/>
  <c r="H30" i="96"/>
  <c r="G30" i="96"/>
  <c r="F30" i="96"/>
  <c r="E30" i="96"/>
  <c r="D30" i="96"/>
  <c r="C30" i="96"/>
  <c r="N29" i="96"/>
  <c r="N41" i="96" s="1"/>
  <c r="M29" i="96"/>
  <c r="M41" i="96" s="1"/>
  <c r="L29" i="96"/>
  <c r="L41" i="96" s="1"/>
  <c r="K29" i="96"/>
  <c r="K41" i="96" s="1"/>
  <c r="J29" i="96"/>
  <c r="J41" i="96" s="1"/>
  <c r="I29" i="96"/>
  <c r="I41" i="96" s="1"/>
  <c r="H29" i="96"/>
  <c r="H41" i="96" s="1"/>
  <c r="G29" i="96"/>
  <c r="G41" i="96" s="1"/>
  <c r="F29" i="96"/>
  <c r="F41" i="96" s="1"/>
  <c r="E29" i="96"/>
  <c r="E41" i="96" s="1"/>
  <c r="D29" i="96"/>
  <c r="D41" i="96" s="1"/>
  <c r="C29" i="96"/>
  <c r="C41" i="96" s="1"/>
  <c r="B27" i="96"/>
  <c r="P5" i="96"/>
  <c r="P6" i="96" s="1"/>
  <c r="P7" i="96" s="1"/>
  <c r="P8" i="96" s="1"/>
  <c r="P9" i="96" s="1"/>
  <c r="P10" i="96" s="1"/>
  <c r="P11" i="96" s="1"/>
  <c r="P12" i="96" s="1"/>
  <c r="P13" i="96" s="1"/>
  <c r="P14" i="96" s="1"/>
  <c r="P15" i="96" s="1"/>
  <c r="P16" i="96" s="1"/>
  <c r="P17" i="96" s="1"/>
  <c r="P18" i="96" s="1"/>
  <c r="P19" i="96" s="1"/>
  <c r="P20" i="96" s="1"/>
  <c r="P21" i="96" s="1"/>
  <c r="P22" i="96" s="1"/>
  <c r="P23" i="96" s="1"/>
  <c r="P28" i="96" s="1"/>
  <c r="P29" i="96" s="1"/>
  <c r="P30" i="96" s="1"/>
  <c r="P31" i="96" s="1"/>
  <c r="P32" i="96" s="1"/>
  <c r="P33" i="96" s="1"/>
  <c r="P34" i="96" s="1"/>
  <c r="P35" i="96" s="1"/>
  <c r="P36" i="96" s="1"/>
  <c r="P37" i="96" s="1"/>
  <c r="P38" i="96" s="1"/>
  <c r="P39" i="96" s="1"/>
  <c r="P40" i="96" s="1"/>
  <c r="P41" i="96" s="1"/>
  <c r="P42" i="96" s="1"/>
  <c r="P43" i="96" s="1"/>
  <c r="P44" i="96" s="1"/>
  <c r="P45" i="96" s="1"/>
  <c r="P46" i="96" s="1"/>
  <c r="P47" i="96" s="1"/>
  <c r="A5" i="96"/>
  <c r="A6" i="96" s="1"/>
  <c r="A7" i="96" s="1"/>
  <c r="A8" i="96" s="1"/>
  <c r="A9" i="96" s="1"/>
  <c r="A10" i="96" s="1"/>
  <c r="A11" i="96" s="1"/>
  <c r="A12" i="96" s="1"/>
  <c r="A13" i="96" s="1"/>
  <c r="A14" i="96" s="1"/>
  <c r="A15" i="96" s="1"/>
  <c r="A16" i="96" s="1"/>
  <c r="A17" i="96" s="1"/>
  <c r="A18" i="96" s="1"/>
  <c r="A19" i="96" s="1"/>
  <c r="A20" i="96" s="1"/>
  <c r="A21" i="96" s="1"/>
  <c r="A22" i="96" s="1"/>
  <c r="A23" i="96" s="1"/>
  <c r="A28" i="96" s="1"/>
  <c r="A29" i="96" s="1"/>
  <c r="A30" i="96" s="1"/>
  <c r="A31" i="96" s="1"/>
  <c r="A32" i="96" s="1"/>
  <c r="A33" i="96" s="1"/>
  <c r="A34" i="96" s="1"/>
  <c r="A35" i="96" s="1"/>
  <c r="A36" i="96" s="1"/>
  <c r="A37" i="96" s="1"/>
  <c r="A38" i="96" s="1"/>
  <c r="A39" i="96" s="1"/>
  <c r="A40" i="96" s="1"/>
  <c r="A41" i="96" s="1"/>
  <c r="A42" i="96" s="1"/>
  <c r="A43" i="96" s="1"/>
  <c r="A44" i="96" s="1"/>
  <c r="A45" i="96" s="1"/>
  <c r="A46" i="96" s="1"/>
  <c r="A47" i="96" s="1"/>
  <c r="N22" i="96"/>
  <c r="M22" i="96"/>
  <c r="L22" i="96"/>
  <c r="K22" i="96"/>
  <c r="J22" i="96"/>
  <c r="I22" i="96"/>
  <c r="H22" i="96"/>
  <c r="G22" i="96"/>
  <c r="F22" i="96"/>
  <c r="E22" i="96"/>
  <c r="D22" i="96"/>
  <c r="C22" i="96"/>
  <c r="O21" i="96"/>
  <c r="O20" i="96"/>
  <c r="O19" i="96"/>
  <c r="O17" i="96"/>
  <c r="N17" i="96"/>
  <c r="M17" i="96"/>
  <c r="L17" i="96"/>
  <c r="K17" i="96"/>
  <c r="J17" i="96"/>
  <c r="I17" i="96"/>
  <c r="H17" i="96"/>
  <c r="G17" i="96"/>
  <c r="F17" i="96"/>
  <c r="E17" i="96"/>
  <c r="D17" i="96"/>
  <c r="C17" i="96"/>
  <c r="O12" i="96"/>
  <c r="O11" i="96"/>
  <c r="O10" i="96"/>
  <c r="O9" i="96"/>
  <c r="O7" i="96"/>
  <c r="O6" i="96"/>
  <c r="G12" i="79"/>
  <c r="G13" i="79" s="1"/>
  <c r="G14" i="79" s="1"/>
  <c r="G15" i="79" s="1"/>
  <c r="G16" i="79" s="1"/>
  <c r="G17" i="79" s="1"/>
  <c r="G18" i="79" s="1"/>
  <c r="G19" i="79" s="1"/>
  <c r="G20" i="79" s="1"/>
  <c r="G21" i="79" s="1"/>
  <c r="G22" i="79" s="1"/>
  <c r="G23" i="79" s="1"/>
  <c r="G24" i="79" s="1"/>
  <c r="G25" i="79" s="1"/>
  <c r="G26" i="79" s="1"/>
  <c r="G27" i="79" s="1"/>
  <c r="G28" i="79" s="1"/>
  <c r="G29" i="79" s="1"/>
  <c r="G30" i="79" s="1"/>
  <c r="G31" i="79" s="1"/>
  <c r="G32" i="79" s="1"/>
  <c r="G33" i="79" s="1"/>
  <c r="G34" i="79" s="1"/>
  <c r="G35" i="79" s="1"/>
  <c r="G36" i="79" s="1"/>
  <c r="G37" i="79" s="1"/>
  <c r="G38" i="79" s="1"/>
  <c r="A12" i="79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A38" i="79" s="1"/>
  <c r="O8" i="56"/>
  <c r="T8" i="56"/>
  <c r="A8" i="56"/>
  <c r="Q13" i="56"/>
  <c r="P13" i="56"/>
  <c r="O13" i="56"/>
  <c r="N5" i="56"/>
  <c r="M5" i="56"/>
  <c r="L5" i="56"/>
  <c r="K5" i="56"/>
  <c r="J5" i="56"/>
  <c r="I5" i="56"/>
  <c r="H5" i="56"/>
  <c r="G5" i="56"/>
  <c r="F5" i="56"/>
  <c r="E5" i="56"/>
  <c r="D5" i="56"/>
  <c r="A52" i="141" l="1"/>
  <c r="Q51" i="141"/>
  <c r="D15" i="116"/>
  <c r="D15" i="119"/>
  <c r="D37" i="119" s="1"/>
  <c r="D14" i="140" s="1"/>
  <c r="H15" i="119"/>
  <c r="H37" i="119" s="1"/>
  <c r="H14" i="140" s="1"/>
  <c r="H15" i="116"/>
  <c r="F15" i="96"/>
  <c r="J13" i="96"/>
  <c r="N15" i="96"/>
  <c r="C13" i="96"/>
  <c r="D13" i="96"/>
  <c r="H13" i="96"/>
  <c r="L15" i="96"/>
  <c r="Q24" i="56"/>
  <c r="Q26" i="56" s="1"/>
  <c r="T9" i="56"/>
  <c r="T10" i="56" s="1"/>
  <c r="T11" i="56" s="1"/>
  <c r="T12" i="56" s="1"/>
  <c r="T13" i="56" s="1"/>
  <c r="T14" i="56" s="1"/>
  <c r="T15" i="56" s="1"/>
  <c r="T16" i="56" s="1"/>
  <c r="T17" i="56" s="1"/>
  <c r="T18" i="56" s="1"/>
  <c r="T19" i="56" s="1"/>
  <c r="T20" i="56" s="1"/>
  <c r="A9" i="56"/>
  <c r="A10" i="56" s="1"/>
  <c r="A11" i="56" s="1"/>
  <c r="A12" i="56" s="1"/>
  <c r="A13" i="56" s="1"/>
  <c r="A14" i="56" s="1"/>
  <c r="A15" i="56" s="1"/>
  <c r="O10" i="56"/>
  <c r="D46" i="96"/>
  <c r="D32" i="96" s="1"/>
  <c r="D39" i="96" s="1"/>
  <c r="G30" i="97"/>
  <c r="C31" i="97"/>
  <c r="C12" i="140"/>
  <c r="K31" i="97"/>
  <c r="E30" i="140"/>
  <c r="N33" i="97"/>
  <c r="H34" i="140"/>
  <c r="N34" i="97"/>
  <c r="H36" i="140"/>
  <c r="N35" i="97"/>
  <c r="H38" i="140"/>
  <c r="F30" i="97"/>
  <c r="J30" i="97"/>
  <c r="N30" i="97"/>
  <c r="F31" i="97"/>
  <c r="F12" i="140"/>
  <c r="J31" i="97"/>
  <c r="D30" i="140"/>
  <c r="N31" i="97"/>
  <c r="H30" i="140"/>
  <c r="E33" i="97"/>
  <c r="E16" i="140"/>
  <c r="I33" i="97"/>
  <c r="C34" i="140"/>
  <c r="M33" i="97"/>
  <c r="G34" i="140"/>
  <c r="E34" i="97"/>
  <c r="E18" i="140"/>
  <c r="I34" i="97"/>
  <c r="C36" i="140"/>
  <c r="M34" i="97"/>
  <c r="G36" i="140"/>
  <c r="E35" i="97"/>
  <c r="E20" i="140"/>
  <c r="I35" i="97"/>
  <c r="C38" i="140"/>
  <c r="M35" i="97"/>
  <c r="G38" i="140"/>
  <c r="C30" i="97"/>
  <c r="G31" i="97"/>
  <c r="G12" i="140"/>
  <c r="J33" i="97"/>
  <c r="D34" i="140"/>
  <c r="F34" i="97"/>
  <c r="F18" i="140"/>
  <c r="F35" i="97"/>
  <c r="F20" i="140"/>
  <c r="D31" i="97"/>
  <c r="D12" i="140"/>
  <c r="H31" i="97"/>
  <c r="H12" i="140"/>
  <c r="L31" i="97"/>
  <c r="F30" i="140"/>
  <c r="C16" i="140"/>
  <c r="G33" i="97"/>
  <c r="G16" i="140"/>
  <c r="K33" i="97"/>
  <c r="E34" i="140"/>
  <c r="C34" i="97"/>
  <c r="C18" i="140"/>
  <c r="G34" i="97"/>
  <c r="G18" i="140"/>
  <c r="K34" i="97"/>
  <c r="E36" i="140"/>
  <c r="C35" i="97"/>
  <c r="C20" i="140"/>
  <c r="G35" i="97"/>
  <c r="G20" i="140"/>
  <c r="K35" i="97"/>
  <c r="E38" i="140"/>
  <c r="K30" i="97"/>
  <c r="F33" i="97"/>
  <c r="F16" i="140"/>
  <c r="J34" i="97"/>
  <c r="D36" i="140"/>
  <c r="J35" i="97"/>
  <c r="D38" i="140"/>
  <c r="I30" i="97"/>
  <c r="E31" i="97"/>
  <c r="E12" i="140"/>
  <c r="I31" i="97"/>
  <c r="C30" i="140"/>
  <c r="M31" i="97"/>
  <c r="G30" i="140"/>
  <c r="D33" i="97"/>
  <c r="D16" i="140"/>
  <c r="H33" i="97"/>
  <c r="H16" i="140"/>
  <c r="L33" i="97"/>
  <c r="F34" i="140"/>
  <c r="D34" i="97"/>
  <c r="D18" i="140"/>
  <c r="H34" i="97"/>
  <c r="H18" i="140"/>
  <c r="L34" i="97"/>
  <c r="F36" i="140"/>
  <c r="D35" i="97"/>
  <c r="D20" i="140"/>
  <c r="H35" i="97"/>
  <c r="H20" i="140"/>
  <c r="L35" i="97"/>
  <c r="F38" i="140"/>
  <c r="E46" i="96"/>
  <c r="E32" i="96" s="1"/>
  <c r="E37" i="96" s="1"/>
  <c r="I18" i="111"/>
  <c r="M18" i="111"/>
  <c r="F18" i="111"/>
  <c r="N18" i="111"/>
  <c r="C18" i="111"/>
  <c r="G18" i="111"/>
  <c r="K18" i="111"/>
  <c r="E18" i="111"/>
  <c r="J18" i="111"/>
  <c r="D18" i="111"/>
  <c r="H18" i="111"/>
  <c r="L18" i="111"/>
  <c r="C46" i="96"/>
  <c r="C32" i="96" s="1"/>
  <c r="C39" i="96" s="1"/>
  <c r="C10" i="111" s="1"/>
  <c r="C12" i="111" s="1"/>
  <c r="C13" i="111" s="1"/>
  <c r="C14" i="111" s="1"/>
  <c r="L22" i="97"/>
  <c r="D35" i="79"/>
  <c r="D37" i="79" s="1"/>
  <c r="D22" i="143" s="1"/>
  <c r="D26" i="143" s="1"/>
  <c r="O9" i="97"/>
  <c r="O10" i="97"/>
  <c r="O19" i="97"/>
  <c r="H15" i="97"/>
  <c r="I22" i="97"/>
  <c r="C43" i="97"/>
  <c r="C46" i="97" s="1"/>
  <c r="C32" i="97" s="1"/>
  <c r="F22" i="97"/>
  <c r="J22" i="97"/>
  <c r="N22" i="97"/>
  <c r="E22" i="97"/>
  <c r="I46" i="97"/>
  <c r="I32" i="97" s="1"/>
  <c r="M22" i="97"/>
  <c r="H46" i="96"/>
  <c r="H32" i="96" s="1"/>
  <c r="H37" i="96" s="1"/>
  <c r="L46" i="96"/>
  <c r="L32" i="96" s="1"/>
  <c r="L37" i="96" s="1"/>
  <c r="G15" i="96"/>
  <c r="G13" i="96"/>
  <c r="K15" i="96"/>
  <c r="K13" i="96"/>
  <c r="I46" i="96"/>
  <c r="I32" i="96" s="1"/>
  <c r="I37" i="96" s="1"/>
  <c r="F13" i="96"/>
  <c r="N13" i="96"/>
  <c r="G46" i="96"/>
  <c r="G32" i="96" s="1"/>
  <c r="G39" i="96" s="1"/>
  <c r="G10" i="111" s="1"/>
  <c r="K46" i="96"/>
  <c r="K32" i="96" s="1"/>
  <c r="K37" i="96" s="1"/>
  <c r="M46" i="96"/>
  <c r="M32" i="96" s="1"/>
  <c r="M37" i="96" s="1"/>
  <c r="O44" i="96"/>
  <c r="O34" i="96"/>
  <c r="O33" i="96"/>
  <c r="O36" i="96"/>
  <c r="O31" i="96"/>
  <c r="O45" i="97"/>
  <c r="O21" i="97"/>
  <c r="K46" i="97"/>
  <c r="K32" i="97" s="1"/>
  <c r="D44" i="97"/>
  <c r="D46" i="97" s="1"/>
  <c r="D32" i="97" s="1"/>
  <c r="L44" i="97"/>
  <c r="L46" i="97" s="1"/>
  <c r="L32" i="97" s="1"/>
  <c r="G22" i="97"/>
  <c r="D30" i="97"/>
  <c r="L30" i="97"/>
  <c r="C33" i="97"/>
  <c r="F43" i="97"/>
  <c r="F46" i="97" s="1"/>
  <c r="F32" i="97" s="1"/>
  <c r="N43" i="97"/>
  <c r="N46" i="97" s="1"/>
  <c r="N32" i="97" s="1"/>
  <c r="E44" i="97"/>
  <c r="E46" i="97" s="1"/>
  <c r="E32" i="97" s="1"/>
  <c r="M44" i="97"/>
  <c r="M46" i="97" s="1"/>
  <c r="M32" i="97" s="1"/>
  <c r="D15" i="97"/>
  <c r="E30" i="97"/>
  <c r="M30" i="97"/>
  <c r="G43" i="97"/>
  <c r="G46" i="97" s="1"/>
  <c r="G32" i="97" s="1"/>
  <c r="H44" i="97"/>
  <c r="H46" i="97" s="1"/>
  <c r="H32" i="97" s="1"/>
  <c r="O7" i="97"/>
  <c r="C22" i="97"/>
  <c r="K22" i="97"/>
  <c r="H30" i="97"/>
  <c r="J43" i="97"/>
  <c r="J46" i="97" s="1"/>
  <c r="J32" i="97" s="1"/>
  <c r="O11" i="97"/>
  <c r="O6" i="97"/>
  <c r="O20" i="97"/>
  <c r="E13" i="96"/>
  <c r="E15" i="96"/>
  <c r="I13" i="96"/>
  <c r="I15" i="96"/>
  <c r="M13" i="96"/>
  <c r="M15" i="96"/>
  <c r="O45" i="96"/>
  <c r="O35" i="96"/>
  <c r="O22" i="96"/>
  <c r="F46" i="96"/>
  <c r="F32" i="96" s="1"/>
  <c r="F37" i="96" s="1"/>
  <c r="J46" i="96"/>
  <c r="J32" i="96" s="1"/>
  <c r="J37" i="96" s="1"/>
  <c r="N46" i="96"/>
  <c r="N32" i="96" s="1"/>
  <c r="N37" i="96" s="1"/>
  <c r="O30" i="96"/>
  <c r="O43" i="96"/>
  <c r="R13" i="56"/>
  <c r="A53" i="141" l="1"/>
  <c r="Q52" i="141"/>
  <c r="D10" i="111"/>
  <c r="D12" i="111" s="1"/>
  <c r="D13" i="111" s="1"/>
  <c r="D14" i="111" s="1"/>
  <c r="E12" i="17"/>
  <c r="D19" i="32"/>
  <c r="D27" i="32" s="1"/>
  <c r="G12" i="111"/>
  <c r="C15" i="116"/>
  <c r="C15" i="119"/>
  <c r="F15" i="119"/>
  <c r="F37" i="119" s="1"/>
  <c r="F14" i="140" s="1"/>
  <c r="F15" i="116"/>
  <c r="E15" i="119"/>
  <c r="E37" i="119" s="1"/>
  <c r="E15" i="116"/>
  <c r="H15" i="120"/>
  <c r="H15" i="117"/>
  <c r="C15" i="117"/>
  <c r="C15" i="120"/>
  <c r="F15" i="120"/>
  <c r="F37" i="120" s="1"/>
  <c r="F32" i="140" s="1"/>
  <c r="F15" i="117"/>
  <c r="F23" i="117" s="1"/>
  <c r="E15" i="120"/>
  <c r="E37" i="120" s="1"/>
  <c r="E15" i="117"/>
  <c r="G15" i="119"/>
  <c r="G37" i="119" s="1"/>
  <c r="G14" i="140" s="1"/>
  <c r="G15" i="116"/>
  <c r="G15" i="120"/>
  <c r="G37" i="120" s="1"/>
  <c r="G15" i="117"/>
  <c r="D15" i="120"/>
  <c r="D15" i="117"/>
  <c r="I38" i="140"/>
  <c r="D24" i="114" s="1"/>
  <c r="L13" i="96"/>
  <c r="I36" i="140"/>
  <c r="D22" i="114" s="1"/>
  <c r="I34" i="140"/>
  <c r="D20" i="114" s="1"/>
  <c r="I30" i="140"/>
  <c r="D16" i="114" s="1"/>
  <c r="D15" i="96"/>
  <c r="H15" i="96"/>
  <c r="C15" i="96"/>
  <c r="J15" i="96"/>
  <c r="O8" i="96"/>
  <c r="O15" i="96" s="1"/>
  <c r="E32" i="140"/>
  <c r="G32" i="140"/>
  <c r="D37" i="96"/>
  <c r="F15" i="97"/>
  <c r="C23" i="117"/>
  <c r="K15" i="97"/>
  <c r="J15" i="97"/>
  <c r="C37" i="96"/>
  <c r="N39" i="97"/>
  <c r="O31" i="97"/>
  <c r="O35" i="97"/>
  <c r="O34" i="97"/>
  <c r="I21" i="117"/>
  <c r="K39" i="97"/>
  <c r="C15" i="97"/>
  <c r="O33" i="97"/>
  <c r="E14" i="140"/>
  <c r="L15" i="97"/>
  <c r="C28" i="140"/>
  <c r="E28" i="140"/>
  <c r="H10" i="140"/>
  <c r="H22" i="140" s="1"/>
  <c r="H23" i="119"/>
  <c r="D28" i="140"/>
  <c r="G28" i="140"/>
  <c r="I43" i="120"/>
  <c r="I19" i="117"/>
  <c r="I17" i="117"/>
  <c r="F28" i="140"/>
  <c r="D10" i="140"/>
  <c r="D22" i="140" s="1"/>
  <c r="D23" i="119"/>
  <c r="I11" i="117"/>
  <c r="I13" i="117"/>
  <c r="G10" i="140"/>
  <c r="I15" i="97"/>
  <c r="D23" i="116"/>
  <c r="H28" i="140"/>
  <c r="N15" i="97"/>
  <c r="E10" i="140"/>
  <c r="I41" i="120"/>
  <c r="I39" i="120"/>
  <c r="H23" i="116"/>
  <c r="C10" i="140"/>
  <c r="F10" i="140"/>
  <c r="I35" i="120"/>
  <c r="E39" i="96"/>
  <c r="D10" i="56"/>
  <c r="J10" i="56"/>
  <c r="L10" i="56"/>
  <c r="K10" i="56"/>
  <c r="I10" i="56"/>
  <c r="G10" i="56"/>
  <c r="M10" i="56"/>
  <c r="N10" i="56"/>
  <c r="H10" i="56"/>
  <c r="O18" i="111"/>
  <c r="C10" i="56"/>
  <c r="F10" i="56"/>
  <c r="M39" i="96"/>
  <c r="L39" i="96"/>
  <c r="L10" i="111" s="1"/>
  <c r="H39" i="96"/>
  <c r="H10" i="111" s="1"/>
  <c r="I39" i="96"/>
  <c r="I10" i="111" s="1"/>
  <c r="I39" i="97"/>
  <c r="M15" i="97"/>
  <c r="O8" i="97"/>
  <c r="O15" i="97" s="1"/>
  <c r="G39" i="97"/>
  <c r="F39" i="97"/>
  <c r="G15" i="97"/>
  <c r="E15" i="97"/>
  <c r="O22" i="97"/>
  <c r="G37" i="96"/>
  <c r="K39" i="96"/>
  <c r="K10" i="111" s="1"/>
  <c r="H39" i="97"/>
  <c r="M39" i="97"/>
  <c r="O30" i="97"/>
  <c r="O44" i="97"/>
  <c r="O32" i="97"/>
  <c r="E39" i="97"/>
  <c r="L39" i="97"/>
  <c r="C39" i="97"/>
  <c r="O43" i="97"/>
  <c r="D39" i="97"/>
  <c r="J39" i="97"/>
  <c r="J39" i="96"/>
  <c r="J10" i="111" s="1"/>
  <c r="F39" i="96"/>
  <c r="F10" i="111" s="1"/>
  <c r="O46" i="96"/>
  <c r="O32" i="96"/>
  <c r="O37" i="96" s="1"/>
  <c r="N39" i="96"/>
  <c r="A54" i="141" l="1"/>
  <c r="Q53" i="141"/>
  <c r="E10" i="111"/>
  <c r="E12" i="111" s="1"/>
  <c r="E13" i="111" s="1"/>
  <c r="E14" i="111" s="1"/>
  <c r="F12" i="111"/>
  <c r="F13" i="111" s="1"/>
  <c r="F14" i="111" s="1"/>
  <c r="M10" i="111"/>
  <c r="M12" i="111" s="1"/>
  <c r="M13" i="111" s="1"/>
  <c r="M14" i="111" s="1"/>
  <c r="J12" i="111"/>
  <c r="J13" i="111" s="1"/>
  <c r="J14" i="111" s="1"/>
  <c r="K12" i="111"/>
  <c r="K13" i="111" s="1"/>
  <c r="K14" i="111" s="1"/>
  <c r="L12" i="111"/>
  <c r="L13" i="111" s="1"/>
  <c r="L14" i="111" s="1"/>
  <c r="N10" i="111"/>
  <c r="N12" i="111" s="1"/>
  <c r="N13" i="111" s="1"/>
  <c r="N14" i="111" s="1"/>
  <c r="F23" i="120"/>
  <c r="G13" i="111"/>
  <c r="G14" i="111" s="1"/>
  <c r="D37" i="120"/>
  <c r="D32" i="140" s="1"/>
  <c r="D40" i="140" s="1"/>
  <c r="H37" i="120"/>
  <c r="H32" i="140" s="1"/>
  <c r="H40" i="140" s="1"/>
  <c r="C37" i="120"/>
  <c r="C32" i="140" s="1"/>
  <c r="C37" i="119"/>
  <c r="C45" i="119" s="1"/>
  <c r="F40" i="140"/>
  <c r="E40" i="140"/>
  <c r="G23" i="117"/>
  <c r="E23" i="117"/>
  <c r="D23" i="117"/>
  <c r="H23" i="117"/>
  <c r="G23" i="116"/>
  <c r="F23" i="116"/>
  <c r="C23" i="116"/>
  <c r="E23" i="116"/>
  <c r="I12" i="111"/>
  <c r="H12" i="111"/>
  <c r="F22" i="140"/>
  <c r="E22" i="140"/>
  <c r="G22" i="140"/>
  <c r="I28" i="140"/>
  <c r="G40" i="140"/>
  <c r="O13" i="96"/>
  <c r="C17" i="79"/>
  <c r="F17" i="111"/>
  <c r="C33" i="79"/>
  <c r="E33" i="79" s="1"/>
  <c r="N17" i="111"/>
  <c r="C19" i="79"/>
  <c r="G17" i="111"/>
  <c r="C29" i="79"/>
  <c r="L17" i="111"/>
  <c r="C13" i="79"/>
  <c r="D17" i="111"/>
  <c r="C11" i="79"/>
  <c r="C17" i="111"/>
  <c r="C27" i="79"/>
  <c r="E27" i="79" s="1"/>
  <c r="K17" i="111"/>
  <c r="C21" i="79"/>
  <c r="H17" i="111"/>
  <c r="C31" i="79"/>
  <c r="E31" i="79" s="1"/>
  <c r="M17" i="111"/>
  <c r="C25" i="79"/>
  <c r="E25" i="79" s="1"/>
  <c r="J17" i="111"/>
  <c r="C23" i="79"/>
  <c r="E23" i="79" s="1"/>
  <c r="I17" i="111"/>
  <c r="I15" i="120"/>
  <c r="I23" i="120" s="1"/>
  <c r="F23" i="119"/>
  <c r="G23" i="119"/>
  <c r="E23" i="119"/>
  <c r="G23" i="120"/>
  <c r="F45" i="119"/>
  <c r="G45" i="119"/>
  <c r="F45" i="120"/>
  <c r="C23" i="120"/>
  <c r="I15" i="117"/>
  <c r="I23" i="117" s="1"/>
  <c r="H45" i="119"/>
  <c r="C23" i="119"/>
  <c r="H23" i="120"/>
  <c r="D45" i="119"/>
  <c r="E23" i="120"/>
  <c r="D23" i="120"/>
  <c r="I33" i="120"/>
  <c r="E45" i="119"/>
  <c r="H45" i="120"/>
  <c r="G45" i="120"/>
  <c r="E45" i="120"/>
  <c r="R8" i="56"/>
  <c r="R10" i="56" s="1"/>
  <c r="O39" i="96"/>
  <c r="O46" i="97"/>
  <c r="O39" i="97"/>
  <c r="A55" i="141" l="1"/>
  <c r="Q54" i="141"/>
  <c r="C45" i="120"/>
  <c r="I37" i="120"/>
  <c r="I45" i="120" s="1"/>
  <c r="D45" i="120"/>
  <c r="C14" i="140"/>
  <c r="C22" i="140" s="1"/>
  <c r="H13" i="111"/>
  <c r="H14" i="111" s="1"/>
  <c r="I13" i="111"/>
  <c r="I14" i="111" s="1"/>
  <c r="C40" i="140"/>
  <c r="I32" i="140"/>
  <c r="D18" i="114" s="1"/>
  <c r="D14" i="114"/>
  <c r="O12" i="111"/>
  <c r="E21" i="79"/>
  <c r="O17" i="111"/>
  <c r="E19" i="79"/>
  <c r="E29" i="79"/>
  <c r="E13" i="79"/>
  <c r="E15" i="79"/>
  <c r="K24" i="108"/>
  <c r="G24" i="108"/>
  <c r="O24" i="108"/>
  <c r="D24" i="108"/>
  <c r="A56" i="141" l="1"/>
  <c r="Q55" i="141"/>
  <c r="O13" i="111"/>
  <c r="I40" i="140"/>
  <c r="O10" i="111"/>
  <c r="D27" i="114"/>
  <c r="E11" i="79"/>
  <c r="E17" i="79"/>
  <c r="F24" i="108"/>
  <c r="N24" i="108"/>
  <c r="J24" i="108"/>
  <c r="L24" i="108"/>
  <c r="E24" i="108"/>
  <c r="I24" i="108"/>
  <c r="M24" i="108"/>
  <c r="H24" i="108"/>
  <c r="C35" i="79"/>
  <c r="C37" i="79" s="1"/>
  <c r="C22" i="143" s="1"/>
  <c r="A57" i="141" l="1"/>
  <c r="Q56" i="141"/>
  <c r="E22" i="143"/>
  <c r="C26" i="143"/>
  <c r="O14" i="111"/>
  <c r="P24" i="108"/>
  <c r="E35" i="79"/>
  <c r="E37" i="79" s="1"/>
  <c r="A58" i="141" l="1"/>
  <c r="Q57" i="141"/>
  <c r="E26" i="143"/>
  <c r="C19" i="32"/>
  <c r="D12" i="17"/>
  <c r="C14" i="46"/>
  <c r="C14" i="47"/>
  <c r="D26" i="47"/>
  <c r="D28" i="47"/>
  <c r="D24" i="47"/>
  <c r="D16" i="47"/>
  <c r="D14" i="47"/>
  <c r="D10" i="47"/>
  <c r="A59" i="141" l="1"/>
  <c r="Q58" i="141"/>
  <c r="F18" i="17"/>
  <c r="B4" i="22"/>
  <c r="B4" i="47"/>
  <c r="B15" i="32"/>
  <c r="B4" i="32"/>
  <c r="A60" i="141" l="1"/>
  <c r="Q59" i="141"/>
  <c r="A4" i="51"/>
  <c r="A4" i="35" s="1"/>
  <c r="D23" i="24"/>
  <c r="D22" i="24"/>
  <c r="D21" i="24"/>
  <c r="D20" i="24"/>
  <c r="D19" i="24"/>
  <c r="D18" i="24"/>
  <c r="D17" i="24"/>
  <c r="D16" i="24"/>
  <c r="D15" i="24"/>
  <c r="D14" i="24"/>
  <c r="D13" i="24"/>
  <c r="B23" i="35"/>
  <c r="B22" i="35"/>
  <c r="B21" i="35"/>
  <c r="B20" i="35"/>
  <c r="B19" i="35"/>
  <c r="B18" i="35"/>
  <c r="B17" i="35"/>
  <c r="B16" i="35"/>
  <c r="B15" i="35"/>
  <c r="B14" i="35"/>
  <c r="B13" i="35"/>
  <c r="A9" i="89"/>
  <c r="G13" i="24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H11" i="17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H22" i="17" s="1"/>
  <c r="A11" i="17"/>
  <c r="A12" i="17" s="1"/>
  <c r="A13" i="17" s="1"/>
  <c r="A14" i="17" s="1"/>
  <c r="A15" i="17" s="1"/>
  <c r="A16" i="17" s="1"/>
  <c r="A17" i="17" s="1"/>
  <c r="A18" i="17" s="1"/>
  <c r="A19" i="17" s="1"/>
  <c r="A20" i="17" s="1"/>
  <c r="G14" i="32"/>
  <c r="G15" i="32" s="1"/>
  <c r="G16" i="32" s="1"/>
  <c r="G17" i="32" s="1"/>
  <c r="G18" i="32" s="1"/>
  <c r="G19" i="32" s="1"/>
  <c r="G20" i="32" s="1"/>
  <c r="G21" i="32" s="1"/>
  <c r="G22" i="32" s="1"/>
  <c r="A14" i="32"/>
  <c r="A15" i="32" s="1"/>
  <c r="A16" i="32" s="1"/>
  <c r="A17" i="32" s="1"/>
  <c r="A18" i="32" s="1"/>
  <c r="A19" i="32" s="1"/>
  <c r="A20" i="32" s="1"/>
  <c r="A21" i="32" s="1"/>
  <c r="A22" i="32" s="1"/>
  <c r="E11" i="47"/>
  <c r="E12" i="47" s="1"/>
  <c r="E13" i="47" s="1"/>
  <c r="E14" i="47" s="1"/>
  <c r="E15" i="47" s="1"/>
  <c r="E16" i="47" s="1"/>
  <c r="E17" i="47" s="1"/>
  <c r="A11" i="46"/>
  <c r="A12" i="46" s="1"/>
  <c r="A13" i="46" s="1"/>
  <c r="A14" i="46" s="1"/>
  <c r="A15" i="46" s="1"/>
  <c r="A16" i="46" s="1"/>
  <c r="A17" i="46" s="1"/>
  <c r="G13" i="51"/>
  <c r="G14" i="51" s="1"/>
  <c r="G15" i="51" s="1"/>
  <c r="G16" i="51" s="1"/>
  <c r="G17" i="51" s="1"/>
  <c r="G18" i="51" s="1"/>
  <c r="G19" i="51" s="1"/>
  <c r="G20" i="51" s="1"/>
  <c r="G21" i="51" s="1"/>
  <c r="G22" i="51" s="1"/>
  <c r="G23" i="51" s="1"/>
  <c r="G24" i="51" s="1"/>
  <c r="G25" i="51" s="1"/>
  <c r="G26" i="51" s="1"/>
  <c r="A13" i="5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E11" i="46"/>
  <c r="E12" i="46" s="1"/>
  <c r="E13" i="46" s="1"/>
  <c r="E14" i="46" s="1"/>
  <c r="E15" i="46" s="1"/>
  <c r="E16" i="46" s="1"/>
  <c r="E17" i="46" s="1"/>
  <c r="A11" i="47"/>
  <c r="A12" i="47" s="1"/>
  <c r="A13" i="47" s="1"/>
  <c r="A14" i="47" s="1"/>
  <c r="A15" i="47" s="1"/>
  <c r="A16" i="47" s="1"/>
  <c r="A17" i="47" s="1"/>
  <c r="D13" i="22"/>
  <c r="C13" i="22"/>
  <c r="H14" i="35"/>
  <c r="H15" i="35" s="1"/>
  <c r="H16" i="35" s="1"/>
  <c r="H17" i="35" s="1"/>
  <c r="H18" i="35" s="1"/>
  <c r="H19" i="35" s="1"/>
  <c r="H20" i="35" s="1"/>
  <c r="H21" i="35" s="1"/>
  <c r="H22" i="35" s="1"/>
  <c r="H23" i="35" s="1"/>
  <c r="H24" i="35" s="1"/>
  <c r="H25" i="35" s="1"/>
  <c r="H26" i="35" s="1"/>
  <c r="H27" i="35" s="1"/>
  <c r="H28" i="35" s="1"/>
  <c r="H29" i="35" s="1"/>
  <c r="H30" i="35" s="1"/>
  <c r="H31" i="35" s="1"/>
  <c r="H32" i="35" s="1"/>
  <c r="H33" i="35" s="1"/>
  <c r="H34" i="35" s="1"/>
  <c r="H35" i="35" s="1"/>
  <c r="H36" i="35" s="1"/>
  <c r="H37" i="35" s="1"/>
  <c r="H38" i="35" s="1"/>
  <c r="H39" i="35" s="1"/>
  <c r="H40" i="35" s="1"/>
  <c r="A14" i="35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13" i="24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G14" i="22"/>
  <c r="G15" i="22" s="1"/>
  <c r="G16" i="22" s="1"/>
  <c r="G17" i="22" s="1"/>
  <c r="G18" i="22" s="1"/>
  <c r="G19" i="22" s="1"/>
  <c r="G20" i="22" s="1"/>
  <c r="G21" i="22" s="1"/>
  <c r="G22" i="22" s="1"/>
  <c r="G23" i="22" s="1"/>
  <c r="A61" i="141" l="1"/>
  <c r="Q60" i="141"/>
  <c r="E13" i="22"/>
  <c r="A40" i="35"/>
  <c r="A21" i="17"/>
  <c r="A22" i="17" s="1"/>
  <c r="A23" i="17" s="1"/>
  <c r="A24" i="17" s="1"/>
  <c r="H23" i="17"/>
  <c r="H24" i="17" s="1"/>
  <c r="A23" i="32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G23" i="32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C8" i="89"/>
  <c r="C9" i="89" s="1"/>
  <c r="E18" i="47"/>
  <c r="E19" i="47" s="1"/>
  <c r="E20" i="47" s="1"/>
  <c r="E21" i="47" s="1"/>
  <c r="E22" i="47" s="1"/>
  <c r="E23" i="47" s="1"/>
  <c r="E24" i="47" s="1"/>
  <c r="E25" i="47" s="1"/>
  <c r="A18" i="47"/>
  <c r="A19" i="47" s="1"/>
  <c r="A20" i="47" s="1"/>
  <c r="A21" i="47" s="1"/>
  <c r="A22" i="47" s="1"/>
  <c r="A23" i="47" s="1"/>
  <c r="A24" i="47" s="1"/>
  <c r="A25" i="47" s="1"/>
  <c r="E18" i="46"/>
  <c r="E19" i="46" s="1"/>
  <c r="E20" i="46" s="1"/>
  <c r="E21" i="46" s="1"/>
  <c r="E22" i="46" s="1"/>
  <c r="E23" i="46" s="1"/>
  <c r="E24" i="46" s="1"/>
  <c r="E25" i="46" s="1"/>
  <c r="A18" i="46"/>
  <c r="A19" i="46" s="1"/>
  <c r="A20" i="46" s="1"/>
  <c r="A21" i="46" s="1"/>
  <c r="A22" i="46" s="1"/>
  <c r="A23" i="46" s="1"/>
  <c r="A24" i="46" s="1"/>
  <c r="B24" i="35"/>
  <c r="C12" i="24"/>
  <c r="C17" i="24"/>
  <c r="E17" i="24" s="1"/>
  <c r="C13" i="24"/>
  <c r="E13" i="24" s="1"/>
  <c r="C21" i="24"/>
  <c r="E21" i="24" s="1"/>
  <c r="C15" i="24"/>
  <c r="E15" i="24" s="1"/>
  <c r="C19" i="24"/>
  <c r="E19" i="24" s="1"/>
  <c r="C23" i="24"/>
  <c r="E23" i="24" s="1"/>
  <c r="C22" i="24"/>
  <c r="E22" i="24" s="1"/>
  <c r="D12" i="24"/>
  <c r="D26" i="24" s="1"/>
  <c r="C16" i="24"/>
  <c r="E16" i="24" s="1"/>
  <c r="A62" i="141" l="1"/>
  <c r="Q61" i="141"/>
  <c r="C13" i="97"/>
  <c r="C13" i="35" s="1"/>
  <c r="E26" i="47"/>
  <c r="E27" i="47" s="1"/>
  <c r="E28" i="47" s="1"/>
  <c r="E29" i="47" s="1"/>
  <c r="E30" i="47" s="1"/>
  <c r="E31" i="47" s="1"/>
  <c r="E32" i="47" s="1"/>
  <c r="E33" i="47" s="1"/>
  <c r="E34" i="47" s="1"/>
  <c r="E35" i="47" s="1"/>
  <c r="E36" i="47" s="1"/>
  <c r="A26" i="47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25" i="46"/>
  <c r="A26" i="46" s="1"/>
  <c r="A27" i="46" s="1"/>
  <c r="A28" i="46" s="1"/>
  <c r="A29" i="46" s="1"/>
  <c r="A30" i="46" s="1"/>
  <c r="A31" i="46" s="1"/>
  <c r="A32" i="46" s="1"/>
  <c r="E26" i="46"/>
  <c r="E27" i="46" s="1"/>
  <c r="E28" i="46" s="1"/>
  <c r="E29" i="46" s="1"/>
  <c r="E30" i="46" s="1"/>
  <c r="E31" i="46" s="1"/>
  <c r="E32" i="46" s="1"/>
  <c r="E12" i="24"/>
  <c r="C18" i="24"/>
  <c r="E18" i="24" s="1"/>
  <c r="C20" i="24"/>
  <c r="E20" i="24" s="1"/>
  <c r="C14" i="24"/>
  <c r="E14" i="24" s="1"/>
  <c r="A63" i="141" l="1"/>
  <c r="Q62" i="141"/>
  <c r="H37" i="97"/>
  <c r="C17" i="51" s="1"/>
  <c r="E17" i="51" s="1"/>
  <c r="H13" i="97"/>
  <c r="C18" i="35" s="1"/>
  <c r="E18" i="35" s="1"/>
  <c r="F18" i="35" s="1"/>
  <c r="G37" i="97"/>
  <c r="C16" i="51" s="1"/>
  <c r="E16" i="51" s="1"/>
  <c r="G13" i="97"/>
  <c r="F37" i="97"/>
  <c r="C15" i="51" s="1"/>
  <c r="E15" i="51" s="1"/>
  <c r="F13" i="97"/>
  <c r="C16" i="35" s="1"/>
  <c r="E16" i="35" s="1"/>
  <c r="F16" i="35" s="1"/>
  <c r="E37" i="97"/>
  <c r="C14" i="51" s="1"/>
  <c r="E14" i="51" s="1"/>
  <c r="E13" i="97"/>
  <c r="J37" i="97"/>
  <c r="C19" i="51" s="1"/>
  <c r="E19" i="51" s="1"/>
  <c r="J13" i="97"/>
  <c r="C20" i="35" s="1"/>
  <c r="E20" i="35" s="1"/>
  <c r="F20" i="35" s="1"/>
  <c r="M37" i="97"/>
  <c r="C22" i="51" s="1"/>
  <c r="E22" i="51" s="1"/>
  <c r="M13" i="97"/>
  <c r="L37" i="97"/>
  <c r="C21" i="51" s="1"/>
  <c r="E21" i="51" s="1"/>
  <c r="L13" i="97"/>
  <c r="C22" i="35" s="1"/>
  <c r="E22" i="35" s="1"/>
  <c r="F22" i="35" s="1"/>
  <c r="K37" i="97"/>
  <c r="C20" i="51" s="1"/>
  <c r="E20" i="51" s="1"/>
  <c r="K13" i="97"/>
  <c r="D37" i="97"/>
  <c r="C13" i="51" s="1"/>
  <c r="E13" i="51" s="1"/>
  <c r="D13" i="97"/>
  <c r="C14" i="35" s="1"/>
  <c r="E14" i="35" s="1"/>
  <c r="F14" i="35" s="1"/>
  <c r="I37" i="97"/>
  <c r="C18" i="51" s="1"/>
  <c r="E18" i="51" s="1"/>
  <c r="I13" i="97"/>
  <c r="C19" i="35" s="1"/>
  <c r="E19" i="35" s="1"/>
  <c r="F19" i="35" s="1"/>
  <c r="N37" i="97"/>
  <c r="C23" i="51" s="1"/>
  <c r="E23" i="51" s="1"/>
  <c r="N13" i="97"/>
  <c r="C24" i="35" s="1"/>
  <c r="E24" i="35" s="1"/>
  <c r="F24" i="35" s="1"/>
  <c r="D26" i="51"/>
  <c r="C37" i="97"/>
  <c r="C12" i="51" s="1"/>
  <c r="E12" i="51" s="1"/>
  <c r="O36" i="97"/>
  <c r="O37" i="97" s="1"/>
  <c r="C26" i="24"/>
  <c r="E26" i="24"/>
  <c r="R40" i="96" s="1"/>
  <c r="A64" i="141" l="1"/>
  <c r="Q63" i="141"/>
  <c r="P16" i="56" s="1"/>
  <c r="P24" i="56" s="1"/>
  <c r="P26" i="56" s="1"/>
  <c r="C17" i="22"/>
  <c r="C15" i="35"/>
  <c r="E15" i="35" s="1"/>
  <c r="F15" i="35" s="1"/>
  <c r="C21" i="35"/>
  <c r="E21" i="35" s="1"/>
  <c r="F21" i="35" s="1"/>
  <c r="C17" i="35"/>
  <c r="E17" i="35" s="1"/>
  <c r="F17" i="35" s="1"/>
  <c r="C23" i="35"/>
  <c r="E23" i="35" s="1"/>
  <c r="F23" i="35" s="1"/>
  <c r="C26" i="51"/>
  <c r="E26" i="51"/>
  <c r="R40" i="97" s="1"/>
  <c r="D26" i="35"/>
  <c r="E25" i="32"/>
  <c r="C34" i="47"/>
  <c r="A65" i="141" l="1"/>
  <c r="Q65" i="141" s="1"/>
  <c r="Q64" i="141"/>
  <c r="D17" i="22"/>
  <c r="E17" i="22" s="1"/>
  <c r="E35" i="32"/>
  <c r="O12" i="97"/>
  <c r="O13" i="97" s="1"/>
  <c r="E21" i="32"/>
  <c r="F14" i="17"/>
  <c r="E13" i="35" l="1"/>
  <c r="C26" i="35"/>
  <c r="E19" i="32"/>
  <c r="F13" i="35" l="1"/>
  <c r="E26" i="35"/>
  <c r="E28" i="35" s="1"/>
  <c r="F12" i="17"/>
  <c r="A16" i="56" l="1"/>
  <c r="A17" i="56" s="1"/>
  <c r="A18" i="56" s="1"/>
  <c r="A19" i="56" s="1"/>
  <c r="A20" i="56" s="1"/>
  <c r="F26" i="35" l="1"/>
  <c r="F34" i="35" l="1"/>
  <c r="F40" i="35" s="1"/>
  <c r="D21" i="22" s="1"/>
  <c r="C21" i="22" l="1"/>
  <c r="E21" i="22"/>
  <c r="F19" i="111" l="1"/>
  <c r="F24" i="56"/>
  <c r="F26" i="56" s="1"/>
  <c r="N24" i="56"/>
  <c r="N26" i="56" s="1"/>
  <c r="N19" i="111"/>
  <c r="J19" i="111"/>
  <c r="J24" i="56"/>
  <c r="J26" i="56" s="1"/>
  <c r="J21" i="111" l="1"/>
  <c r="J25" i="111" s="1"/>
  <c r="J27" i="111" s="1"/>
  <c r="J31" i="111" s="1"/>
  <c r="K63" i="141"/>
  <c r="K64" i="141" s="1"/>
  <c r="F21" i="111"/>
  <c r="F25" i="111" s="1"/>
  <c r="F27" i="111" s="1"/>
  <c r="G63" i="141"/>
  <c r="G64" i="141" s="1"/>
  <c r="N21" i="111"/>
  <c r="N25" i="111" s="1"/>
  <c r="N27" i="111" s="1"/>
  <c r="N31" i="111" s="1"/>
  <c r="O63" i="141"/>
  <c r="O64" i="141" s="1"/>
  <c r="H24" i="56"/>
  <c r="H26" i="56" s="1"/>
  <c r="H19" i="111"/>
  <c r="E24" i="56"/>
  <c r="E26" i="56" s="1"/>
  <c r="E19" i="111"/>
  <c r="L24" i="56"/>
  <c r="L26" i="56" s="1"/>
  <c r="L19" i="111"/>
  <c r="I24" i="56"/>
  <c r="I26" i="56" s="1"/>
  <c r="I19" i="111"/>
  <c r="K24" i="56"/>
  <c r="K26" i="56" s="1"/>
  <c r="K19" i="111"/>
  <c r="G24" i="56"/>
  <c r="G26" i="56" s="1"/>
  <c r="G19" i="111"/>
  <c r="D24" i="56"/>
  <c r="D26" i="56" s="1"/>
  <c r="D19" i="111"/>
  <c r="M24" i="56"/>
  <c r="M26" i="56" s="1"/>
  <c r="M19" i="111"/>
  <c r="F31" i="111" l="1"/>
  <c r="D21" i="111"/>
  <c r="D25" i="111" s="1"/>
  <c r="D27" i="111" s="1"/>
  <c r="D31" i="111" s="1"/>
  <c r="E63" i="141"/>
  <c r="E64" i="141" s="1"/>
  <c r="H21" i="111"/>
  <c r="H25" i="111" s="1"/>
  <c r="H27" i="111" s="1"/>
  <c r="H31" i="111" s="1"/>
  <c r="I63" i="141"/>
  <c r="I64" i="141" s="1"/>
  <c r="M21" i="111"/>
  <c r="M25" i="111" s="1"/>
  <c r="M27" i="111" s="1"/>
  <c r="M31" i="111" s="1"/>
  <c r="N63" i="141"/>
  <c r="N64" i="141" s="1"/>
  <c r="L21" i="111"/>
  <c r="L25" i="111" s="1"/>
  <c r="L27" i="111" s="1"/>
  <c r="L31" i="111" s="1"/>
  <c r="M63" i="141"/>
  <c r="M64" i="141" s="1"/>
  <c r="E21" i="111"/>
  <c r="E25" i="111" s="1"/>
  <c r="E27" i="111" s="1"/>
  <c r="E31" i="111" s="1"/>
  <c r="F63" i="141"/>
  <c r="F64" i="141" s="1"/>
  <c r="I21" i="111"/>
  <c r="I25" i="111" s="1"/>
  <c r="I27" i="111" s="1"/>
  <c r="I31" i="111" s="1"/>
  <c r="J63" i="141"/>
  <c r="J64" i="141" s="1"/>
  <c r="G21" i="111"/>
  <c r="G25" i="111" s="1"/>
  <c r="G27" i="111" s="1"/>
  <c r="G31" i="111" s="1"/>
  <c r="H63" i="141"/>
  <c r="H64" i="141" s="1"/>
  <c r="K21" i="111"/>
  <c r="K25" i="111" s="1"/>
  <c r="K27" i="111" s="1"/>
  <c r="K31" i="111" s="1"/>
  <c r="L63" i="141"/>
  <c r="L64" i="141" l="1"/>
  <c r="R16" i="56"/>
  <c r="C19" i="111"/>
  <c r="O19" i="111" s="1"/>
  <c r="O21" i="111" s="1"/>
  <c r="O25" i="111" s="1"/>
  <c r="O27" i="111" s="1"/>
  <c r="C21" i="111" l="1"/>
  <c r="C25" i="111" s="1"/>
  <c r="C27" i="111" s="1"/>
  <c r="D63" i="141"/>
  <c r="C24" i="56"/>
  <c r="C31" i="111" l="1"/>
  <c r="C32" i="111" s="1"/>
  <c r="P63" i="141"/>
  <c r="D64" i="141"/>
  <c r="R24" i="56"/>
  <c r="R26" i="56" s="1"/>
  <c r="C26" i="56"/>
  <c r="C34" i="111" l="1"/>
  <c r="C38" i="111" s="1"/>
  <c r="D7" i="111" s="1"/>
  <c r="O16" i="56"/>
  <c r="O24" i="56" s="1"/>
  <c r="O26" i="56" s="1"/>
  <c r="P64" i="141"/>
  <c r="D30" i="111" l="1"/>
  <c r="D32" i="111" s="1"/>
  <c r="D34" i="111" s="1"/>
  <c r="D38" i="111" s="1"/>
  <c r="E7" i="111" s="1"/>
  <c r="E30" i="111" s="1"/>
  <c r="E32" i="111" s="1"/>
  <c r="E34" i="111" s="1"/>
  <c r="E38" i="111" s="1"/>
  <c r="F7" i="111" s="1"/>
  <c r="F30" i="111" s="1"/>
  <c r="F32" i="111" s="1"/>
  <c r="F34" i="111" s="1"/>
  <c r="C22" i="46"/>
  <c r="F38" i="111" l="1"/>
  <c r="G7" i="111" s="1"/>
  <c r="E20" i="17"/>
  <c r="C22" i="47"/>
  <c r="G30" i="111" l="1"/>
  <c r="G32" i="111" s="1"/>
  <c r="G34" i="111" s="1"/>
  <c r="G38" i="111" s="1"/>
  <c r="H7" i="111" s="1"/>
  <c r="H30" i="111" s="1"/>
  <c r="H32" i="111" s="1"/>
  <c r="H34" i="111" s="1"/>
  <c r="H38" i="111" s="1"/>
  <c r="I7" i="111" s="1"/>
  <c r="I30" i="111" s="1"/>
  <c r="F16" i="17"/>
  <c r="F20" i="17" s="1"/>
  <c r="E22" i="17" s="1"/>
  <c r="D20" i="17"/>
  <c r="C27" i="32"/>
  <c r="E23" i="32"/>
  <c r="E27" i="32" s="1"/>
  <c r="D22" i="17" l="1"/>
  <c r="F22" i="17" s="1"/>
  <c r="I32" i="111"/>
  <c r="I34" i="111" s="1"/>
  <c r="I38" i="111" l="1"/>
  <c r="J7" i="111" s="1"/>
  <c r="J30" i="111" l="1"/>
  <c r="J32" i="111" s="1"/>
  <c r="J34" i="111" s="1"/>
  <c r="J38" i="111" s="1"/>
  <c r="K7" i="111" s="1"/>
  <c r="K30" i="111" s="1"/>
  <c r="K32" i="111" l="1"/>
  <c r="K34" i="111" s="1"/>
  <c r="K38" i="111" s="1"/>
  <c r="L7" i="111" s="1"/>
  <c r="L30" i="111" s="1"/>
  <c r="L32" i="111" l="1"/>
  <c r="L34" i="111" s="1"/>
  <c r="L38" i="111" s="1"/>
  <c r="M7" i="111" s="1"/>
  <c r="M30" i="111" s="1"/>
  <c r="M32" i="111" s="1"/>
  <c r="M34" i="111" s="1"/>
  <c r="M38" i="111" l="1"/>
  <c r="N7" i="111" s="1"/>
  <c r="N30" i="111" l="1"/>
  <c r="N32" i="111" s="1"/>
  <c r="N34" i="111" s="1"/>
  <c r="O34" i="111" s="1"/>
  <c r="O38" i="111" s="1"/>
  <c r="N38" i="111" l="1"/>
  <c r="C10" i="47"/>
  <c r="C24" i="47" s="1"/>
  <c r="C28" i="47" s="1"/>
  <c r="C10" i="17"/>
  <c r="C10" i="46"/>
  <c r="C24" i="46" s="1"/>
  <c r="C28" i="46" s="1"/>
  <c r="C26" i="46" l="1"/>
  <c r="C30" i="46" s="1"/>
  <c r="C26" i="47"/>
  <c r="E24" i="17"/>
  <c r="D15" i="32" s="1"/>
  <c r="D29" i="32" s="1"/>
  <c r="D24" i="17"/>
  <c r="C30" i="47" l="1"/>
  <c r="C32" i="47"/>
  <c r="C36" i="47" s="1"/>
  <c r="C28" i="116" s="1"/>
  <c r="C32" i="46"/>
  <c r="D31" i="32"/>
  <c r="D33" i="32" s="1"/>
  <c r="D37" i="32" s="1"/>
  <c r="C15" i="32"/>
  <c r="F24" i="17"/>
  <c r="C43" i="116" l="1"/>
  <c r="C20" i="139" s="1"/>
  <c r="C37" i="116"/>
  <c r="C14" i="139" s="1"/>
  <c r="F28" i="116"/>
  <c r="E28" i="116"/>
  <c r="H28" i="116"/>
  <c r="C33" i="116"/>
  <c r="C10" i="139" s="1"/>
  <c r="C41" i="116"/>
  <c r="C18" i="139" s="1"/>
  <c r="C39" i="116"/>
  <c r="C16" i="139" s="1"/>
  <c r="G28" i="116"/>
  <c r="D28" i="116"/>
  <c r="C35" i="116"/>
  <c r="C12" i="139" s="1"/>
  <c r="C28" i="117"/>
  <c r="D15" i="22"/>
  <c r="D19" i="22" s="1"/>
  <c r="C29" i="32"/>
  <c r="C31" i="32" s="1"/>
  <c r="E15" i="32"/>
  <c r="E29" i="32" s="1"/>
  <c r="D23" i="22" l="1"/>
  <c r="C22" i="139"/>
  <c r="C45" i="116"/>
  <c r="C39" i="117"/>
  <c r="C34" i="139" s="1"/>
  <c r="E28" i="117"/>
  <c r="G28" i="117"/>
  <c r="C33" i="117"/>
  <c r="C28" i="139" s="1"/>
  <c r="F28" i="117"/>
  <c r="H28" i="117"/>
  <c r="C43" i="117"/>
  <c r="C38" i="139" s="1"/>
  <c r="C41" i="117"/>
  <c r="C36" i="139" s="1"/>
  <c r="C35" i="117"/>
  <c r="C30" i="139" s="1"/>
  <c r="C37" i="117"/>
  <c r="C32" i="139" s="1"/>
  <c r="D28" i="117"/>
  <c r="E43" i="116"/>
  <c r="E20" i="139" s="1"/>
  <c r="E33" i="116"/>
  <c r="E10" i="139" s="1"/>
  <c r="E41" i="116"/>
  <c r="E18" i="139" s="1"/>
  <c r="E37" i="116"/>
  <c r="E14" i="139" s="1"/>
  <c r="E39" i="116"/>
  <c r="E16" i="139" s="1"/>
  <c r="E35" i="116"/>
  <c r="E12" i="139" s="1"/>
  <c r="E31" i="32"/>
  <c r="E33" i="32" s="1"/>
  <c r="E37" i="32" s="1"/>
  <c r="F43" i="116"/>
  <c r="F20" i="139" s="1"/>
  <c r="F33" i="116"/>
  <c r="F39" i="116"/>
  <c r="F16" i="139" s="1"/>
  <c r="F41" i="116"/>
  <c r="F18" i="139" s="1"/>
  <c r="F35" i="116"/>
  <c r="F12" i="139" s="1"/>
  <c r="F37" i="116"/>
  <c r="F14" i="139" s="1"/>
  <c r="D41" i="116"/>
  <c r="D18" i="139" s="1"/>
  <c r="D33" i="116"/>
  <c r="D35" i="116"/>
  <c r="D12" i="139" s="1"/>
  <c r="D37" i="116"/>
  <c r="D14" i="139" s="1"/>
  <c r="D43" i="116"/>
  <c r="D20" i="139" s="1"/>
  <c r="D39" i="116"/>
  <c r="D16" i="139" s="1"/>
  <c r="G39" i="116"/>
  <c r="G16" i="139" s="1"/>
  <c r="G41" i="116"/>
  <c r="G18" i="139" s="1"/>
  <c r="G43" i="116"/>
  <c r="G20" i="139" s="1"/>
  <c r="G35" i="116"/>
  <c r="G12" i="139" s="1"/>
  <c r="G37" i="116"/>
  <c r="G14" i="139" s="1"/>
  <c r="G33" i="116"/>
  <c r="H43" i="116"/>
  <c r="H20" i="139" s="1"/>
  <c r="H41" i="116"/>
  <c r="H18" i="139" s="1"/>
  <c r="H33" i="116"/>
  <c r="H35" i="116"/>
  <c r="H12" i="139" s="1"/>
  <c r="H37" i="116"/>
  <c r="H14" i="139" s="1"/>
  <c r="H39" i="116"/>
  <c r="H16" i="139" s="1"/>
  <c r="E22" i="139" l="1"/>
  <c r="C45" i="117"/>
  <c r="E45" i="116"/>
  <c r="H10" i="139"/>
  <c r="H22" i="139" s="1"/>
  <c r="H45" i="116"/>
  <c r="D10" i="139"/>
  <c r="D22" i="139" s="1"/>
  <c r="D45" i="116"/>
  <c r="C33" i="32"/>
  <c r="C37" i="32" s="1"/>
  <c r="D33" i="117"/>
  <c r="D35" i="117"/>
  <c r="D39" i="117"/>
  <c r="D34" i="139" s="1"/>
  <c r="D43" i="117"/>
  <c r="D41" i="117"/>
  <c r="D36" i="139" s="1"/>
  <c r="D37" i="117"/>
  <c r="D32" i="139" s="1"/>
  <c r="G35" i="117"/>
  <c r="G30" i="139" s="1"/>
  <c r="G41" i="117"/>
  <c r="G36" i="139" s="1"/>
  <c r="G39" i="117"/>
  <c r="G34" i="139" s="1"/>
  <c r="G37" i="117"/>
  <c r="G32" i="139" s="1"/>
  <c r="G33" i="117"/>
  <c r="G28" i="139" s="1"/>
  <c r="G43" i="117"/>
  <c r="G38" i="139" s="1"/>
  <c r="H35" i="117"/>
  <c r="H30" i="139" s="1"/>
  <c r="H39" i="117"/>
  <c r="H34" i="139" s="1"/>
  <c r="H33" i="117"/>
  <c r="H28" i="139" s="1"/>
  <c r="H37" i="117"/>
  <c r="H32" i="139" s="1"/>
  <c r="H43" i="117"/>
  <c r="H38" i="139" s="1"/>
  <c r="H41" i="117"/>
  <c r="H36" i="139" s="1"/>
  <c r="E41" i="117"/>
  <c r="E36" i="139" s="1"/>
  <c r="E39" i="117"/>
  <c r="E34" i="139" s="1"/>
  <c r="E33" i="117"/>
  <c r="E28" i="139" s="1"/>
  <c r="E37" i="117"/>
  <c r="E32" i="139" s="1"/>
  <c r="E43" i="117"/>
  <c r="E38" i="139" s="1"/>
  <c r="E35" i="117"/>
  <c r="E30" i="139" s="1"/>
  <c r="G10" i="139"/>
  <c r="G22" i="139" s="1"/>
  <c r="G45" i="116"/>
  <c r="F10" i="139"/>
  <c r="F22" i="139" s="1"/>
  <c r="F45" i="116"/>
  <c r="F43" i="117"/>
  <c r="F38" i="139" s="1"/>
  <c r="F41" i="117"/>
  <c r="F36" i="139" s="1"/>
  <c r="F33" i="117"/>
  <c r="F28" i="139" s="1"/>
  <c r="F39" i="117"/>
  <c r="F34" i="139" s="1"/>
  <c r="F35" i="117"/>
  <c r="F30" i="139" s="1"/>
  <c r="F37" i="117"/>
  <c r="F32" i="139" s="1"/>
  <c r="C40" i="139"/>
  <c r="I37" i="117" l="1"/>
  <c r="H40" i="139"/>
  <c r="E45" i="117"/>
  <c r="F40" i="139"/>
  <c r="I36" i="139"/>
  <c r="C22" i="114" s="1"/>
  <c r="E22" i="114" s="1"/>
  <c r="D45" i="117"/>
  <c r="I39" i="117"/>
  <c r="I41" i="117"/>
  <c r="E40" i="139"/>
  <c r="I34" i="139"/>
  <c r="C20" i="114" s="1"/>
  <c r="F20" i="114" s="1"/>
  <c r="F45" i="117"/>
  <c r="H45" i="117"/>
  <c r="G40" i="139"/>
  <c r="G45" i="117"/>
  <c r="D28" i="139"/>
  <c r="I28" i="139" s="1"/>
  <c r="C14" i="114" s="1"/>
  <c r="I33" i="117"/>
  <c r="D38" i="139"/>
  <c r="I38" i="139" s="1"/>
  <c r="C24" i="114" s="1"/>
  <c r="F24" i="114" s="1"/>
  <c r="I43" i="117"/>
  <c r="C15" i="22"/>
  <c r="C19" i="22" s="1"/>
  <c r="D30" i="139"/>
  <c r="I30" i="139" s="1"/>
  <c r="C16" i="114" s="1"/>
  <c r="I35" i="117"/>
  <c r="I32" i="139"/>
  <c r="F22" i="114" l="1"/>
  <c r="E20" i="114"/>
  <c r="I45" i="117"/>
  <c r="E24" i="114"/>
  <c r="E16" i="114"/>
  <c r="F16" i="114"/>
  <c r="D40" i="139"/>
  <c r="E14" i="114"/>
  <c r="F14" i="114"/>
  <c r="E15" i="22"/>
  <c r="E19" i="22" s="1"/>
  <c r="C23" i="22"/>
  <c r="C18" i="114"/>
  <c r="I40" i="139"/>
  <c r="E23" i="22" l="1"/>
  <c r="E18" i="114"/>
  <c r="E27" i="114" s="1"/>
  <c r="F18" i="114"/>
  <c r="C27" i="114"/>
  <c r="F27" i="1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LTanedo</author>
  </authors>
  <commentList>
    <comment ref="C8" authorId="0" shapeId="0" xr:uid="{FBD24620-5189-40C6-A1C6-91C2C898EF7F}">
      <text>
        <r>
          <rPr>
            <b/>
            <sz val="9"/>
            <color indexed="81"/>
            <rFont val="Tahoma"/>
            <family val="2"/>
          </rPr>
          <t>LTanedo:</t>
        </r>
        <r>
          <rPr>
            <sz val="9"/>
            <color indexed="81"/>
            <rFont val="Tahoma"/>
            <family val="2"/>
          </rPr>
          <t xml:space="preserve">
fixed amount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LTanedo</author>
  </authors>
  <commentList>
    <comment ref="C4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LTanedo:</t>
        </r>
        <r>
          <rPr>
            <sz val="9"/>
            <color indexed="81"/>
            <rFont val="Tahoma"/>
            <family val="2"/>
          </rPr>
          <t xml:space="preserve">
Input data as opposite sign from the TRBAA Revenue spreadsheet</t>
        </r>
      </text>
    </comment>
  </commentList>
</comments>
</file>

<file path=xl/sharedStrings.xml><?xml version="1.0" encoding="utf-8"?>
<sst xmlns="http://schemas.openxmlformats.org/spreadsheetml/2006/main" count="1194" uniqueCount="549">
  <si>
    <t>6791</t>
  </si>
  <si>
    <t>CRR Accrued Interest Allocation</t>
  </si>
  <si>
    <t>Wheeling Revenues Forecast</t>
  </si>
  <si>
    <t>Grand Total</t>
  </si>
  <si>
    <t>FERC INTEREST RATE</t>
  </si>
  <si>
    <t>Days in Year</t>
  </si>
  <si>
    <t>Days in Month</t>
  </si>
  <si>
    <t>Verification of Interest Rates</t>
  </si>
  <si>
    <t>Monthly Interest Rate - Calculated</t>
  </si>
  <si>
    <t>FERC Interest Rates - Website</t>
  </si>
  <si>
    <t>Interest Expense Calculations:</t>
  </si>
  <si>
    <t>EP Penalty Allocation Payment</t>
  </si>
  <si>
    <t>Day Ahead Energy Congestion Loss Management</t>
  </si>
  <si>
    <t>Spinning Reserve Obligation Settlement</t>
  </si>
  <si>
    <t>Non-Spinning Reserve Obligation Settlement</t>
  </si>
  <si>
    <t>Real-Time Instructed Imbalance Energy Settlement</t>
  </si>
  <si>
    <t>Real-Time Imbalanced Energy Offset</t>
  </si>
  <si>
    <t>Real Time Bid Cost Recovery Allocation</t>
  </si>
  <si>
    <t>Real Time Congestion Offset</t>
  </si>
  <si>
    <t>Real Time Market Congestion Credit Settlement</t>
  </si>
  <si>
    <t>CRR Balancing Account</t>
  </si>
  <si>
    <t>Allocation of Transmission Loss Obligation Charge for Real Time Schedule Under Control Agreement</t>
  </si>
  <si>
    <t>Statement BK-2</t>
  </si>
  <si>
    <t>Statement BL</t>
  </si>
  <si>
    <t>Retail TRBAA Rate Calculation</t>
  </si>
  <si>
    <t>Statement BD</t>
  </si>
  <si>
    <t>Allocation Energy and Supporting Data</t>
  </si>
  <si>
    <t>a</t>
  </si>
  <si>
    <t>Sum Lines 1 thru 12</t>
  </si>
  <si>
    <t>Gross Load - MWh</t>
  </si>
  <si>
    <t>Utility Specific Access Charges ($/MWh)</t>
  </si>
  <si>
    <t>B. Allocation of High Voltage Wheeling Revenues:</t>
  </si>
  <si>
    <t>Beginning</t>
  </si>
  <si>
    <t>TOTAL</t>
  </si>
  <si>
    <t>NOTES:</t>
  </si>
  <si>
    <t>See Note 1</t>
  </si>
  <si>
    <t>1</t>
  </si>
  <si>
    <t>Date</t>
  </si>
  <si>
    <t>(385)</t>
  </si>
  <si>
    <t>Standby Revenues</t>
  </si>
  <si>
    <t xml:space="preserve">      Total</t>
  </si>
  <si>
    <t>October</t>
  </si>
  <si>
    <t>November</t>
  </si>
  <si>
    <t>December</t>
  </si>
  <si>
    <t>January</t>
  </si>
  <si>
    <t>February</t>
  </si>
  <si>
    <t>March</t>
  </si>
  <si>
    <t>Allocation Of Beginning TRBAA Balance Based on Forecast Balances</t>
  </si>
  <si>
    <t>April</t>
  </si>
  <si>
    <t>May</t>
  </si>
  <si>
    <t>June</t>
  </si>
  <si>
    <t>July</t>
  </si>
  <si>
    <t>August</t>
  </si>
  <si>
    <t>September</t>
  </si>
  <si>
    <t>Beginning Balance (Overcollection)/Undercollection</t>
  </si>
  <si>
    <t>Previous Month's Balance</t>
  </si>
  <si>
    <t xml:space="preserve">   TRBAA Rate</t>
  </si>
  <si>
    <t>Line 4 x Line 5</t>
  </si>
  <si>
    <t xml:space="preserve">      Beginning Balance for Interest Calculation</t>
  </si>
  <si>
    <t xml:space="preserve">      Monthly Activity Included in Interest Calculation Basis</t>
  </si>
  <si>
    <t>Interest Calculation Basis</t>
  </si>
  <si>
    <t xml:space="preserve">      Basis for Interest Expense Calculation</t>
  </si>
  <si>
    <t xml:space="preserve">      Monthly Interest Rate</t>
  </si>
  <si>
    <t>FERC Monthly Rates</t>
  </si>
  <si>
    <t xml:space="preserve">         Interest Expense</t>
  </si>
  <si>
    <t>Ending Balance (Overcollection)/Undercollection</t>
  </si>
  <si>
    <t>Difference</t>
  </si>
  <si>
    <t>TRBAA Refund</t>
  </si>
  <si>
    <t xml:space="preserve">   TRBAA Refunds/Collections Excluding Uncollectibles</t>
  </si>
  <si>
    <t>High Voltage Wheeling Revenues:</t>
  </si>
  <si>
    <t>ISO Charge Type 384</t>
  </si>
  <si>
    <t>Adjusted for Known and Measurable Changes.</t>
  </si>
  <si>
    <t>Neutrality Adjustment</t>
  </si>
  <si>
    <t>4575</t>
  </si>
  <si>
    <t>Settlements, Metering, Client Relations</t>
  </si>
  <si>
    <t>0550</t>
  </si>
  <si>
    <t>FERC Fees</t>
  </si>
  <si>
    <t xml:space="preserve">      CT 384 - HV Wheeling Revenues Due TO</t>
  </si>
  <si>
    <t>PTO Related - ISO Charge Types:</t>
  </si>
  <si>
    <t xml:space="preserve">   Settlements, Metering and Client Relations</t>
  </si>
  <si>
    <t>Franchise Fees &amp; Uncollectible Adjustment:</t>
  </si>
  <si>
    <t xml:space="preserve">          Sub-Total Adjustment</t>
  </si>
  <si>
    <t xml:space="preserve">        Total TRBAA Refund Including Franchise Fees &amp; Uncollectibles</t>
  </si>
  <si>
    <t>Line No.</t>
  </si>
  <si>
    <t>Declined Hourly Pre-Dispatched Penalty Allocation</t>
  </si>
  <si>
    <t xml:space="preserve">   Wheeling Revenues </t>
  </si>
  <si>
    <t xml:space="preserve">   Settlements, Metering and Client Relations </t>
  </si>
  <si>
    <t>No.</t>
  </si>
  <si>
    <t>Total</t>
  </si>
  <si>
    <t>TRBAA</t>
  </si>
  <si>
    <t>TRR</t>
  </si>
  <si>
    <t>Reference</t>
  </si>
  <si>
    <t>SAN DIEGO GAS &amp; ELECTRIC COMPANY</t>
  </si>
  <si>
    <t>Line</t>
  </si>
  <si>
    <t>Months</t>
  </si>
  <si>
    <t>No</t>
  </si>
  <si>
    <t xml:space="preserve">High Voltage </t>
  </si>
  <si>
    <t>Wheeling Revenues</t>
  </si>
  <si>
    <t>Low Voltage</t>
  </si>
  <si>
    <t>Components</t>
  </si>
  <si>
    <t>High Voltage</t>
  </si>
  <si>
    <t>Transmission Revenue Credits Forecast:</t>
  </si>
  <si>
    <t xml:space="preserve">   Wheeling Revenues</t>
  </si>
  <si>
    <t>Total Transmission Revenue Credits Forecast</t>
  </si>
  <si>
    <t>Combined</t>
  </si>
  <si>
    <t>Line 7 / Line 9</t>
  </si>
  <si>
    <t>Notes &amp; Reference</t>
  </si>
  <si>
    <t xml:space="preserve">Retail - TRBAA </t>
  </si>
  <si>
    <t>San Diego Gas &amp; Electric Company</t>
  </si>
  <si>
    <t>Wholesale Customers - HVTRR &amp; LVTRR Calculation</t>
  </si>
  <si>
    <t>Sum ( Lines 1, 3, &amp; 5 )</t>
  </si>
  <si>
    <t>Forecast - Wheeling Revenues</t>
  </si>
  <si>
    <t>Forecast - Settlements, Metering and Client Relations</t>
  </si>
  <si>
    <t>Allocation Factors Based on Revenue Credit Forecast</t>
  </si>
  <si>
    <t>High Voltage &amp; Low Voltage Component</t>
  </si>
  <si>
    <t>(A)</t>
  </si>
  <si>
    <t xml:space="preserve">(B) </t>
  </si>
  <si>
    <t>(C) = (A) - (B)</t>
  </si>
  <si>
    <t>@ Meter Level</t>
  </si>
  <si>
    <t>Description</t>
  </si>
  <si>
    <t>Statement BK-1</t>
  </si>
  <si>
    <t>FOOTNOTES to Monthly TRBAA Balance:</t>
  </si>
  <si>
    <t>ISO Charge Type 4575</t>
  </si>
  <si>
    <t>Total Retail TRBAA Forecast - Including Franchise Fees &amp; Uncollectible Expense</t>
  </si>
  <si>
    <t>A. Development of Allocation Factors:</t>
  </si>
  <si>
    <t>TRBAA Balance</t>
  </si>
  <si>
    <t>Invoice Deviation Interest Distribution</t>
  </si>
  <si>
    <t>Invoice Deviation Interest Allocation</t>
  </si>
  <si>
    <t>MWH SALES FORECAST @ Transmission Level</t>
  </si>
  <si>
    <t>Retail TRBAA Rate ($/kWh)</t>
  </si>
  <si>
    <t>Wholesale Transmission Revenue Requirement</t>
  </si>
  <si>
    <t>Wholesale Transmission Revenue Requirements</t>
  </si>
  <si>
    <t>(B)</t>
  </si>
  <si>
    <t>San Diego Gas &amp; Electric</t>
  </si>
  <si>
    <t>System Delivery Determinants</t>
  </si>
  <si>
    <t>Customer Class Deliveries (MWh)</t>
  </si>
  <si>
    <t>Residential</t>
  </si>
  <si>
    <t>Small Commercial</t>
  </si>
  <si>
    <t>Med. &amp; Large Comm./Ind.</t>
  </si>
  <si>
    <t>Lighting</t>
  </si>
  <si>
    <t>Sale for Resale</t>
  </si>
  <si>
    <t>Total System</t>
  </si>
  <si>
    <t>Total System - EXCLUDING Sale for Resale</t>
  </si>
  <si>
    <t>Medium &amp; Large Details - Deliveries in MWH:</t>
  </si>
  <si>
    <t>Med &amp; Large C/I (AL+AY+DGR)</t>
  </si>
  <si>
    <t>Med &amp; Large C/I (A6)</t>
  </si>
  <si>
    <t>Customer Class Deliveries (kWh)</t>
  </si>
  <si>
    <t>Medium &amp; Large Details - Deliveries in kWh:</t>
  </si>
  <si>
    <t>Franchise Fees Expense Rate</t>
  </si>
  <si>
    <t xml:space="preserve">     Combined FF&amp;U Adjustment Rate</t>
  </si>
  <si>
    <t>Uncollectible Expense Adjustment Rate</t>
  </si>
  <si>
    <t xml:space="preserve">   Total Recorded &amp; Forecast Gross Plant Balances; Dollars in ($000)</t>
  </si>
  <si>
    <t>7056</t>
  </si>
  <si>
    <t>Flexible Ramp Cost Allocation</t>
  </si>
  <si>
    <t>4515</t>
  </si>
  <si>
    <t>Bid Segment Fee</t>
  </si>
  <si>
    <t>Flexible Ramp Supply Cost Allocation Reversal</t>
  </si>
  <si>
    <t>Monthly Flexible Ramp Supply Cost Allocation</t>
  </si>
  <si>
    <t>Forecast sales are used to develop Statements BG and BH, Revenues at Proposed Rates and Revenues at Present Rates.</t>
  </si>
  <si>
    <t>Total Wholesale TRBAA Before Franchise Fees</t>
  </si>
  <si>
    <t>HIGH VOLTAGE</t>
  </si>
  <si>
    <t>Requirements</t>
  </si>
  <si>
    <t>LOW VOLTAGE</t>
  </si>
  <si>
    <t>Transmission</t>
  </si>
  <si>
    <t xml:space="preserve">Revenue </t>
  </si>
  <si>
    <t>Total TRBAA Before Franchise Fees and Uncollectibles</t>
  </si>
  <si>
    <t>CT 4575 - Settlements, Metering, &amp; Client Relations (SDGE-PTO)</t>
  </si>
  <si>
    <t>Sum Lines 2 through 5</t>
  </si>
  <si>
    <t>6460</t>
  </si>
  <si>
    <t>FMM Instructed Imbalance Energy Settlement</t>
  </si>
  <si>
    <t>INPUT FROM FORECAST INFORMATION:</t>
  </si>
  <si>
    <t>Retail Energy Sales</t>
  </si>
  <si>
    <t>Net of Sale for Resale</t>
  </si>
  <si>
    <t>Plus Sale for Resale</t>
  </si>
  <si>
    <t xml:space="preserve">   Kwh (Excluding Sales for Resale).</t>
  </si>
  <si>
    <t>Agriculture (PA)</t>
  </si>
  <si>
    <t>Agriculture (PA-T-1)</t>
  </si>
  <si>
    <t>Agriculture (PA and TOU-PA)</t>
  </si>
  <si>
    <t>Med &amp; Large C/I (AD)</t>
  </si>
  <si>
    <t>This information is used for CAISO TAC purposes as shown in Statement BL -Wholesale. The sales forecast excludes Sale for Resale.</t>
  </si>
  <si>
    <t>Real Time Marginal Losses Offset</t>
  </si>
  <si>
    <t>GMC - Market Service Charge</t>
  </si>
  <si>
    <t>GMC - System Operations Charge</t>
  </si>
  <si>
    <t>GMC - Transmission Ownership Rights</t>
  </si>
  <si>
    <t>TRBAA Revenues</t>
  </si>
  <si>
    <t>Charge Type</t>
  </si>
  <si>
    <r>
      <t xml:space="preserve">Wholesale Base Transmission Revenue Requirement  </t>
    </r>
    <r>
      <rPr>
        <b/>
        <vertAlign val="superscript"/>
        <sz val="12"/>
        <rFont val="Times New Roman"/>
        <family val="1"/>
      </rPr>
      <t>1</t>
    </r>
  </si>
  <si>
    <t>Transmission Revenue</t>
  </si>
  <si>
    <r>
      <t xml:space="preserve">Total Wholesale TRBAA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</si>
  <si>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 xml:space="preserve">Transmission Standby Revenue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</si>
  <si>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Wheeling Revenues are assigned 100% to High Voltage facilities</t>
  </si>
  <si>
    <t>Sum Lines 11 thru 14</t>
  </si>
  <si>
    <t>Line 24 + Line 25</t>
  </si>
  <si>
    <t>Line 26 x Line 27</t>
  </si>
  <si>
    <t>Minus Line 8 + (Line 19)</t>
  </si>
  <si>
    <t>Sum Lines 15; 18</t>
  </si>
  <si>
    <t>Sum Line 17</t>
  </si>
  <si>
    <t xml:space="preserve">   ETC Cost Differentials</t>
  </si>
  <si>
    <t>Generator Interconnection Process Forfeited Deposit Allocation</t>
  </si>
  <si>
    <t>Forecast - ETC Cost Differentials</t>
  </si>
  <si>
    <r>
      <t xml:space="preserve">   Franchise Fees &amp; Uncollectible Expense Adjustment  </t>
    </r>
    <r>
      <rPr>
        <b/>
        <vertAlign val="superscript"/>
        <sz val="12"/>
        <rFont val="Times New Roman"/>
        <family val="1"/>
      </rPr>
      <t>1</t>
    </r>
  </si>
  <si>
    <t>Sum {Line 5 thru Line 11}</t>
  </si>
  <si>
    <t>Line 1 + Line 13</t>
  </si>
  <si>
    <t>Sum {Line 7 through Line 13}</t>
  </si>
  <si>
    <t>Line 17 + Line 19</t>
  </si>
  <si>
    <t>Sum {Line 5 through Line 11}</t>
  </si>
  <si>
    <t>Total Per TRBAA Details (From Regulatory Reporting)</t>
  </si>
  <si>
    <t xml:space="preserve">   Existing Transmission Contract (ETC) Cost Differentials</t>
  </si>
  <si>
    <t xml:space="preserve">CAISO Settlements, Metering and Client Relations forecast is based on the recorded new rates under MRTU of $1,000 per month. </t>
  </si>
  <si>
    <t>Coordinator for APS-IID where the amount is included as part of ETC Cost Differentials.</t>
  </si>
  <si>
    <t xml:space="preserve">This amount represents the amount charged to SDG&amp;E as a PTO. A similar amount is charged to SDG&amp;E as the Scheduling </t>
  </si>
  <si>
    <t>ETC Cost Differentials from CAISO</t>
  </si>
  <si>
    <t>ETC Cost Differentials Charge Types</t>
  </si>
  <si>
    <t xml:space="preserve">   Other PTO Related Revenue (Credits)/Charges</t>
  </si>
  <si>
    <t>Forecast - Other PTO Related Revenue (Credits)/Charges</t>
  </si>
  <si>
    <t>Other PTO Related Revenue (Credits)/Charges</t>
  </si>
  <si>
    <r>
      <t xml:space="preserve">Other PTO Related Revenue (Credits)/Charge Types  </t>
    </r>
    <r>
      <rPr>
        <b/>
        <vertAlign val="superscript"/>
        <sz val="14"/>
        <rFont val="Times New Roman"/>
        <family val="1"/>
      </rPr>
      <t>a</t>
    </r>
  </si>
  <si>
    <t>Statement BG</t>
  </si>
  <si>
    <t>(Statement BG)</t>
  </si>
  <si>
    <t>(Statement BH)</t>
  </si>
  <si>
    <t>(%)</t>
  </si>
  <si>
    <t>Customer Classes</t>
  </si>
  <si>
    <t>($) Change</t>
  </si>
  <si>
    <t>Residential Customers</t>
  </si>
  <si>
    <t>Small Commercial Customers</t>
  </si>
  <si>
    <t>Street Lighting Customers</t>
  </si>
  <si>
    <t xml:space="preserve">     Grand Total</t>
  </si>
  <si>
    <t>Sum Lines 1 through 11</t>
  </si>
  <si>
    <t>SAN DIEGO GAS AND ELECTRIC COMPANY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</si>
  <si>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</si>
  <si>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</si>
  <si>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</si>
  <si>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</si>
  <si>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</si>
  <si>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</si>
  <si>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</si>
  <si>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</si>
  <si>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</si>
  <si>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</si>
  <si>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</si>
  <si>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r>
      <t xml:space="preserve">Agriculture (PA-T-1)  </t>
    </r>
    <r>
      <rPr>
        <b/>
        <vertAlign val="superscript"/>
        <sz val="12"/>
        <rFont val="Times New Roman"/>
        <family val="1"/>
      </rPr>
      <t>5</t>
    </r>
  </si>
  <si>
    <r>
      <t xml:space="preserve">Street Lighting  </t>
    </r>
    <r>
      <rPr>
        <b/>
        <vertAlign val="superscript"/>
        <sz val="12"/>
        <rFont val="Times New Roman"/>
        <family val="1"/>
      </rPr>
      <t>6</t>
    </r>
  </si>
  <si>
    <t>Energy (kWh)</t>
  </si>
  <si>
    <t xml:space="preserve">Small Commercial </t>
  </si>
  <si>
    <t>Street Lighting</t>
  </si>
  <si>
    <t>Sum Lines 1 thru 11</t>
  </si>
  <si>
    <t>$/(kWh)</t>
  </si>
  <si>
    <t>Revenues @ Changed Rates</t>
  </si>
  <si>
    <t xml:space="preserve">   TOTAL</t>
  </si>
  <si>
    <t>(N)</t>
  </si>
  <si>
    <t>(O)</t>
  </si>
  <si>
    <t>Statement BH</t>
  </si>
  <si>
    <t>TRBAA @ Present Rates</t>
  </si>
  <si>
    <r>
      <t xml:space="preserve">Allocation of Beginning TRBAA Balance  </t>
    </r>
    <r>
      <rPr>
        <b/>
        <vertAlign val="superscript"/>
        <sz val="12"/>
        <rFont val="Times New Roman"/>
        <family val="1"/>
      </rPr>
      <t>1</t>
    </r>
  </si>
  <si>
    <t>Real Time System Imbalance Energy Offset</t>
  </si>
  <si>
    <t xml:space="preserve">Med. &amp; Large Comm./Ind. </t>
  </si>
  <si>
    <t>Line 1 x Line 18</t>
  </si>
  <si>
    <t>(D) = (C) / (B)</t>
  </si>
  <si>
    <t>(C) = (A) + (B)</t>
  </si>
  <si>
    <t>Actual Recorded Month</t>
  </si>
  <si>
    <t>San Diego Gas &amp; Electric Co.</t>
  </si>
  <si>
    <t>Total Franchise Fees and Uncollectible</t>
  </si>
  <si>
    <t>Line 15 + Line 21</t>
  </si>
  <si>
    <t>Workpaper No. 1; Page 1.1; Lines 30; 29</t>
  </si>
  <si>
    <t>Workpaper No. 1; Page 1.2; Lines 30; 29</t>
  </si>
  <si>
    <t>Workpaper No. 1; Page 1.2; Line 23</t>
  </si>
  <si>
    <t>Workpaper No. 1; Page 1.2; Line 24</t>
  </si>
  <si>
    <t>Workpaper No. 1; Page 1.2; Line 25</t>
  </si>
  <si>
    <t>Workpaper No. 1; Page 1.2; Line 26</t>
  </si>
  <si>
    <t>Workpaper No. 1; Page 1.2; Line 27</t>
  </si>
  <si>
    <t>Workpaper No. 1; Page 1.2; Line 28</t>
  </si>
  <si>
    <t>Work Paper No. 1; Page 1.1; Line 32</t>
  </si>
  <si>
    <t>Per TRBAA Schedule; Workpaper 4.1 to 4.4; Line 14</t>
  </si>
  <si>
    <t>Line 23 / Line 25</t>
  </si>
  <si>
    <t>Primary Level Distribution Loss Factor</t>
  </si>
  <si>
    <t>Per TRBAA Schedule; Workpaper 4.1 to 4.4; Line 13</t>
  </si>
  <si>
    <t>Spinning Reserve Neutrality Allocation</t>
  </si>
  <si>
    <r>
      <t xml:space="preserve"> </t>
    </r>
    <r>
      <rPr>
        <b/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  The Franchise Fees and Uncollectible expense amount adjustment are removed from the amount collected from/(refunded) to customers to properly balance in the TRBAA mechanism only the approved revenue credits and CAISO charges.</t>
    </r>
  </si>
  <si>
    <t xml:space="preserve">            Net </t>
  </si>
  <si>
    <t>ISO Charge Type 382</t>
  </si>
  <si>
    <t xml:space="preserve">    CT 384/ CT 382 - HV Wheeling Revenues Due TO/Due ISO (Net)</t>
  </si>
  <si>
    <t>Work Paper No. 5; Page 5.1-5.2; Line 4</t>
  </si>
  <si>
    <t>Work Paper No. 5; Page 5.1-5.2; Line 7</t>
  </si>
  <si>
    <t>Work Paper No. 5; Page 5.1-5.2; Line 10</t>
  </si>
  <si>
    <t>Work paper No. 4; Page 4.4; Line 32</t>
  </si>
  <si>
    <t xml:space="preserve">          Sub-Total Monthly PTO Related Activity</t>
  </si>
  <si>
    <t xml:space="preserve">               Total </t>
  </si>
  <si>
    <t>Net Monthly Activity (Net Refunds, Revenues, Expenses, &amp; Adjustments)</t>
  </si>
  <si>
    <t>Line 1 + Line 21 + Line 28 + Line 30</t>
  </si>
  <si>
    <t>(384)/(382)-Net</t>
  </si>
  <si>
    <t>See Note 3</t>
  </si>
  <si>
    <t>See Note 2</t>
  </si>
  <si>
    <t>Work paper No. 2 Page 2.1; Line 15</t>
  </si>
  <si>
    <t>Sum Lines 3 through 9</t>
  </si>
  <si>
    <t>Ratios Per Line 11</t>
  </si>
  <si>
    <t>Column (A) Line 1 x Line 13</t>
  </si>
  <si>
    <t>Work paper No. 5; Page 5.1 and 5.2; Line 4</t>
  </si>
  <si>
    <t>Energy Sales</t>
  </si>
  <si>
    <t>Sales</t>
  </si>
  <si>
    <t>@ Transmission</t>
  </si>
  <si>
    <t>MWh Sales</t>
  </si>
  <si>
    <t>(City of Escondido)</t>
  </si>
  <si>
    <t>Level</t>
  </si>
  <si>
    <t>Retail Sales Forecast @ Meter Level</t>
  </si>
  <si>
    <t>Column B / Column A</t>
  </si>
  <si>
    <t>Retail Sales Forecast @ Transmission Level</t>
  </si>
  <si>
    <t xml:space="preserve">Retail Energy </t>
  </si>
  <si>
    <t>Col. C; Line 14</t>
  </si>
  <si>
    <t>Col. D; Line 14</t>
  </si>
  <si>
    <t>(D) = (C) x  Line 19, Col. C</t>
  </si>
  <si>
    <r>
      <t xml:space="preserve">Transmission Loss Factor  </t>
    </r>
    <r>
      <rPr>
        <b/>
        <vertAlign val="superscript"/>
        <sz val="12"/>
        <rFont val="Times New Roman"/>
        <family val="1"/>
      </rPr>
      <t>2</t>
    </r>
  </si>
  <si>
    <t>Total Gross Load Forecast</t>
  </si>
  <si>
    <t>Cols. A to C, WP No. 1; Page 1.2; Lines 10, 9 &amp; 12</t>
  </si>
  <si>
    <t>(1)</t>
  </si>
  <si>
    <t>(2)</t>
  </si>
  <si>
    <t>(3) = (1) + (2)</t>
  </si>
  <si>
    <t>Combined TRR</t>
  </si>
  <si>
    <t>HV-LV Allocation Factors</t>
  </si>
  <si>
    <t>Total HV-LV Standby Revenue Credits</t>
  </si>
  <si>
    <t>Work paper No. 3; Page 3.1; Line 7</t>
  </si>
  <si>
    <t>Check:</t>
  </si>
  <si>
    <r>
      <t xml:space="preserve">Residential  </t>
    </r>
    <r>
      <rPr>
        <b/>
        <vertAlign val="superscript"/>
        <sz val="12"/>
        <rFont val="Times New Roman"/>
        <family val="1"/>
      </rPr>
      <t>1</t>
    </r>
  </si>
  <si>
    <r>
      <t xml:space="preserve">Small Commercial 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</t>
    </r>
  </si>
  <si>
    <r>
      <t xml:space="preserve">Medium and Large Commercial/Industrial  </t>
    </r>
    <r>
      <rPr>
        <b/>
        <vertAlign val="superscript"/>
        <sz val="12"/>
        <rFont val="Times New Roman"/>
        <family val="1"/>
      </rPr>
      <t>3</t>
    </r>
  </si>
  <si>
    <r>
      <t xml:space="preserve">Agriculture (PA and TOU-PA)  </t>
    </r>
    <r>
      <rPr>
        <b/>
        <vertAlign val="superscript"/>
        <sz val="12"/>
        <rFont val="Times New Roman"/>
        <family val="1"/>
      </rPr>
      <t>4</t>
    </r>
  </si>
  <si>
    <t>See Stmt BG pages 3 of 4 and 4 of 4, Line 33.</t>
  </si>
  <si>
    <t xml:space="preserve">Medium and Large Commercial/Industrial  </t>
  </si>
  <si>
    <t>Statement BG; Page 2 of 4; Line 14</t>
  </si>
  <si>
    <t>Statement BH; Page 1 of 3; Line 14</t>
  </si>
  <si>
    <t>Statement BG; Page 2 of 4; Line 16</t>
  </si>
  <si>
    <t>Statement BH; Page 1 of 3; Line 16</t>
  </si>
  <si>
    <t>Statement BG; Page 2 of 4; Line 18</t>
  </si>
  <si>
    <t>Statement BH; Page 1 of 3; Line 18</t>
  </si>
  <si>
    <t>Statement BG; Page 2 of 4; Line 20</t>
  </si>
  <si>
    <t>Statement BH; Page 1 of 3; Line 20</t>
  </si>
  <si>
    <t>Statement BG; Page 2 of 4; Line 22</t>
  </si>
  <si>
    <t>Statement BH; Page 1 of 3; Line 22</t>
  </si>
  <si>
    <t>Statement BG; Page 2 of 4; Line 24</t>
  </si>
  <si>
    <t>Statement BH; Page 1 of 3; Line 24</t>
  </si>
  <si>
    <t>See Stmt BH pages 2 of 3 and 3 of 3, Line 33.</t>
  </si>
  <si>
    <t xml:space="preserve">(City of </t>
  </si>
  <si>
    <r>
      <t xml:space="preserve">Escondido)  </t>
    </r>
    <r>
      <rPr>
        <b/>
        <vertAlign val="superscript"/>
        <sz val="12"/>
        <rFont val="Times New Roman"/>
        <family val="1"/>
      </rPr>
      <t>1</t>
    </r>
  </si>
  <si>
    <t>City of Escondido sales are excluded from the KWh total because they are classified as sales to wholesale customers.</t>
  </si>
  <si>
    <t>City of Escondido sales are excluded from the KWh total because they are classified as sales to wholesale customers not retail.</t>
  </si>
  <si>
    <t>Transmission Revenue Balancing Account Adjustment (TRBAA) Revenues Data to Reflect Changed Rates</t>
  </si>
  <si>
    <t>Comparison of Revenues</t>
  </si>
  <si>
    <t>@ Changed Rates</t>
  </si>
  <si>
    <r>
      <t xml:space="preserve">@ Present Rates </t>
    </r>
    <r>
      <rPr>
        <b/>
        <vertAlign val="superscript"/>
        <sz val="12"/>
        <rFont val="Times New Roman"/>
        <family val="1"/>
      </rPr>
      <t>1</t>
    </r>
  </si>
  <si>
    <t>Change</t>
  </si>
  <si>
    <t>Total Retail TRBAA Forecast Including FF&amp;U</t>
  </si>
  <si>
    <t>Total Wholesale TRBAA Forecast Including Franchise Fees</t>
  </si>
  <si>
    <t>INPUT FROM RECORDED SALES FILE:</t>
  </si>
  <si>
    <t>Flexible Ramp Forecasted Movement Settlement</t>
  </si>
  <si>
    <t>Monthly Flexible Ramp Up Uncertainty Award Allocation</t>
  </si>
  <si>
    <t>Franchise Fee Rate</t>
  </si>
  <si>
    <t>Uncollectible Rate</t>
  </si>
  <si>
    <t>Total Rate</t>
  </si>
  <si>
    <t>RTM Congestion Credit Settlement</t>
  </si>
  <si>
    <t>TRBAA Expenses</t>
  </si>
  <si>
    <t>Monthly Flexible Ramp Down Uncertainty Award Allocation</t>
  </si>
  <si>
    <t>IFM Bid Cost Recovery Tier 1 Allocation</t>
  </si>
  <si>
    <t>Daily Flexible Ramp Down Uncertainty Award Allocation</t>
  </si>
  <si>
    <t>Daily Flexible Ramp Up Uncertainty Award Allocation</t>
  </si>
  <si>
    <t>Other CAISO Adjustment</t>
  </si>
  <si>
    <t xml:space="preserve">      CT 382 - HV Wheeling Charge Due ISO </t>
  </si>
  <si>
    <t>Jan</t>
  </si>
  <si>
    <t>Feb</t>
  </si>
  <si>
    <t>Mar</t>
  </si>
  <si>
    <t>Apr</t>
  </si>
  <si>
    <t>Aug</t>
  </si>
  <si>
    <t>Sept</t>
  </si>
  <si>
    <t>Oct</t>
  </si>
  <si>
    <t>Nov</t>
  </si>
  <si>
    <t>Dec</t>
  </si>
  <si>
    <t>See Stmt BG pages 3 of 4 and 4 of 4, Line 23.</t>
  </si>
  <si>
    <t>See Stmt BG pages 3 of 4 and 4 of 4, Line 25.</t>
  </si>
  <si>
    <t>See Stmt BG pages 3 of 4 and 4 of 4, Line 27.</t>
  </si>
  <si>
    <t>See Stmt BG pages 3 of 4 and 4 of 4, Line 29.</t>
  </si>
  <si>
    <t>See Stmt BG pages 3 of 4 and 4 of 4, Line 31.</t>
  </si>
  <si>
    <t>Retail TRBAA Rate ($/kWh) @ Changed Rate</t>
  </si>
  <si>
    <t>Line 3 x Line 18</t>
  </si>
  <si>
    <t>Line 5 x Line 18</t>
  </si>
  <si>
    <t>Line 7 x Line 18</t>
  </si>
  <si>
    <t>Line 9 x Line 18</t>
  </si>
  <si>
    <t>Line 11 x Line 18</t>
  </si>
  <si>
    <t>Sum Lines 23 through 33</t>
  </si>
  <si>
    <t>See Stmt BH pages 2 of 3 and 3 of 3, Line 23.</t>
  </si>
  <si>
    <t>See Stmt BH pages 2 of 3 and 3 of 3, Line 25.</t>
  </si>
  <si>
    <t>See Stmt BH pages 2 of 3 and 3 of 3, Line 27.</t>
  </si>
  <si>
    <t>See Stmt BH pages 2 of 3 and 3 of 3, Line 29.</t>
  </si>
  <si>
    <t>See Stmt BH pages 2 of 3 and 3 of 3, Line 31.</t>
  </si>
  <si>
    <t>Retail TRBAA Rate ($/kWh) @ Present Rate</t>
  </si>
  <si>
    <t>(Line 6 / (1+ Line 38)) * Line 38</t>
  </si>
  <si>
    <t>Line 36 + Line 37</t>
  </si>
  <si>
    <t>Summary of TRBAA Forecast Allocation Between High Voltage and Low Voltage Facilities</t>
  </si>
  <si>
    <t>HV-LV Allocation Factors:</t>
  </si>
  <si>
    <t>Line 5 + Line 7</t>
  </si>
  <si>
    <t>High Voltage - Low Voltage Ratios Based on Gross Plant; Per Line 9</t>
  </si>
  <si>
    <t>Allocation Ratios Based on Line 9</t>
  </si>
  <si>
    <t xml:space="preserve">HV - Allocation Ratio is NOT Based on Plant as shown on Line 11 </t>
  </si>
  <si>
    <t>Total HV-LV Wheeling Revenues Allocation</t>
  </si>
  <si>
    <t>Line 15 x Line 17</t>
  </si>
  <si>
    <t>C. Forecast of Settlements, Metering, &amp; Client Relations Expense:</t>
  </si>
  <si>
    <t>Total Settlements, Metering, &amp; Client Relations Allocation</t>
  </si>
  <si>
    <t>D: Forecast of ETC Cost Differentials Expense:</t>
  </si>
  <si>
    <t>Total ETC Cost Differentials Allocation</t>
  </si>
  <si>
    <t>E: Forecast of Other PTO Related Revenue (Credits)/Charges:</t>
  </si>
  <si>
    <t>Total Recorded</t>
  </si>
  <si>
    <t>Wheeling Revenue Forecast</t>
  </si>
  <si>
    <t>See Line 25</t>
  </si>
  <si>
    <t>Work paper No.7; Page 7.1; Line 27</t>
  </si>
  <si>
    <t>CAISO Charge Code 4575 - Settlements, Metering and Client Relations Charge Code 4575 Forecast</t>
  </si>
  <si>
    <t xml:space="preserve">Settlements, Metering, and Client Relations Charge Code - 4575 </t>
  </si>
  <si>
    <t>Work paper No. 5; Page 5.1 and 5.2; Line 7</t>
  </si>
  <si>
    <t>Sum Lines 1 to 23</t>
  </si>
  <si>
    <r>
      <t xml:space="preserve">Settlements, Metering and Client Relations Charge Code - 4575 Forecast  </t>
    </r>
    <r>
      <rPr>
        <b/>
        <vertAlign val="superscript"/>
        <sz val="12"/>
        <rFont val="Times New Roman"/>
        <family val="1"/>
      </rPr>
      <t>a</t>
    </r>
  </si>
  <si>
    <t>Existing Transmission Contracts (ETC) Cost Differentials Forecast</t>
  </si>
  <si>
    <t xml:space="preserve">Existing Transmission Contracts (ETC) Cost Differentials  </t>
  </si>
  <si>
    <t>Work paper No. 5; Page 5.1 and 5.2; Line 10</t>
  </si>
  <si>
    <t>Other PTO Related Revenue (Credits) / Charge Forecast</t>
  </si>
  <si>
    <t xml:space="preserve">Other PTO Related Revenue (Credits)/Charges </t>
  </si>
  <si>
    <t>Work paper No. 5; Page 5.1 and 5.2; Line 13</t>
  </si>
  <si>
    <t>Other PTO Related Revenue (Credits) / Charges Forecast</t>
  </si>
  <si>
    <t>Work paper No. 8; Page 8.1, Line 27</t>
  </si>
  <si>
    <t>Work paper No. 9; Page 9.1, Line 27</t>
  </si>
  <si>
    <t>Work paper No. 7; Page 7.1; Line 27</t>
  </si>
  <si>
    <t>Work paper No. 8; Page 8.1; Line 27</t>
  </si>
  <si>
    <t>Work paper No. 9; Page 9.1; Line 27</t>
  </si>
  <si>
    <t>Work paper No. 11; Page 11.1; Line 27</t>
  </si>
  <si>
    <t>Work paper No. 6; Page 6.1; Line 19</t>
  </si>
  <si>
    <t>Work paper No. 6; Page 6.1; Line 26</t>
  </si>
  <si>
    <t>Work paper No. 6; Page 6.1; Line 32</t>
  </si>
  <si>
    <t>Ratios Based on Line 2</t>
  </si>
  <si>
    <t xml:space="preserve">Col. 3; Line 1 x Line 5 Ratios </t>
  </si>
  <si>
    <t xml:space="preserve">Total Standby Revenues  </t>
  </si>
  <si>
    <r>
      <t xml:space="preserve">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  Existing Transmission Contract (ETC) Cost Differentials related to APS-IID pertains to SDG&amp;E as the Scheduling Coordinator for Arizona Public Service - Imperial Irrigation District ("APS-IID") (See Work Paper No. 5; Pages 5.1 - 5.2; Line 10).</t>
    </r>
  </si>
  <si>
    <t xml:space="preserve">    CT 4575 - Settlements, Metering, Client Relations </t>
  </si>
  <si>
    <r>
      <t xml:space="preserve">    ETC Cost Differentials  </t>
    </r>
    <r>
      <rPr>
        <b/>
        <vertAlign val="superscript"/>
        <sz val="12"/>
        <rFont val="Times New Roman"/>
        <family val="1"/>
      </rPr>
      <t>2</t>
    </r>
  </si>
  <si>
    <r>
      <t xml:space="preserve">    Other PTO Related Revenue (Credits)/Charges  </t>
    </r>
    <r>
      <rPr>
        <b/>
        <vertAlign val="superscript"/>
        <sz val="12"/>
        <rFont val="Times New Roman"/>
        <family val="1"/>
      </rPr>
      <t>3</t>
    </r>
  </si>
  <si>
    <t>Line 38 + Line 40</t>
  </si>
  <si>
    <t>Work paper No. 6; Page 6.1; Line 42</t>
  </si>
  <si>
    <t>Col. C; Line 23 x Line 11 Ratios</t>
  </si>
  <si>
    <t>Col. C; Line 30 x Line 11 Ratios</t>
  </si>
  <si>
    <r>
      <t xml:space="preserve">Lake Hodges Pumped Storage Facilities </t>
    </r>
    <r>
      <rPr>
        <b/>
        <vertAlign val="superscript"/>
        <sz val="12"/>
        <rFont val="Times New Roman"/>
        <family val="1"/>
      </rPr>
      <t xml:space="preserve"> 3</t>
    </r>
  </si>
  <si>
    <r>
      <t>Transmission Standby 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 xml:space="preserve"> 2</t>
    </r>
  </si>
  <si>
    <t xml:space="preserve">Line 3 + Line 15 </t>
  </si>
  <si>
    <t>Lake Hodges Pumping Load Adjustment Mechanism</t>
  </si>
  <si>
    <t>Amount</t>
  </si>
  <si>
    <t xml:space="preserve">Pumped Storage Facility - Actual Load </t>
  </si>
  <si>
    <t xml:space="preserve">Pumped Storage Facility - Forecast Load </t>
  </si>
  <si>
    <t>Line 1 Minus Line 2</t>
  </si>
  <si>
    <t>Line 3 x Line 4</t>
  </si>
  <si>
    <t>Sum Lines 22 thru 26</t>
  </si>
  <si>
    <t>Statement BD WP; Page 4 of 5</t>
  </si>
  <si>
    <t>Statement BD WP; Page 5 of 5</t>
  </si>
  <si>
    <t>Statement BD; Page 3 of 5; Line 28; Col. D</t>
  </si>
  <si>
    <t>Line 1 + Line 21 + Line 23</t>
  </si>
  <si>
    <r>
      <t xml:space="preserve">Pumped Storage True Up Adjustment </t>
    </r>
    <r>
      <rPr>
        <b/>
        <vertAlign val="superscript"/>
        <sz val="12"/>
        <rFont val="Times New Roman"/>
        <family val="1"/>
      </rPr>
      <t>4</t>
    </r>
  </si>
  <si>
    <t>2019 FF&amp;U per 2012 GRC:</t>
  </si>
  <si>
    <t>Monthly CRRBA Clearing</t>
  </si>
  <si>
    <t>Excess Cost Neutrality Allocation</t>
  </si>
  <si>
    <t>Other Adjustment (rounding)</t>
  </si>
  <si>
    <t>Other Participating Transmission Owner (PTO) Related (Credits)/Charges include CAISO charge codes 1592, 7989, 7999, 8526, and 8999. The segregation of these charges and classifying them as Other PTO Related (Credits)/Charges enhances reporting transparency.</t>
  </si>
  <si>
    <t>Energy used for pumping at the Olivenhain-Lake Hodges Pumped Storage Facility is measured at 69kV and gets adjusted by a distribution loss factor to derive the Gross Load forecast.</t>
  </si>
  <si>
    <t>Represents the difference between actual and forecast load associated with the Olivenhain-Lake Hodges Pumped Storage Facility for the base year.</t>
  </si>
  <si>
    <t>SDG&amp;E Records</t>
  </si>
  <si>
    <t>Total Olivenhain-Lake Hodges Pumping Load</t>
  </si>
  <si>
    <t>Olivenhain-Lake Hodges Pumping Load</t>
  </si>
  <si>
    <r>
      <t xml:space="preserve">Pumped Storage - True Up Adjustment  </t>
    </r>
    <r>
      <rPr>
        <b/>
        <vertAlign val="superscript"/>
        <sz val="12"/>
        <rFont val="Times New Roman"/>
        <family val="1"/>
      </rPr>
      <t>1</t>
    </r>
  </si>
  <si>
    <t>Net Other PTO Related Revenue (Credits)/Charges HV/LV Allocation</t>
  </si>
  <si>
    <t>Col. C, Line 36 x Line 11 Ratios</t>
  </si>
  <si>
    <t>b</t>
  </si>
  <si>
    <t>Statement BD; Pg. 1 of 5; Col. C; Ln. 15</t>
  </si>
  <si>
    <t>The beginning TRBAA balance on line 1, Column (A), is allocated between High Voltage and Low Voltage, using the ratios that were developed on line 13.</t>
  </si>
  <si>
    <t>Statement BK-2; Page 1; Line 21</t>
  </si>
  <si>
    <t>Line 6 - Line 7</t>
  </si>
  <si>
    <t>Work Paper No. 5; Page 5.1-5.2; Line 13</t>
  </si>
  <si>
    <t>The pumped storage True-Up Adjustment reconciles the difference between the prior year's forecast and actual load data.</t>
  </si>
  <si>
    <t>The Wholesale TRBAA amount comes from the instant filing, in Statement BK-2; Page 1; Line 21</t>
  </si>
  <si>
    <t>Total Other PTO Related Revenue (Credits)/Charges Allocation</t>
  </si>
  <si>
    <t xml:space="preserve">   Franchise Fees Expense @ 1.0275%</t>
  </si>
  <si>
    <t>Line 15 x 1.0275%</t>
  </si>
  <si>
    <t>Line 17 x 1.0275%</t>
  </si>
  <si>
    <t>Statement BL (Retail); Page 1; Line 27</t>
  </si>
  <si>
    <t>2021 (MWh)</t>
  </si>
  <si>
    <t>Forecast Period January 2021 - December 2021</t>
  </si>
  <si>
    <t>Rate Effective Period - Twelve Months Ending December 31, 2021</t>
  </si>
  <si>
    <t>Transmission Revenue Balancing Account Adjustment (TRBAA) Revenue Data To Reflect Present Rates per ER20-524</t>
  </si>
  <si>
    <t>FERC Docket No. ER20-524-000</t>
  </si>
  <si>
    <t>2021 - TRBAA Rate Filing</t>
  </si>
  <si>
    <t>Beginning TRBAA Balance @ 9/30/2020</t>
  </si>
  <si>
    <t>Wholesale Base TRR information comes from Cost Statement BK-2 of SDG&amp;E's TO5 Cycle 3 Annual Informational Filing.</t>
  </si>
  <si>
    <t>12 Months kWh Ending September 30, 2020</t>
  </si>
  <si>
    <t>2021 - Wholesale Customers Utility Specific Access Charge Rate Calculations</t>
  </si>
  <si>
    <t>Recorded Billing Determinants for the 12-Month Period: October 2019 - September 2020</t>
  </si>
  <si>
    <t>Forecast Billing Determinants for the 12-Month Period: January 2021 - December 2021</t>
  </si>
  <si>
    <t>TRBAA Balance @ 9/30/2020</t>
  </si>
  <si>
    <t xml:space="preserve">TO5-Cycle 3 Informational Filing-Wholesale Base TRR  </t>
  </si>
  <si>
    <t>Wholesale Base TRR information comes from SDG&amp;E's TO5 Cycle 3 Annual Informational Filing.</t>
  </si>
  <si>
    <t>TO5 Cycle 3 - Recorded Gross Plant Balances; Dollars in ($000)</t>
  </si>
  <si>
    <t>TO5 Cycle 3 - Weighted Forecast Plant Additions; Dollars in ($000)</t>
  </si>
  <si>
    <t>Total Wheeling Revenues Forecast based on recorded HV-LV wheeling revenues ending 9/30/2020</t>
  </si>
  <si>
    <t>Total Settlements, Metering &amp; Client Relations Expense Forecast based on recorded CC4575 ending 9/30/2020</t>
  </si>
  <si>
    <t>Total ETC Cost Differentials Expense Forecast based on recorded other various CAISO charges ending 9/30/2020</t>
  </si>
  <si>
    <t>Total Other PTO Related Revenue (Credits)/Charges based on recorded specific various CAISO charges ending 9/30/2020</t>
  </si>
  <si>
    <t>HV-LV Plant Study; Line 38 of SDG&amp;E's TO5 Cycle 3 Annual  Informational Filing</t>
  </si>
  <si>
    <t xml:space="preserve"> Forecast Plant; Line 16 of SDG&amp;E's TO5-Cycle 3 Annual Informational Filing</t>
  </si>
  <si>
    <t>2020 FF&amp;U per 2016 GRC:</t>
  </si>
  <si>
    <t>Average TRBAA Rate Calculation for January 2020:</t>
  </si>
  <si>
    <t xml:space="preserve">   Prior Year - TRBAA Rate 2019</t>
  </si>
  <si>
    <t xml:space="preserve">   Current Year - TRBAA Rate 2020</t>
  </si>
  <si>
    <t>TRBAA Rates; ER 19-209 (Oct - Dec 2019); ER20-524 (2020)</t>
  </si>
  <si>
    <r>
      <t xml:space="preserve">January 2021 - December 2021 </t>
    </r>
    <r>
      <rPr>
        <b/>
        <vertAlign val="superscript"/>
        <sz val="12"/>
        <rFont val="Times New Roman"/>
        <family val="1"/>
      </rPr>
      <t xml:space="preserve"> 1</t>
    </r>
  </si>
  <si>
    <t>Per Cost Statement BB; Page 1; Line 22 of SDG&amp;E's TO5-Cycle 3 Annual Informational Filing.</t>
  </si>
  <si>
    <t>For the 12-Month Base &amp; True Up Period Ending December 31, 2019</t>
  </si>
  <si>
    <r>
      <rPr>
        <b/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   Other Participating Transmission Owner (PTO) Related (Credits)/Charges include CAISO charge codes 1592, 7989, 7999, 8526, 8989, and 8999. These charges are segregated out of the ETC Cost Differentials category and classified as Other PTO related (Credits)/Charges to enhance reporting transparency. Each account has a different allocation method specified by CAISO.</t>
    </r>
  </si>
  <si>
    <t>Daily Neutrality Adjustment</t>
  </si>
  <si>
    <t>Ancillary Service Upward Neutrality Allocation</t>
  </si>
  <si>
    <t>Bid Cost Recovery Settlement</t>
  </si>
  <si>
    <t>0525</t>
  </si>
  <si>
    <t>FERC Fees Under/Over Recovery</t>
  </si>
  <si>
    <t>Supplemental Reactive Energy Allocation</t>
  </si>
  <si>
    <t>Non-Spinning Reserve Neutrality Allocation</t>
  </si>
  <si>
    <t>Forecast 2021 - Net Transmission Revenue Credits</t>
  </si>
  <si>
    <t>The 1.0407 factor is used to convert the retail sales forecast at meter level up to the transmission level.</t>
  </si>
  <si>
    <r>
      <t xml:space="preserve">Wholesale Access Distribution Tariff (WDAT) </t>
    </r>
    <r>
      <rPr>
        <b/>
        <vertAlign val="superscript"/>
        <sz val="12"/>
        <rFont val="Times New Roman"/>
        <family val="1"/>
      </rPr>
      <t>c</t>
    </r>
  </si>
  <si>
    <t xml:space="preserve">Generator Interconnection Process Forfeited Deposit Allocation </t>
  </si>
  <si>
    <t>c</t>
  </si>
  <si>
    <t>In May 2020, SDG&amp;E received a payment of $46,000 from a Generator Interconnection Customer who withdrew an interconnection request that was submitted under SDG&amp;E’s Wholesale Distribution Open Access Tariff (WDAT). The $46,000 was a forfeiture to SDG&amp;E of a portion of their Reliability Network Upgrades financial security deposit. WDAT Tariff Section 4.8.5.2.5 states that non-refundable deposits sent to CAISO (forfeited deposits for Deliverability Network Upgrades, not Reliability) are treated in accordance with CAISO Tariff.  Based on a review of the CAISO Tariff, SDG&amp;E is recording the $46,000 as a TRBA Revenue in the same manner as amounts SDG&amp;E as a PTO receives under CAISO Charge Code 8526. SDG&amp;E is allocating $43,700 as HV and $2,300 as LV.</t>
  </si>
  <si>
    <t>All Other-WDAT</t>
  </si>
  <si>
    <t>Standby Revenue amount of $16,338,264, from Cost Statement BG; Page 1; Column A; Line 24, of SDG&amp;E's TO5 Cycle 3 Annual Informational Filing.</t>
  </si>
  <si>
    <t>In accordance with the CAISO Tariff Appendix DD, Section 7.6, SDG&amp;E, as a PTO, received $1,746,376.17 under CAISO Charge Code 8526 on September 22, 2020. Of this amount, $1,659,473.05 is classified as High Voltage and $86,903.12 is classified as Low Voltage.</t>
  </si>
  <si>
    <t>Work Paper 12; Pages 12.1 - 12.2; Line 15</t>
  </si>
  <si>
    <t>WP No. 12; Page 12.1, Total Col, Line 15</t>
  </si>
  <si>
    <t>WP No. 12; Page 12.1, footnotes (b) and (c) explanation on the HV/LV allocation per CAISO</t>
  </si>
  <si>
    <t>Less: CC 8526 and WDAT HV/LV specific allocation per CAISO</t>
  </si>
  <si>
    <t>FERC Mandated Interest on re-runs</t>
  </si>
  <si>
    <t>HASP Energy, Congestion &amp; Loss Predispatched Settlement</t>
  </si>
  <si>
    <t>IFM Marginal Losses Surplus Credit Allocation</t>
  </si>
  <si>
    <t>Inter SC Trade Fee</t>
  </si>
  <si>
    <t>Declined Hourly Pre-Dispatch Penalty Allocation</t>
  </si>
  <si>
    <t xml:space="preserve">   Uncollectibles @ 0.1690 %</t>
  </si>
  <si>
    <t>Line 15 x 0.1690%</t>
  </si>
  <si>
    <t xml:space="preserve">   Uncollectibles @ 0.1690%</t>
  </si>
  <si>
    <t>Present Rates are defined as rates effective pursuant to ER20-524.</t>
  </si>
  <si>
    <t>Beg. Monthly Balances Jan 2020</t>
  </si>
  <si>
    <t>Work Paper 10; Pages 10.1 - 10.3; Line 55</t>
  </si>
  <si>
    <t>Adjusted Total ETC Cost Differential - Line 55 above</t>
  </si>
  <si>
    <t>Adjusted Total Other PTO Related Revenue (Credits)/Charges - Line 15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</si>
</sst>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  <numFmt numFmtId="169" formatCode="0.000%"/>
    <numFmt numFmtId="170" formatCode="0.0000%"/>
    <numFmt numFmtId="171" formatCode="[$-409]mmmm\-yy;@"/>
    <numFmt numFmtId="172" formatCode="&quot;$&quot;#,##0.00000"/>
    <numFmt numFmtId="173" formatCode="0.00000%"/>
    <numFmt numFmtId="174" formatCode="[$-409]mmm\-yy;@"/>
    <numFmt numFmtId="175" formatCode="_(* #,##0.00000_);_(* \(#,##0.00000\);_(* &quot;-&quot;??_);_(@_)"/>
    <numFmt numFmtId="176" formatCode="#,##0.0000000_);[Red]\(#,##0.0000000\)"/>
    <numFmt numFmtId="177" formatCode="_(&quot;$&quot;* #,##0.000000_);_(&quot;$&quot;* \(#,##0.000000\);_(&quot;$&quot;* &quot;-&quot;??_);_(@_)"/>
    <numFmt numFmtId="178" formatCode="mmmm\-yy"/>
    <numFmt numFmtId="179" formatCode="0.0000"/>
    <numFmt numFmtId="180" formatCode="_(* #,##0.00000_);_(* \(#,##0.00000\);_(* &quot;-&quot;_);_(@_)"/>
    <numFmt numFmtId="181" formatCode="0.0%"/>
    <numFmt numFmtId="182" formatCode="_(* #,##0.0000_);_(* \(#,##0.0000\);_(* &quot;-&quot;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vertAlign val="superscript"/>
      <sz val="12"/>
      <name val="Times New Roman"/>
      <family val="1"/>
    </font>
    <font>
      <b/>
      <vertAlign val="superscript"/>
      <sz val="12"/>
      <name val="Times New Roman"/>
      <family val="1"/>
    </font>
    <font>
      <sz val="8"/>
      <name val="Arial"/>
      <family val="2"/>
    </font>
    <font>
      <b/>
      <i/>
      <u/>
      <sz val="10"/>
      <name val="Times New Roman"/>
      <family val="1"/>
    </font>
    <font>
      <b/>
      <i/>
      <u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i/>
      <sz val="13"/>
      <name val="Times New Roman"/>
      <family val="1"/>
    </font>
    <font>
      <vertAlign val="superscript"/>
      <sz val="13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u/>
      <sz val="13"/>
      <name val="Times New Roman"/>
      <family val="1"/>
    </font>
    <font>
      <vertAlign val="superscript"/>
      <sz val="14"/>
      <name val="Times New Roman"/>
      <family val="1"/>
    </font>
    <font>
      <b/>
      <u/>
      <sz val="11"/>
      <name val="Times New Roman"/>
      <family val="1"/>
    </font>
    <font>
      <b/>
      <vertAlign val="superscript"/>
      <sz val="14"/>
      <name val="Times New Roman"/>
      <family val="1"/>
    </font>
    <font>
      <sz val="14"/>
      <name val="Arial"/>
      <family val="2"/>
    </font>
    <font>
      <sz val="10"/>
      <name val="System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0"/>
      <name val="Arial"/>
      <family val="2"/>
    </font>
    <font>
      <i/>
      <u/>
      <sz val="12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2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6" fillId="0" borderId="0"/>
    <xf numFmtId="0" fontId="7" fillId="0" borderId="0"/>
    <xf numFmtId="9" fontId="7" fillId="0" borderId="0" applyFont="0" applyFill="0" applyBorder="0" applyAlignment="0" applyProtection="0"/>
    <xf numFmtId="0" fontId="32" fillId="0" borderId="0"/>
    <xf numFmtId="0" fontId="6" fillId="0" borderId="0"/>
    <xf numFmtId="0" fontId="7" fillId="0" borderId="0"/>
    <xf numFmtId="0" fontId="5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33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1" fontId="9" fillId="0" borderId="0" xfId="0" applyNumberFormat="1" applyFont="1"/>
    <xf numFmtId="0" fontId="10" fillId="0" borderId="0" xfId="0" applyFont="1" applyAlignment="1">
      <alignment horizontal="centerContinuous" vertical="justify"/>
    </xf>
    <xf numFmtId="0" fontId="8" fillId="0" borderId="0" xfId="0" applyFont="1" applyAlignment="1">
      <alignment horizontal="centerContinuous" vertical="justify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2" applyNumberFormat="1" applyFont="1" applyBorder="1"/>
    <xf numFmtId="44" fontId="11" fillId="0" borderId="2" xfId="2" applyFont="1" applyBorder="1"/>
    <xf numFmtId="166" fontId="11" fillId="0" borderId="2" xfId="0" applyNumberFormat="1" applyFont="1" applyBorder="1"/>
    <xf numFmtId="0" fontId="11" fillId="0" borderId="2" xfId="0" applyFont="1" applyBorder="1"/>
    <xf numFmtId="17" fontId="11" fillId="0" borderId="2" xfId="0" applyNumberFormat="1" applyFont="1" applyBorder="1" applyAlignment="1">
      <alignment horizontal="left"/>
    </xf>
    <xf numFmtId="166" fontId="11" fillId="0" borderId="2" xfId="2" applyNumberFormat="1" applyFont="1" applyBorder="1"/>
    <xf numFmtId="17" fontId="12" fillId="0" borderId="2" xfId="0" applyNumberFormat="1" applyFont="1" applyBorder="1" applyAlignment="1">
      <alignment horizontal="left"/>
    </xf>
    <xf numFmtId="166" fontId="11" fillId="0" borderId="1" xfId="2" applyNumberFormat="1" applyFont="1" applyBorder="1"/>
    <xf numFmtId="0" fontId="11" fillId="0" borderId="0" xfId="0" applyFont="1"/>
    <xf numFmtId="44" fontId="11" fillId="0" borderId="2" xfId="2" applyFont="1" applyBorder="1" applyAlignment="1">
      <alignment horizontal="center"/>
    </xf>
    <xf numFmtId="166" fontId="11" fillId="0" borderId="2" xfId="0" applyNumberFormat="1" applyFont="1" applyBorder="1" applyAlignment="1">
      <alignment horizontal="left"/>
    </xf>
    <xf numFmtId="10" fontId="11" fillId="0" borderId="2" xfId="5" applyNumberFormat="1" applyFont="1" applyBorder="1"/>
    <xf numFmtId="166" fontId="11" fillId="0" borderId="2" xfId="2" applyNumberFormat="1" applyFont="1" applyBorder="1" applyAlignment="1">
      <alignment horizontal="center"/>
    </xf>
    <xf numFmtId="0" fontId="11" fillId="0" borderId="5" xfId="0" applyFont="1" applyBorder="1"/>
    <xf numFmtId="166" fontId="11" fillId="0" borderId="0" xfId="2" applyNumberFormat="1" applyFont="1" applyBorder="1"/>
    <xf numFmtId="44" fontId="11" fillId="0" borderId="4" xfId="2" applyFont="1" applyBorder="1" applyAlignment="1">
      <alignment horizontal="center"/>
    </xf>
    <xf numFmtId="10" fontId="11" fillId="0" borderId="2" xfId="0" applyNumberFormat="1" applyFont="1" applyBorder="1"/>
    <xf numFmtId="165" fontId="11" fillId="0" borderId="2" xfId="1" applyNumberFormat="1" applyFont="1" applyBorder="1"/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5" fontId="11" fillId="0" borderId="2" xfId="1" applyNumberFormat="1" applyFont="1" applyBorder="1" applyAlignment="1">
      <alignment horizontal="center"/>
    </xf>
    <xf numFmtId="167" fontId="11" fillId="0" borderId="4" xfId="2" applyNumberFormat="1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3" xfId="1" applyNumberFormat="1" applyFont="1" applyBorder="1"/>
    <xf numFmtId="165" fontId="11" fillId="0" borderId="2" xfId="1" applyNumberFormat="1" applyFont="1" applyBorder="1" applyAlignment="1">
      <alignment horizontal="left"/>
    </xf>
    <xf numFmtId="165" fontId="11" fillId="0" borderId="3" xfId="1" applyNumberFormat="1" applyFont="1" applyBorder="1" applyAlignment="1">
      <alignment horizontal="left"/>
    </xf>
    <xf numFmtId="0" fontId="11" fillId="0" borderId="0" xfId="0" applyFont="1" applyAlignment="1">
      <alignment horizontal="centerContinuous" vertical="justify"/>
    </xf>
    <xf numFmtId="0" fontId="11" fillId="0" borderId="0" xfId="0" applyFont="1" applyBorder="1" applyAlignment="1">
      <alignment horizontal="center"/>
    </xf>
    <xf numFmtId="166" fontId="11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1" fillId="0" borderId="0" xfId="0" applyFont="1" applyBorder="1"/>
    <xf numFmtId="165" fontId="11" fillId="0" borderId="2" xfId="1" applyNumberFormat="1" applyFont="1" applyFill="1" applyBorder="1"/>
    <xf numFmtId="41" fontId="11" fillId="0" borderId="2" xfId="0" applyNumberFormat="1" applyFont="1" applyFill="1" applyBorder="1"/>
    <xf numFmtId="41" fontId="11" fillId="0" borderId="3" xfId="0" applyNumberFormat="1" applyFont="1" applyBorder="1"/>
    <xf numFmtId="41" fontId="11" fillId="0" borderId="2" xfId="0" applyNumberFormat="1" applyFont="1" applyBorder="1"/>
    <xf numFmtId="41" fontId="11" fillId="0" borderId="4" xfId="0" applyNumberFormat="1" applyFont="1" applyBorder="1"/>
    <xf numFmtId="41" fontId="11" fillId="0" borderId="0" xfId="0" applyNumberFormat="1" applyFont="1"/>
    <xf numFmtId="41" fontId="11" fillId="0" borderId="2" xfId="0" applyNumberFormat="1" applyFont="1" applyFill="1" applyBorder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165" fontId="11" fillId="0" borderId="3" xfId="1" applyNumberFormat="1" applyFont="1" applyFill="1" applyBorder="1"/>
    <xf numFmtId="17" fontId="11" fillId="0" borderId="1" xfId="0" applyNumberFormat="1" applyFont="1" applyBorder="1" applyAlignment="1">
      <alignment horizontal="center"/>
    </xf>
    <xf numFmtId="165" fontId="11" fillId="0" borderId="1" xfId="1" applyNumberFormat="1" applyFont="1" applyBorder="1"/>
    <xf numFmtId="165" fontId="11" fillId="0" borderId="0" xfId="1" applyNumberFormat="1" applyFont="1" applyBorder="1"/>
    <xf numFmtId="0" fontId="9" fillId="0" borderId="12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1" fillId="0" borderId="9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165" fontId="11" fillId="0" borderId="13" xfId="1" applyNumberFormat="1" applyFont="1" applyBorder="1"/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44" fontId="11" fillId="0" borderId="8" xfId="2" applyFont="1" applyBorder="1" applyAlignment="1">
      <alignment horizontal="center"/>
    </xf>
    <xf numFmtId="44" fontId="10" fillId="0" borderId="8" xfId="2" applyFont="1" applyBorder="1" applyAlignment="1">
      <alignment horizontal="center"/>
    </xf>
    <xf numFmtId="44" fontId="10" fillId="0" borderId="8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7" fontId="11" fillId="0" borderId="9" xfId="0" applyNumberFormat="1" applyFont="1" applyBorder="1" applyAlignment="1">
      <alignment horizontal="left"/>
    </xf>
    <xf numFmtId="0" fontId="11" fillId="0" borderId="9" xfId="0" applyFont="1" applyBorder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3" fillId="0" borderId="0" xfId="0" quotePrefix="1" applyFont="1" applyAlignment="1">
      <alignment horizontal="center"/>
    </xf>
    <xf numFmtId="44" fontId="18" fillId="0" borderId="8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66" fontId="10" fillId="0" borderId="0" xfId="2" applyNumberFormat="1" applyFont="1" applyBorder="1"/>
    <xf numFmtId="166" fontId="10" fillId="0" borderId="4" xfId="2" applyNumberFormat="1" applyFon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40" fontId="11" fillId="0" borderId="0" xfId="0" applyNumberFormat="1" applyFont="1"/>
    <xf numFmtId="38" fontId="11" fillId="0" borderId="2" xfId="0" applyNumberFormat="1" applyFont="1" applyBorder="1"/>
    <xf numFmtId="0" fontId="11" fillId="0" borderId="12" xfId="0" applyFont="1" applyBorder="1"/>
    <xf numFmtId="0" fontId="11" fillId="0" borderId="13" xfId="0" applyFont="1" applyBorder="1"/>
    <xf numFmtId="165" fontId="11" fillId="0" borderId="13" xfId="1" applyNumberFormat="1" applyFont="1" applyFill="1" applyBorder="1"/>
    <xf numFmtId="0" fontId="14" fillId="0" borderId="0" xfId="0" quotePrefix="1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44" fontId="18" fillId="0" borderId="8" xfId="0" applyNumberFormat="1" applyFont="1" applyBorder="1" applyAlignment="1">
      <alignment horizontal="center"/>
    </xf>
    <xf numFmtId="0" fontId="11" fillId="0" borderId="15" xfId="0" applyFont="1" applyBorder="1"/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1" fillId="0" borderId="8" xfId="0" applyFont="1" applyBorder="1"/>
    <xf numFmtId="0" fontId="11" fillId="0" borderId="0" xfId="0" applyFont="1" applyFill="1"/>
    <xf numFmtId="0" fontId="10" fillId="0" borderId="0" xfId="0" applyFont="1" applyAlignment="1">
      <alignment horizontal="left"/>
    </xf>
    <xf numFmtId="165" fontId="11" fillId="0" borderId="0" xfId="1" applyNumberFormat="1" applyFont="1" applyFill="1" applyBorder="1"/>
    <xf numFmtId="0" fontId="10" fillId="0" borderId="2" xfId="0" applyFont="1" applyBorder="1"/>
    <xf numFmtId="37" fontId="11" fillId="0" borderId="2" xfId="0" applyNumberFormat="1" applyFont="1" applyBorder="1"/>
    <xf numFmtId="37" fontId="11" fillId="0" borderId="3" xfId="0" applyNumberFormat="1" applyFont="1" applyBorder="1"/>
    <xf numFmtId="166" fontId="11" fillId="0" borderId="10" xfId="2" applyNumberFormat="1" applyFont="1" applyBorder="1"/>
    <xf numFmtId="0" fontId="20" fillId="0" borderId="2" xfId="0" applyFont="1" applyBorder="1"/>
    <xf numFmtId="0" fontId="20" fillId="0" borderId="13" xfId="0" applyFont="1" applyBorder="1"/>
    <xf numFmtId="166" fontId="11" fillId="0" borderId="13" xfId="2" applyNumberFormat="1" applyFont="1" applyBorder="1"/>
    <xf numFmtId="166" fontId="10" fillId="0" borderId="2" xfId="2" applyNumberFormat="1" applyFont="1" applyBorder="1"/>
    <xf numFmtId="168" fontId="11" fillId="0" borderId="3" xfId="2" applyNumberFormat="1" applyFont="1" applyFill="1" applyBorder="1"/>
    <xf numFmtId="166" fontId="11" fillId="0" borderId="3" xfId="2" applyNumberFormat="1" applyFont="1" applyFill="1" applyBorder="1"/>
    <xf numFmtId="166" fontId="25" fillId="0" borderId="0" xfId="0" applyNumberFormat="1" applyFont="1" applyBorder="1"/>
    <xf numFmtId="0" fontId="24" fillId="0" borderId="13" xfId="0" applyFont="1" applyBorder="1" applyAlignment="1">
      <alignment horizontal="center"/>
    </xf>
    <xf numFmtId="174" fontId="11" fillId="0" borderId="2" xfId="0" applyNumberFormat="1" applyFont="1" applyFill="1" applyBorder="1" applyAlignment="1">
      <alignment horizontal="center"/>
    </xf>
    <xf numFmtId="0" fontId="11" fillId="0" borderId="0" xfId="3" applyFont="1"/>
    <xf numFmtId="17" fontId="11" fillId="0" borderId="2" xfId="3" applyNumberFormat="1" applyFont="1" applyBorder="1" applyAlignment="1">
      <alignment horizontal="center"/>
    </xf>
    <xf numFmtId="17" fontId="11" fillId="0" borderId="13" xfId="3" applyNumberFormat="1" applyFont="1" applyBorder="1" applyAlignment="1">
      <alignment horizontal="center"/>
    </xf>
    <xf numFmtId="169" fontId="11" fillId="0" borderId="0" xfId="5" applyNumberFormat="1" applyFont="1" applyBorder="1"/>
    <xf numFmtId="0" fontId="9" fillId="0" borderId="0" xfId="3" applyFont="1" applyAlignment="1">
      <alignment horizontal="left"/>
    </xf>
    <xf numFmtId="0" fontId="9" fillId="0" borderId="0" xfId="3" applyFont="1" applyBorder="1"/>
    <xf numFmtId="0" fontId="9" fillId="0" borderId="0" xfId="3" applyFont="1"/>
    <xf numFmtId="0" fontId="11" fillId="0" borderId="0" xfId="3" quotePrefix="1" applyFont="1" applyBorder="1" applyAlignment="1">
      <alignment horizontal="center"/>
    </xf>
    <xf numFmtId="164" fontId="11" fillId="0" borderId="2" xfId="0" applyNumberFormat="1" applyFont="1" applyBorder="1"/>
    <xf numFmtId="170" fontId="11" fillId="0" borderId="2" xfId="5" applyNumberFormat="1" applyFont="1" applyBorder="1"/>
    <xf numFmtId="165" fontId="11" fillId="0" borderId="19" xfId="1" applyNumberFormat="1" applyFont="1" applyBorder="1"/>
    <xf numFmtId="165" fontId="11" fillId="0" borderId="19" xfId="1" applyNumberFormat="1" applyFont="1" applyFill="1" applyBorder="1"/>
    <xf numFmtId="165" fontId="11" fillId="0" borderId="20" xfId="1" applyNumberFormat="1" applyFont="1" applyFill="1" applyBorder="1"/>
    <xf numFmtId="165" fontId="11" fillId="0" borderId="22" xfId="1" applyNumberFormat="1" applyFont="1" applyBorder="1"/>
    <xf numFmtId="165" fontId="11" fillId="0" borderId="22" xfId="1" applyNumberFormat="1" applyFont="1" applyFill="1" applyBorder="1"/>
    <xf numFmtId="165" fontId="11" fillId="0" borderId="23" xfId="1" applyNumberFormat="1" applyFont="1" applyFill="1" applyBorder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4" xfId="0" applyFont="1" applyBorder="1"/>
    <xf numFmtId="0" fontId="11" fillId="0" borderId="22" xfId="0" applyFont="1" applyFill="1" applyBorder="1"/>
    <xf numFmtId="0" fontId="11" fillId="0" borderId="23" xfId="0" applyFont="1" applyFill="1" applyBorder="1"/>
    <xf numFmtId="0" fontId="11" fillId="0" borderId="24" xfId="0" applyFont="1" applyFill="1" applyBorder="1"/>
    <xf numFmtId="0" fontId="11" fillId="0" borderId="28" xfId="0" applyFont="1" applyBorder="1"/>
    <xf numFmtId="0" fontId="11" fillId="0" borderId="28" xfId="0" applyFont="1" applyFill="1" applyBorder="1" applyAlignment="1">
      <alignment horizontal="center"/>
    </xf>
    <xf numFmtId="0" fontId="11" fillId="0" borderId="28" xfId="0" applyFont="1" applyFill="1" applyBorder="1"/>
    <xf numFmtId="0" fontId="11" fillId="0" borderId="29" xfId="0" applyFont="1" applyFill="1" applyBorder="1" applyAlignment="1">
      <alignment horizontal="center"/>
    </xf>
    <xf numFmtId="0" fontId="11" fillId="0" borderId="29" xfId="0" applyFont="1" applyFill="1" applyBorder="1"/>
    <xf numFmtId="165" fontId="10" fillId="0" borderId="20" xfId="1" applyNumberFormat="1" applyFont="1" applyFill="1" applyBorder="1"/>
    <xf numFmtId="165" fontId="10" fillId="0" borderId="23" xfId="1" applyNumberFormat="1" applyFont="1" applyFill="1" applyBorder="1"/>
    <xf numFmtId="0" fontId="9" fillId="0" borderId="0" xfId="3" applyFont="1" applyBorder="1" applyAlignment="1">
      <alignment horizontal="left"/>
    </xf>
    <xf numFmtId="0" fontId="10" fillId="0" borderId="0" xfId="3" applyFont="1" applyBorder="1" applyAlignment="1">
      <alignment horizontal="centerContinuous" vertical="justify"/>
    </xf>
    <xf numFmtId="0" fontId="8" fillId="0" borderId="0" xfId="3" applyFont="1" applyBorder="1" applyAlignment="1">
      <alignment horizontal="centerContinuous" vertical="justify"/>
    </xf>
    <xf numFmtId="0" fontId="11" fillId="0" borderId="0" xfId="3" applyFont="1" applyBorder="1" applyAlignment="1">
      <alignment horizontal="left"/>
    </xf>
    <xf numFmtId="0" fontId="11" fillId="0" borderId="0" xfId="3" applyFont="1" applyBorder="1"/>
    <xf numFmtId="0" fontId="10" fillId="0" borderId="4" xfId="3" applyFont="1" applyBorder="1" applyAlignment="1">
      <alignment horizontal="center"/>
    </xf>
    <xf numFmtId="0" fontId="11" fillId="0" borderId="0" xfId="3" applyFont="1" applyAlignment="1">
      <alignment horizontal="left"/>
    </xf>
    <xf numFmtId="0" fontId="11" fillId="0" borderId="0" xfId="4" applyFont="1"/>
    <xf numFmtId="166" fontId="11" fillId="0" borderId="14" xfId="2" applyNumberFormat="1" applyFont="1" applyBorder="1"/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/>
    <xf numFmtId="166" fontId="11" fillId="0" borderId="1" xfId="2" applyNumberFormat="1" applyFont="1" applyFill="1" applyBorder="1"/>
    <xf numFmtId="0" fontId="11" fillId="0" borderId="38" xfId="0" applyFont="1" applyBorder="1" applyAlignment="1">
      <alignment horizontal="center"/>
    </xf>
    <xf numFmtId="41" fontId="11" fillId="0" borderId="3" xfId="0" applyNumberFormat="1" applyFont="1" applyFill="1" applyBorder="1"/>
    <xf numFmtId="165" fontId="11" fillId="0" borderId="0" xfId="1" applyNumberFormat="1" applyFont="1"/>
    <xf numFmtId="0" fontId="11" fillId="0" borderId="0" xfId="0" applyFont="1" applyFill="1" applyBorder="1"/>
    <xf numFmtId="166" fontId="11" fillId="0" borderId="2" xfId="2" applyNumberFormat="1" applyFont="1" applyFill="1" applyBorder="1"/>
    <xf numFmtId="0" fontId="9" fillId="0" borderId="6" xfId="0" applyFont="1" applyBorder="1"/>
    <xf numFmtId="166" fontId="11" fillId="0" borderId="0" xfId="0" applyNumberFormat="1" applyFont="1"/>
    <xf numFmtId="0" fontId="28" fillId="0" borderId="8" xfId="0" applyFont="1" applyBorder="1" applyAlignment="1">
      <alignment horizontal="center"/>
    </xf>
    <xf numFmtId="0" fontId="13" fillId="0" borderId="0" xfId="0" applyFont="1" applyBorder="1" applyAlignment="1"/>
    <xf numFmtId="0" fontId="11" fillId="0" borderId="37" xfId="0" applyFont="1" applyBorder="1"/>
    <xf numFmtId="0" fontId="11" fillId="0" borderId="41" xfId="0" applyFont="1" applyBorder="1"/>
    <xf numFmtId="165" fontId="11" fillId="0" borderId="28" xfId="1" applyNumberFormat="1" applyFont="1" applyFill="1" applyBorder="1"/>
    <xf numFmtId="0" fontId="11" fillId="0" borderId="28" xfId="0" applyFont="1" applyFill="1" applyBorder="1" applyAlignment="1">
      <alignment horizontal="left"/>
    </xf>
    <xf numFmtId="0" fontId="11" fillId="0" borderId="39" xfId="0" applyFont="1" applyFill="1" applyBorder="1" applyAlignment="1">
      <alignment horizontal="center"/>
    </xf>
    <xf numFmtId="165" fontId="10" fillId="0" borderId="0" xfId="1" applyNumberFormat="1" applyFont="1"/>
    <xf numFmtId="173" fontId="11" fillId="0" borderId="3" xfId="5" applyNumberFormat="1" applyFont="1" applyFill="1" applyBorder="1"/>
    <xf numFmtId="0" fontId="10" fillId="0" borderId="13" xfId="0" applyFont="1" applyBorder="1" applyAlignment="1">
      <alignment horizontal="center"/>
    </xf>
    <xf numFmtId="166" fontId="10" fillId="0" borderId="3" xfId="2" applyNumberFormat="1" applyFont="1" applyBorder="1"/>
    <xf numFmtId="165" fontId="10" fillId="0" borderId="4" xfId="1" applyNumberFormat="1" applyFont="1" applyBorder="1"/>
    <xf numFmtId="0" fontId="21" fillId="0" borderId="0" xfId="0" applyFont="1" applyBorder="1" applyAlignment="1">
      <alignment horizontal="left"/>
    </xf>
    <xf numFmtId="44" fontId="18" fillId="0" borderId="2" xfId="2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0" fillId="0" borderId="2" xfId="0" quotePrefix="1" applyFont="1" applyBorder="1" applyAlignment="1">
      <alignment horizontal="center"/>
    </xf>
    <xf numFmtId="0" fontId="9" fillId="0" borderId="2" xfId="0" applyFont="1" applyBorder="1"/>
    <xf numFmtId="0" fontId="8" fillId="0" borderId="13" xfId="0" applyFont="1" applyBorder="1" applyAlignment="1">
      <alignment horizontal="center"/>
    </xf>
    <xf numFmtId="166" fontId="18" fillId="0" borderId="2" xfId="2" applyNumberFormat="1" applyFont="1" applyBorder="1"/>
    <xf numFmtId="165" fontId="18" fillId="0" borderId="2" xfId="1" applyNumberFormat="1" applyFont="1" applyBorder="1"/>
    <xf numFmtId="0" fontId="17" fillId="0" borderId="0" xfId="0" applyFont="1" applyBorder="1" applyAlignment="1">
      <alignment horizontal="left"/>
    </xf>
    <xf numFmtId="165" fontId="10" fillId="0" borderId="2" xfId="1" applyNumberFormat="1" applyFont="1" applyFill="1" applyBorder="1"/>
    <xf numFmtId="0" fontId="30" fillId="0" borderId="0" xfId="3" quotePrefix="1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8" xfId="0" quotePrefix="1" applyFont="1" applyBorder="1" applyAlignment="1">
      <alignment horizontal="center"/>
    </xf>
    <xf numFmtId="0" fontId="11" fillId="0" borderId="42" xfId="0" applyFont="1" applyBorder="1"/>
    <xf numFmtId="0" fontId="23" fillId="0" borderId="4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1" fillId="0" borderId="38" xfId="0" applyFont="1" applyBorder="1"/>
    <xf numFmtId="0" fontId="10" fillId="0" borderId="37" xfId="0" applyFont="1" applyBorder="1"/>
    <xf numFmtId="172" fontId="11" fillId="0" borderId="36" xfId="0" applyNumberFormat="1" applyFont="1" applyBorder="1"/>
    <xf numFmtId="168" fontId="11" fillId="0" borderId="34" xfId="2" applyNumberFormat="1" applyFont="1" applyBorder="1"/>
    <xf numFmtId="168" fontId="11" fillId="0" borderId="35" xfId="2" applyNumberFormat="1" applyFont="1" applyBorder="1"/>
    <xf numFmtId="164" fontId="11" fillId="0" borderId="40" xfId="0" applyNumberFormat="1" applyFont="1" applyBorder="1"/>
    <xf numFmtId="0" fontId="10" fillId="0" borderId="34" xfId="0" applyFont="1" applyBorder="1"/>
    <xf numFmtId="0" fontId="11" fillId="0" borderId="7" xfId="0" applyFont="1" applyBorder="1" applyAlignment="1">
      <alignment horizontal="center"/>
    </xf>
    <xf numFmtId="3" fontId="11" fillId="0" borderId="0" xfId="0" applyNumberFormat="1" applyFont="1" applyFill="1"/>
    <xf numFmtId="3" fontId="11" fillId="0" borderId="3" xfId="0" applyNumberFormat="1" applyFont="1" applyFill="1" applyBorder="1"/>
    <xf numFmtId="0" fontId="11" fillId="0" borderId="4" xfId="0" applyFont="1" applyFill="1" applyBorder="1" applyAlignment="1">
      <alignment horizontal="center"/>
    </xf>
    <xf numFmtId="41" fontId="11" fillId="0" borderId="4" xfId="0" applyNumberFormat="1" applyFont="1" applyFill="1" applyBorder="1"/>
    <xf numFmtId="165" fontId="9" fillId="0" borderId="0" xfId="1" applyNumberFormat="1" applyFont="1"/>
    <xf numFmtId="0" fontId="11" fillId="0" borderId="39" xfId="0" applyFont="1" applyBorder="1" applyAlignment="1">
      <alignment horizontal="center"/>
    </xf>
    <xf numFmtId="0" fontId="31" fillId="0" borderId="0" xfId="0" applyFont="1"/>
    <xf numFmtId="0" fontId="10" fillId="0" borderId="2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11" fillId="0" borderId="43" xfId="0" applyFont="1" applyBorder="1"/>
    <xf numFmtId="0" fontId="21" fillId="0" borderId="28" xfId="0" applyFont="1" applyBorder="1" applyAlignment="1">
      <alignment horizontal="left"/>
    </xf>
    <xf numFmtId="17" fontId="21" fillId="0" borderId="22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174" fontId="11" fillId="0" borderId="5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166" fontId="10" fillId="0" borderId="3" xfId="2" applyNumberFormat="1" applyFont="1" applyFill="1" applyBorder="1"/>
    <xf numFmtId="166" fontId="10" fillId="0" borderId="4" xfId="2" applyNumberFormat="1" applyFont="1" applyFill="1" applyBorder="1"/>
    <xf numFmtId="0" fontId="11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4" fillId="0" borderId="0" xfId="0" quotePrefix="1" applyFont="1" applyFill="1" applyAlignment="1">
      <alignment horizontal="center"/>
    </xf>
    <xf numFmtId="0" fontId="13" fillId="0" borderId="0" xfId="0" quotePrefix="1" applyFont="1" applyFill="1" applyAlignment="1">
      <alignment horizontal="center"/>
    </xf>
    <xf numFmtId="0" fontId="9" fillId="0" borderId="0" xfId="0" applyFont="1" applyFill="1"/>
    <xf numFmtId="0" fontId="11" fillId="0" borderId="0" xfId="0" applyFont="1" applyAlignment="1">
      <alignment vertical="center"/>
    </xf>
    <xf numFmtId="44" fontId="18" fillId="0" borderId="8" xfId="2" applyFont="1" applyBorder="1" applyAlignment="1">
      <alignment horizontal="center" wrapText="1"/>
    </xf>
    <xf numFmtId="44" fontId="19" fillId="0" borderId="8" xfId="2" applyFont="1" applyBorder="1"/>
    <xf numFmtId="44" fontId="19" fillId="0" borderId="2" xfId="2" applyFont="1" applyBorder="1"/>
    <xf numFmtId="165" fontId="11" fillId="0" borderId="0" xfId="1" applyNumberFormat="1" applyFont="1" applyFill="1"/>
    <xf numFmtId="3" fontId="11" fillId="0" borderId="19" xfId="0" applyNumberFormat="1" applyFont="1" applyFill="1" applyBorder="1"/>
    <xf numFmtId="3" fontId="11" fillId="0" borderId="22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3" fontId="11" fillId="0" borderId="53" xfId="0" applyNumberFormat="1" applyFont="1" applyFill="1" applyBorder="1" applyAlignment="1">
      <alignment horizontal="right"/>
    </xf>
    <xf numFmtId="3" fontId="11" fillId="0" borderId="54" xfId="0" applyNumberFormat="1" applyFont="1" applyFill="1" applyBorder="1" applyAlignment="1">
      <alignment horizontal="right"/>
    </xf>
    <xf numFmtId="3" fontId="11" fillId="0" borderId="55" xfId="0" applyNumberFormat="1" applyFont="1" applyFill="1" applyBorder="1" applyAlignment="1">
      <alignment horizontal="right"/>
    </xf>
    <xf numFmtId="0" fontId="10" fillId="0" borderId="19" xfId="0" applyFont="1" applyFill="1" applyBorder="1" applyAlignment="1">
      <alignment horizontal="left"/>
    </xf>
    <xf numFmtId="3" fontId="11" fillId="0" borderId="56" xfId="0" applyNumberFormat="1" applyFont="1" applyFill="1" applyBorder="1" applyAlignment="1">
      <alignment horizontal="right"/>
    </xf>
    <xf numFmtId="3" fontId="11" fillId="0" borderId="17" xfId="0" applyNumberFormat="1" applyFont="1" applyFill="1" applyBorder="1" applyAlignment="1">
      <alignment horizontal="right"/>
    </xf>
    <xf numFmtId="3" fontId="11" fillId="0" borderId="57" xfId="0" applyNumberFormat="1" applyFont="1" applyFill="1" applyBorder="1" applyAlignment="1">
      <alignment horizontal="right"/>
    </xf>
    <xf numFmtId="0" fontId="11" fillId="0" borderId="20" xfId="0" applyFont="1" applyFill="1" applyBorder="1"/>
    <xf numFmtId="0" fontId="11" fillId="0" borderId="12" xfId="0" applyFont="1" applyFill="1" applyBorder="1"/>
    <xf numFmtId="3" fontId="11" fillId="0" borderId="12" xfId="0" applyNumberFormat="1" applyFont="1" applyFill="1" applyBorder="1"/>
    <xf numFmtId="3" fontId="11" fillId="0" borderId="23" xfId="0" applyNumberFormat="1" applyFont="1" applyFill="1" applyBorder="1"/>
    <xf numFmtId="0" fontId="27" fillId="0" borderId="28" xfId="0" applyFont="1" applyFill="1" applyBorder="1"/>
    <xf numFmtId="17" fontId="21" fillId="0" borderId="19" xfId="0" applyNumberFormat="1" applyFont="1" applyFill="1" applyBorder="1" applyAlignment="1">
      <alignment horizontal="center"/>
    </xf>
    <xf numFmtId="17" fontId="21" fillId="0" borderId="0" xfId="0" applyNumberFormat="1" applyFont="1" applyFill="1" applyBorder="1" applyAlignment="1">
      <alignment horizontal="center"/>
    </xf>
    <xf numFmtId="17" fontId="21" fillId="0" borderId="22" xfId="0" applyNumberFormat="1" applyFont="1" applyFill="1" applyBorder="1" applyAlignment="1">
      <alignment horizontal="center"/>
    </xf>
    <xf numFmtId="0" fontId="21" fillId="0" borderId="28" xfId="0" applyFont="1" applyFill="1" applyBorder="1"/>
    <xf numFmtId="0" fontId="11" fillId="0" borderId="19" xfId="0" applyFont="1" applyFill="1" applyBorder="1"/>
    <xf numFmtId="3" fontId="11" fillId="0" borderId="0" xfId="0" applyNumberFormat="1" applyFont="1" applyFill="1" applyBorder="1"/>
    <xf numFmtId="3" fontId="11" fillId="0" borderId="7" xfId="0" applyNumberFormat="1" applyFont="1" applyFill="1" applyBorder="1"/>
    <xf numFmtId="3" fontId="11" fillId="0" borderId="53" xfId="0" applyNumberFormat="1" applyFont="1" applyFill="1" applyBorder="1"/>
    <xf numFmtId="3" fontId="11" fillId="0" borderId="54" xfId="0" applyNumberFormat="1" applyFont="1" applyFill="1" applyBorder="1"/>
    <xf numFmtId="3" fontId="11" fillId="0" borderId="55" xfId="0" applyNumberFormat="1" applyFont="1" applyFill="1" applyBorder="1"/>
    <xf numFmtId="0" fontId="31" fillId="0" borderId="0" xfId="0" applyFont="1" applyFill="1"/>
    <xf numFmtId="0" fontId="21" fillId="0" borderId="21" xfId="0" applyFont="1" applyFill="1" applyBorder="1" applyAlignment="1">
      <alignment horizontal="center"/>
    </xf>
    <xf numFmtId="0" fontId="11" fillId="0" borderId="21" xfId="0" applyFont="1" applyFill="1" applyBorder="1"/>
    <xf numFmtId="0" fontId="11" fillId="0" borderId="43" xfId="0" applyFont="1" applyFill="1" applyBorder="1"/>
    <xf numFmtId="0" fontId="21" fillId="0" borderId="28" xfId="0" applyFont="1" applyFill="1" applyBorder="1" applyAlignment="1">
      <alignment horizontal="left"/>
    </xf>
    <xf numFmtId="3" fontId="11" fillId="0" borderId="59" xfId="0" applyNumberFormat="1" applyFont="1" applyFill="1" applyBorder="1"/>
    <xf numFmtId="3" fontId="11" fillId="0" borderId="60" xfId="0" applyNumberFormat="1" applyFont="1" applyFill="1" applyBorder="1"/>
    <xf numFmtId="166" fontId="10" fillId="0" borderId="4" xfId="0" applyNumberFormat="1" applyFont="1" applyFill="1" applyBorder="1"/>
    <xf numFmtId="0" fontId="10" fillId="0" borderId="48" xfId="0" quotePrefix="1" applyFont="1" applyFill="1" applyBorder="1" applyAlignment="1">
      <alignment horizontal="center"/>
    </xf>
    <xf numFmtId="0" fontId="10" fillId="0" borderId="2" xfId="0" quotePrefix="1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66" fontId="10" fillId="0" borderId="2" xfId="2" applyNumberFormat="1" applyFont="1" applyFill="1" applyBorder="1"/>
    <xf numFmtId="10" fontId="10" fillId="0" borderId="4" xfId="5" applyNumberFormat="1" applyFont="1" applyFill="1" applyBorder="1"/>
    <xf numFmtId="0" fontId="16" fillId="0" borderId="12" xfId="0" applyFont="1" applyFill="1" applyBorder="1" applyAlignment="1">
      <alignment horizontal="left"/>
    </xf>
    <xf numFmtId="10" fontId="10" fillId="0" borderId="13" xfId="5" applyNumberFormat="1" applyFont="1" applyFill="1" applyBorder="1" applyAlignment="1">
      <alignment horizontal="right"/>
    </xf>
    <xf numFmtId="166" fontId="11" fillId="0" borderId="4" xfId="2" applyNumberFormat="1" applyFont="1" applyFill="1" applyBorder="1"/>
    <xf numFmtId="166" fontId="11" fillId="0" borderId="13" xfId="2" applyNumberFormat="1" applyFont="1" applyFill="1" applyBorder="1"/>
    <xf numFmtId="166" fontId="11" fillId="0" borderId="4" xfId="0" applyNumberFormat="1" applyFont="1" applyFill="1" applyBorder="1"/>
    <xf numFmtId="166" fontId="11" fillId="0" borderId="13" xfId="0" applyNumberFormat="1" applyFont="1" applyFill="1" applyBorder="1"/>
    <xf numFmtId="166" fontId="11" fillId="0" borderId="2" xfId="0" applyNumberFormat="1" applyFont="1" applyFill="1" applyBorder="1"/>
    <xf numFmtId="0" fontId="11" fillId="0" borderId="8" xfId="0" applyFont="1" applyBorder="1" applyAlignment="1">
      <alignment horizontal="left"/>
    </xf>
    <xf numFmtId="17" fontId="12" fillId="0" borderId="8" xfId="0" applyNumberFormat="1" applyFont="1" applyBorder="1" applyAlignment="1">
      <alignment horizontal="left"/>
    </xf>
    <xf numFmtId="165" fontId="11" fillId="0" borderId="8" xfId="1" applyNumberFormat="1" applyFont="1" applyBorder="1" applyAlignment="1">
      <alignment horizontal="left"/>
    </xf>
    <xf numFmtId="165" fontId="11" fillId="0" borderId="8" xfId="1" applyNumberFormat="1" applyFont="1" applyBorder="1"/>
    <xf numFmtId="166" fontId="11" fillId="0" borderId="8" xfId="2" applyNumberFormat="1" applyFont="1" applyBorder="1"/>
    <xf numFmtId="41" fontId="18" fillId="0" borderId="2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7" fillId="0" borderId="0" xfId="0" applyFont="1"/>
    <xf numFmtId="166" fontId="11" fillId="0" borderId="42" xfId="2" applyNumberFormat="1" applyFont="1" applyBorder="1"/>
    <xf numFmtId="166" fontId="11" fillId="0" borderId="42" xfId="2" applyNumberFormat="1" applyFont="1" applyFill="1" applyBorder="1"/>
    <xf numFmtId="166" fontId="11" fillId="0" borderId="61" xfId="2" applyNumberFormat="1" applyFont="1" applyFill="1" applyBorder="1"/>
    <xf numFmtId="0" fontId="11" fillId="0" borderId="39" xfId="0" applyFont="1" applyBorder="1"/>
    <xf numFmtId="165" fontId="11" fillId="0" borderId="9" xfId="1" applyNumberFormat="1" applyFont="1" applyBorder="1"/>
    <xf numFmtId="166" fontId="11" fillId="0" borderId="45" xfId="2" applyNumberFormat="1" applyFont="1" applyBorder="1"/>
    <xf numFmtId="0" fontId="11" fillId="0" borderId="61" xfId="0" applyFont="1" applyBorder="1"/>
    <xf numFmtId="0" fontId="11" fillId="0" borderId="62" xfId="0" applyFont="1" applyBorder="1" applyAlignment="1">
      <alignment horizontal="center"/>
    </xf>
    <xf numFmtId="0" fontId="11" fillId="0" borderId="29" xfId="0" applyFont="1" applyBorder="1"/>
    <xf numFmtId="38" fontId="11" fillId="0" borderId="8" xfId="0" applyNumberFormat="1" applyFont="1" applyBorder="1"/>
    <xf numFmtId="165" fontId="11" fillId="0" borderId="6" xfId="1" applyNumberFormat="1" applyFont="1" applyBorder="1"/>
    <xf numFmtId="166" fontId="11" fillId="0" borderId="63" xfId="2" applyNumberFormat="1" applyFont="1" applyBorder="1"/>
    <xf numFmtId="166" fontId="11" fillId="0" borderId="6" xfId="2" applyNumberFormat="1" applyFont="1" applyBorder="1"/>
    <xf numFmtId="37" fontId="11" fillId="0" borderId="8" xfId="0" applyNumberFormat="1" applyFont="1" applyBorder="1"/>
    <xf numFmtId="166" fontId="11" fillId="0" borderId="8" xfId="2" applyNumberFormat="1" applyFont="1" applyFill="1" applyBorder="1"/>
    <xf numFmtId="37" fontId="11" fillId="0" borderId="6" xfId="0" applyNumberFormat="1" applyFont="1" applyBorder="1"/>
    <xf numFmtId="173" fontId="11" fillId="0" borderId="6" xfId="5" applyNumberFormat="1" applyFont="1" applyFill="1" applyBorder="1"/>
    <xf numFmtId="166" fontId="11" fillId="0" borderId="6" xfId="2" applyNumberFormat="1" applyFont="1" applyFill="1" applyBorder="1"/>
    <xf numFmtId="166" fontId="11" fillId="0" borderId="52" xfId="2" applyNumberFormat="1" applyFont="1" applyBorder="1"/>
    <xf numFmtId="0" fontId="11" fillId="0" borderId="65" xfId="0" applyFont="1" applyBorder="1"/>
    <xf numFmtId="0" fontId="11" fillId="0" borderId="66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166" fontId="11" fillId="0" borderId="66" xfId="2" applyNumberFormat="1" applyFont="1" applyBorder="1"/>
    <xf numFmtId="166" fontId="11" fillId="0" borderId="67" xfId="2" applyNumberFormat="1" applyFont="1" applyFill="1" applyBorder="1"/>
    <xf numFmtId="38" fontId="11" fillId="0" borderId="66" xfId="0" applyNumberFormat="1" applyFont="1" applyBorder="1"/>
    <xf numFmtId="165" fontId="11" fillId="0" borderId="66" xfId="1" applyNumberFormat="1" applyFont="1" applyBorder="1"/>
    <xf numFmtId="165" fontId="11" fillId="0" borderId="67" xfId="1" applyNumberFormat="1" applyFont="1" applyBorder="1"/>
    <xf numFmtId="168" fontId="11" fillId="0" borderId="68" xfId="2" applyNumberFormat="1" applyFont="1" applyFill="1" applyBorder="1"/>
    <xf numFmtId="168" fontId="11" fillId="0" borderId="69" xfId="2" applyNumberFormat="1" applyFont="1" applyFill="1" applyBorder="1"/>
    <xf numFmtId="166" fontId="11" fillId="0" borderId="70" xfId="2" applyNumberFormat="1" applyFont="1" applyBorder="1"/>
    <xf numFmtId="165" fontId="11" fillId="0" borderId="68" xfId="1" applyNumberFormat="1" applyFont="1" applyBorder="1"/>
    <xf numFmtId="166" fontId="11" fillId="0" borderId="72" xfId="2" applyNumberFormat="1" applyFont="1" applyBorder="1"/>
    <xf numFmtId="166" fontId="11" fillId="0" borderId="73" xfId="2" applyNumberFormat="1" applyFont="1" applyBorder="1"/>
    <xf numFmtId="165" fontId="11" fillId="0" borderId="69" xfId="1" applyNumberFormat="1" applyFont="1" applyBorder="1"/>
    <xf numFmtId="166" fontId="11" fillId="0" borderId="67" xfId="2" applyNumberFormat="1" applyFont="1" applyBorder="1"/>
    <xf numFmtId="166" fontId="11" fillId="0" borderId="68" xfId="2" applyNumberFormat="1" applyFont="1" applyBorder="1"/>
    <xf numFmtId="37" fontId="11" fillId="0" borderId="66" xfId="0" applyNumberFormat="1" applyFont="1" applyBorder="1"/>
    <xf numFmtId="166" fontId="11" fillId="0" borderId="66" xfId="2" applyNumberFormat="1" applyFont="1" applyFill="1" applyBorder="1"/>
    <xf numFmtId="37" fontId="11" fillId="0" borderId="68" xfId="0" applyNumberFormat="1" applyFont="1" applyBorder="1"/>
    <xf numFmtId="37" fontId="11" fillId="0" borderId="69" xfId="0" applyNumberFormat="1" applyFont="1" applyBorder="1"/>
    <xf numFmtId="173" fontId="11" fillId="0" borderId="68" xfId="5" applyNumberFormat="1" applyFont="1" applyFill="1" applyBorder="1"/>
    <xf numFmtId="173" fontId="11" fillId="0" borderId="69" xfId="5" applyNumberFormat="1" applyFont="1" applyFill="1" applyBorder="1"/>
    <xf numFmtId="0" fontId="11" fillId="0" borderId="22" xfId="0" applyFont="1" applyBorder="1"/>
    <xf numFmtId="164" fontId="11" fillId="0" borderId="19" xfId="0" applyNumberFormat="1" applyFont="1" applyBorder="1"/>
    <xf numFmtId="0" fontId="11" fillId="0" borderId="0" xfId="0" applyFont="1" applyBorder="1" applyAlignment="1">
      <alignment horizontal="centerContinuous"/>
    </xf>
    <xf numFmtId="0" fontId="10" fillId="0" borderId="64" xfId="0" applyFont="1" applyBorder="1"/>
    <xf numFmtId="38" fontId="11" fillId="0" borderId="67" xfId="0" applyNumberFormat="1" applyFont="1" applyBorder="1"/>
    <xf numFmtId="166" fontId="11" fillId="0" borderId="71" xfId="2" applyNumberFormat="1" applyFont="1" applyBorder="1"/>
    <xf numFmtId="165" fontId="11" fillId="0" borderId="66" xfId="1" applyNumberFormat="1" applyFont="1" applyFill="1" applyBorder="1"/>
    <xf numFmtId="166" fontId="11" fillId="0" borderId="69" xfId="2" applyNumberFormat="1" applyFont="1" applyBorder="1"/>
    <xf numFmtId="37" fontId="11" fillId="0" borderId="67" xfId="0" applyNumberFormat="1" applyFont="1" applyBorder="1"/>
    <xf numFmtId="166" fontId="11" fillId="0" borderId="77" xfId="2" applyNumberFormat="1" applyFont="1" applyBorder="1"/>
    <xf numFmtId="166" fontId="11" fillId="0" borderId="78" xfId="2" applyNumberFormat="1" applyFont="1" applyBorder="1"/>
    <xf numFmtId="166" fontId="11" fillId="0" borderId="21" xfId="2" applyNumberFormat="1" applyFont="1" applyBorder="1"/>
    <xf numFmtId="170" fontId="11" fillId="0" borderId="66" xfId="5" applyNumberFormat="1" applyFont="1" applyBorder="1"/>
    <xf numFmtId="170" fontId="11" fillId="0" borderId="67" xfId="5" applyNumberFormat="1" applyFont="1" applyBorder="1"/>
    <xf numFmtId="165" fontId="9" fillId="0" borderId="0" xfId="0" applyNumberFormat="1" applyFont="1"/>
    <xf numFmtId="0" fontId="11" fillId="0" borderId="64" xfId="0" applyFont="1" applyBorder="1" applyAlignment="1">
      <alignment horizontal="center"/>
    </xf>
    <xf numFmtId="0" fontId="9" fillId="0" borderId="43" xfId="0" applyFont="1" applyBorder="1"/>
    <xf numFmtId="0" fontId="11" fillId="0" borderId="0" xfId="0" applyFont="1" applyFill="1" applyBorder="1" applyAlignment="1">
      <alignment horizontal="left"/>
    </xf>
    <xf numFmtId="0" fontId="11" fillId="0" borderId="77" xfId="0" applyFont="1" applyBorder="1" applyAlignment="1">
      <alignment horizontal="center"/>
    </xf>
    <xf numFmtId="0" fontId="11" fillId="0" borderId="78" xfId="0" applyFont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40" fontId="11" fillId="0" borderId="2" xfId="0" applyNumberFormat="1" applyFont="1" applyFill="1" applyBorder="1"/>
    <xf numFmtId="165" fontId="10" fillId="0" borderId="13" xfId="1" applyNumberFormat="1" applyFont="1" applyFill="1" applyBorder="1"/>
    <xf numFmtId="40" fontId="11" fillId="0" borderId="0" xfId="0" applyNumberFormat="1" applyFont="1" applyFill="1"/>
    <xf numFmtId="40" fontId="10" fillId="0" borderId="0" xfId="0" applyNumberFormat="1" applyFont="1" applyFill="1"/>
    <xf numFmtId="165" fontId="10" fillId="0" borderId="0" xfId="1" applyNumberFormat="1" applyFont="1" applyFill="1"/>
    <xf numFmtId="168" fontId="11" fillId="0" borderId="6" xfId="2" applyNumberFormat="1" applyFont="1" applyFill="1" applyBorder="1"/>
    <xf numFmtId="0" fontId="11" fillId="0" borderId="68" xfId="0" applyFont="1" applyBorder="1" applyAlignment="1">
      <alignment horizontal="center"/>
    </xf>
    <xf numFmtId="165" fontId="11" fillId="0" borderId="12" xfId="1" applyNumberFormat="1" applyFont="1" applyFill="1" applyBorder="1"/>
    <xf numFmtId="0" fontId="11" fillId="0" borderId="19" xfId="0" applyFont="1" applyFill="1" applyBorder="1" applyAlignment="1">
      <alignment horizontal="center"/>
    </xf>
    <xf numFmtId="0" fontId="10" fillId="0" borderId="12" xfId="0" applyFont="1" applyBorder="1"/>
    <xf numFmtId="40" fontId="11" fillId="0" borderId="42" xfId="0" applyNumberFormat="1" applyFont="1" applyFill="1" applyBorder="1"/>
    <xf numFmtId="40" fontId="11" fillId="0" borderId="21" xfId="0" applyNumberFormat="1" applyFont="1" applyFill="1" applyBorder="1"/>
    <xf numFmtId="40" fontId="11" fillId="0" borderId="24" xfId="0" applyNumberFormat="1" applyFont="1" applyFill="1" applyBorder="1"/>
    <xf numFmtId="0" fontId="10" fillId="0" borderId="28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0" fillId="0" borderId="79" xfId="0" applyFont="1" applyBorder="1" applyAlignment="1">
      <alignment horizontal="center" wrapText="1"/>
    </xf>
    <xf numFmtId="0" fontId="11" fillId="0" borderId="0" xfId="0" quotePrefix="1" applyFont="1" applyAlignment="1">
      <alignment vertical="center"/>
    </xf>
    <xf numFmtId="0" fontId="11" fillId="0" borderId="0" xfId="4" quotePrefix="1" applyFont="1"/>
    <xf numFmtId="40" fontId="11" fillId="0" borderId="12" xfId="0" applyNumberFormat="1" applyFont="1" applyFill="1" applyBorder="1"/>
    <xf numFmtId="40" fontId="11" fillId="0" borderId="13" xfId="0" applyNumberFormat="1" applyFont="1" applyFill="1" applyBorder="1"/>
    <xf numFmtId="165" fontId="10" fillId="0" borderId="17" xfId="1" applyNumberFormat="1" applyFont="1" applyBorder="1"/>
    <xf numFmtId="165" fontId="11" fillId="0" borderId="4" xfId="1" applyNumberFormat="1" applyFont="1" applyBorder="1"/>
    <xf numFmtId="165" fontId="10" fillId="0" borderId="56" xfId="1" applyNumberFormat="1" applyFont="1" applyBorder="1"/>
    <xf numFmtId="165" fontId="10" fillId="0" borderId="57" xfId="1" applyNumberFormat="1" applyFont="1" applyBorder="1"/>
    <xf numFmtId="165" fontId="11" fillId="0" borderId="57" xfId="1" applyNumberFormat="1" applyFont="1" applyBorder="1"/>
    <xf numFmtId="40" fontId="10" fillId="0" borderId="20" xfId="0" applyNumberFormat="1" applyFont="1" applyFill="1" applyBorder="1"/>
    <xf numFmtId="0" fontId="11" fillId="0" borderId="64" xfId="0" applyFont="1" applyBorder="1"/>
    <xf numFmtId="166" fontId="11" fillId="0" borderId="69" xfId="2" applyNumberFormat="1" applyFont="1" applyFill="1" applyBorder="1"/>
    <xf numFmtId="0" fontId="11" fillId="0" borderId="31" xfId="0" applyFont="1" applyBorder="1"/>
    <xf numFmtId="166" fontId="11" fillId="0" borderId="0" xfId="2" applyNumberFormat="1" applyFont="1" applyFill="1" applyBorder="1"/>
    <xf numFmtId="166" fontId="11" fillId="0" borderId="22" xfId="2" applyNumberFormat="1" applyFont="1" applyFill="1" applyBorder="1"/>
    <xf numFmtId="165" fontId="11" fillId="0" borderId="58" xfId="1" applyNumberFormat="1" applyFont="1" applyBorder="1"/>
    <xf numFmtId="165" fontId="11" fillId="0" borderId="76" xfId="1" applyNumberFormat="1" applyFont="1" applyBorder="1"/>
    <xf numFmtId="165" fontId="11" fillId="0" borderId="7" xfId="1" applyNumberFormat="1" applyFont="1" applyBorder="1"/>
    <xf numFmtId="0" fontId="11" fillId="0" borderId="66" xfId="0" applyFont="1" applyBorder="1"/>
    <xf numFmtId="0" fontId="10" fillId="0" borderId="0" xfId="3" applyFont="1" applyBorder="1" applyAlignment="1">
      <alignment horizontal="left"/>
    </xf>
    <xf numFmtId="0" fontId="11" fillId="0" borderId="66" xfId="3" applyFont="1" applyBorder="1" applyAlignment="1">
      <alignment horizontal="center"/>
    </xf>
    <xf numFmtId="0" fontId="11" fillId="0" borderId="67" xfId="3" applyFont="1" applyBorder="1" applyAlignment="1">
      <alignment horizontal="center"/>
    </xf>
    <xf numFmtId="0" fontId="11" fillId="0" borderId="77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1" fillId="0" borderId="12" xfId="3" applyFont="1" applyBorder="1"/>
    <xf numFmtId="0" fontId="11" fillId="0" borderId="78" xfId="3" applyFont="1" applyBorder="1" applyAlignment="1">
      <alignment horizontal="center"/>
    </xf>
    <xf numFmtId="0" fontId="7" fillId="0" borderId="0" xfId="0" applyFont="1" applyFill="1"/>
    <xf numFmtId="166" fontId="11" fillId="0" borderId="43" xfId="2" applyNumberFormat="1" applyFont="1" applyFill="1" applyBorder="1"/>
    <xf numFmtId="170" fontId="11" fillId="0" borderId="8" xfId="5" applyNumberFormat="1" applyFont="1" applyBorder="1"/>
    <xf numFmtId="166" fontId="11" fillId="0" borderId="61" xfId="2" applyNumberFormat="1" applyFont="1" applyBorder="1"/>
    <xf numFmtId="0" fontId="11" fillId="0" borderId="81" xfId="0" applyFont="1" applyBorder="1"/>
    <xf numFmtId="176" fontId="11" fillId="0" borderId="67" xfId="0" applyNumberFormat="1" applyFont="1" applyBorder="1"/>
    <xf numFmtId="170" fontId="11" fillId="0" borderId="0" xfId="5" applyNumberFormat="1" applyFont="1" applyBorder="1"/>
    <xf numFmtId="166" fontId="11" fillId="0" borderId="64" xfId="2" applyNumberFormat="1" applyFont="1" applyBorder="1"/>
    <xf numFmtId="166" fontId="11" fillId="0" borderId="65" xfId="2" applyNumberFormat="1" applyFont="1" applyFill="1" applyBorder="1"/>
    <xf numFmtId="0" fontId="11" fillId="0" borderId="67" xfId="0" applyFont="1" applyBorder="1"/>
    <xf numFmtId="0" fontId="11" fillId="0" borderId="22" xfId="0" applyFont="1" applyBorder="1" applyAlignment="1">
      <alignment horizontal="center"/>
    </xf>
    <xf numFmtId="166" fontId="11" fillId="0" borderId="19" xfId="2" applyNumberFormat="1" applyFont="1" applyFill="1" applyBorder="1"/>
    <xf numFmtId="0" fontId="11" fillId="0" borderId="70" xfId="0" applyFont="1" applyBorder="1"/>
    <xf numFmtId="0" fontId="11" fillId="0" borderId="71" xfId="0" applyFont="1" applyBorder="1"/>
    <xf numFmtId="0" fontId="10" fillId="0" borderId="28" xfId="0" applyFont="1" applyBorder="1"/>
    <xf numFmtId="0" fontId="11" fillId="0" borderId="28" xfId="0" applyFont="1" applyBorder="1" applyAlignment="1">
      <alignment horizontal="left"/>
    </xf>
    <xf numFmtId="0" fontId="22" fillId="0" borderId="29" xfId="0" applyFont="1" applyBorder="1"/>
    <xf numFmtId="0" fontId="11" fillId="0" borderId="66" xfId="0" applyFont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top"/>
    </xf>
    <xf numFmtId="166" fontId="10" fillId="0" borderId="2" xfId="2" applyNumberFormat="1" applyFont="1" applyFill="1" applyBorder="1" applyAlignment="1">
      <alignment vertical="top"/>
    </xf>
    <xf numFmtId="166" fontId="10" fillId="0" borderId="3" xfId="2" applyNumberFormat="1" applyFont="1" applyFill="1" applyBorder="1" applyAlignment="1">
      <alignment vertical="top"/>
    </xf>
    <xf numFmtId="0" fontId="11" fillId="0" borderId="67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43" fontId="11" fillId="0" borderId="23" xfId="1" applyFont="1" applyFill="1" applyBorder="1"/>
    <xf numFmtId="0" fontId="10" fillId="0" borderId="12" xfId="3" applyFont="1" applyBorder="1" applyAlignment="1">
      <alignment horizontal="center"/>
    </xf>
    <xf numFmtId="166" fontId="10" fillId="0" borderId="19" xfId="2" applyNumberFormat="1" applyFont="1" applyFill="1" applyBorder="1"/>
    <xf numFmtId="166" fontId="10" fillId="0" borderId="22" xfId="2" applyNumberFormat="1" applyFont="1" applyFill="1" applyBorder="1"/>
    <xf numFmtId="166" fontId="10" fillId="0" borderId="58" xfId="2" applyNumberFormat="1" applyFont="1" applyBorder="1"/>
    <xf numFmtId="166" fontId="10" fillId="0" borderId="76" xfId="2" applyNumberFormat="1" applyFont="1" applyBorder="1"/>
    <xf numFmtId="166" fontId="10" fillId="0" borderId="7" xfId="2" applyNumberFormat="1" applyFont="1" applyBorder="1"/>
    <xf numFmtId="0" fontId="7" fillId="0" borderId="0" xfId="0" applyFont="1" applyBorder="1"/>
    <xf numFmtId="174" fontId="10" fillId="0" borderId="27" xfId="0" applyNumberFormat="1" applyFont="1" applyFill="1" applyBorder="1" applyAlignment="1">
      <alignment horizontal="center"/>
    </xf>
    <xf numFmtId="174" fontId="10" fillId="0" borderId="47" xfId="0" applyNumberFormat="1" applyFont="1" applyFill="1" applyBorder="1" applyAlignment="1">
      <alignment horizontal="center"/>
    </xf>
    <xf numFmtId="174" fontId="10" fillId="0" borderId="25" xfId="0" applyNumberFormat="1" applyFont="1" applyFill="1" applyBorder="1" applyAlignment="1">
      <alignment horizontal="center"/>
    </xf>
    <xf numFmtId="174" fontId="10" fillId="0" borderId="26" xfId="0" applyNumberFormat="1" applyFont="1" applyFill="1" applyBorder="1" applyAlignment="1">
      <alignment horizontal="center"/>
    </xf>
    <xf numFmtId="174" fontId="10" fillId="0" borderId="2" xfId="0" applyNumberFormat="1" applyFont="1" applyFill="1" applyBorder="1" applyAlignment="1">
      <alignment horizontal="center"/>
    </xf>
    <xf numFmtId="174" fontId="10" fillId="0" borderId="19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1" fillId="0" borderId="0" xfId="0" applyFont="1" applyFill="1" applyAlignment="1">
      <alignment vertical="top"/>
    </xf>
    <xf numFmtId="165" fontId="7" fillId="0" borderId="0" xfId="0" applyNumberFormat="1" applyFont="1" applyFill="1"/>
    <xf numFmtId="40" fontId="7" fillId="0" borderId="0" xfId="0" applyNumberFormat="1" applyFont="1" applyFill="1"/>
    <xf numFmtId="40" fontId="7" fillId="0" borderId="0" xfId="0" applyNumberFormat="1" applyFont="1"/>
    <xf numFmtId="0" fontId="11" fillId="0" borderId="28" xfId="0" applyFont="1" applyBorder="1" applyAlignment="1">
      <alignment vertical="top"/>
    </xf>
    <xf numFmtId="166" fontId="10" fillId="0" borderId="19" xfId="2" applyNumberFormat="1" applyFont="1" applyFill="1" applyBorder="1" applyAlignment="1">
      <alignment vertical="top"/>
    </xf>
    <xf numFmtId="166" fontId="10" fillId="0" borderId="22" xfId="2" applyNumberFormat="1" applyFont="1" applyFill="1" applyBorder="1" applyAlignment="1">
      <alignment vertical="top"/>
    </xf>
    <xf numFmtId="166" fontId="11" fillId="0" borderId="2" xfId="2" applyNumberFormat="1" applyFont="1" applyFill="1" applyBorder="1" applyAlignment="1">
      <alignment vertical="top"/>
    </xf>
    <xf numFmtId="44" fontId="18" fillId="0" borderId="8" xfId="2" applyFont="1" applyBorder="1" applyAlignment="1">
      <alignment horizontal="center" vertical="top" wrapText="1"/>
    </xf>
    <xf numFmtId="165" fontId="10" fillId="0" borderId="66" xfId="1" applyNumberFormat="1" applyFont="1" applyFill="1" applyBorder="1"/>
    <xf numFmtId="171" fontId="10" fillId="0" borderId="79" xfId="0" applyNumberFormat="1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30" fillId="0" borderId="0" xfId="0" applyFont="1" applyFill="1" applyAlignment="1">
      <alignment horizontal="center" vertical="top"/>
    </xf>
    <xf numFmtId="42" fontId="11" fillId="0" borderId="0" xfId="0" applyNumberFormat="1" applyFont="1" applyBorder="1" applyAlignment="1">
      <alignment horizontal="centerContinuous" vertical="justify"/>
    </xf>
    <xf numFmtId="10" fontId="11" fillId="0" borderId="0" xfId="5" applyNumberFormat="1" applyFont="1" applyBorder="1" applyAlignment="1">
      <alignment horizontal="centerContinuous" vertical="justify"/>
    </xf>
    <xf numFmtId="0" fontId="11" fillId="0" borderId="2" xfId="0" applyFont="1" applyFill="1" applyBorder="1" applyAlignment="1">
      <alignment horizontal="left"/>
    </xf>
    <xf numFmtId="168" fontId="11" fillId="0" borderId="2" xfId="2" applyNumberFormat="1" applyFont="1" applyBorder="1"/>
    <xf numFmtId="0" fontId="21" fillId="0" borderId="2" xfId="0" applyFont="1" applyFill="1" applyBorder="1" applyAlignment="1">
      <alignment horizontal="left"/>
    </xf>
    <xf numFmtId="42" fontId="11" fillId="0" borderId="4" xfId="0" applyNumberFormat="1" applyFont="1" applyBorder="1"/>
    <xf numFmtId="10" fontId="11" fillId="0" borderId="4" xfId="5" applyNumberFormat="1" applyFont="1" applyBorder="1"/>
    <xf numFmtId="42" fontId="11" fillId="0" borderId="2" xfId="0" applyNumberFormat="1" applyFont="1" applyBorder="1"/>
    <xf numFmtId="42" fontId="11" fillId="0" borderId="2" xfId="0" applyNumberFormat="1" applyFont="1" applyBorder="1" applyAlignment="1">
      <alignment horizontal="center"/>
    </xf>
    <xf numFmtId="0" fontId="21" fillId="0" borderId="0" xfId="0" applyFont="1"/>
    <xf numFmtId="168" fontId="11" fillId="0" borderId="0" xfId="2" applyNumberFormat="1" applyFont="1"/>
    <xf numFmtId="0" fontId="11" fillId="0" borderId="0" xfId="0" applyFont="1" applyAlignment="1"/>
    <xf numFmtId="166" fontId="11" fillId="0" borderId="2" xfId="2" applyNumberFormat="1" applyFont="1" applyFill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66" fontId="11" fillId="0" borderId="4" xfId="2" applyNumberFormat="1" applyFont="1" applyFill="1" applyBorder="1" applyAlignment="1">
      <alignment horizontal="left"/>
    </xf>
    <xf numFmtId="0" fontId="12" fillId="0" borderId="0" xfId="0" applyFont="1"/>
    <xf numFmtId="166" fontId="12" fillId="0" borderId="0" xfId="0" applyNumberFormat="1" applyFont="1"/>
    <xf numFmtId="0" fontId="35" fillId="0" borderId="0" xfId="0" applyFont="1"/>
    <xf numFmtId="165" fontId="11" fillId="0" borderId="2" xfId="1" applyNumberFormat="1" applyFont="1" applyFill="1" applyBorder="1" applyAlignment="1">
      <alignment horizontal="left"/>
    </xf>
    <xf numFmtId="165" fontId="18" fillId="0" borderId="2" xfId="1" applyNumberFormat="1" applyFont="1" applyFill="1" applyBorder="1" applyAlignment="1">
      <alignment horizontal="center"/>
    </xf>
    <xf numFmtId="165" fontId="29" fillId="0" borderId="2" xfId="1" applyNumberFormat="1" applyFont="1" applyFill="1" applyBorder="1" applyAlignment="1">
      <alignment horizontal="center"/>
    </xf>
    <xf numFmtId="165" fontId="18" fillId="0" borderId="2" xfId="1" applyNumberFormat="1" applyFont="1" applyBorder="1" applyAlignment="1">
      <alignment horizontal="center"/>
    </xf>
    <xf numFmtId="168" fontId="11" fillId="0" borderId="2" xfId="2" applyNumberFormat="1" applyFont="1" applyBorder="1" applyAlignment="1">
      <alignment horizontal="center"/>
    </xf>
    <xf numFmtId="0" fontId="11" fillId="0" borderId="13" xfId="0" applyFont="1" applyBorder="1" applyAlignment="1">
      <alignment horizontal="centerContinuous" vertical="justify"/>
    </xf>
    <xf numFmtId="165" fontId="11" fillId="0" borderId="2" xfId="1" applyNumberFormat="1" applyFont="1" applyFill="1" applyBorder="1" applyAlignment="1">
      <alignment horizontal="center"/>
    </xf>
    <xf numFmtId="166" fontId="11" fillId="0" borderId="2" xfId="2" applyNumberFormat="1" applyFont="1" applyFill="1" applyBorder="1" applyAlignment="1">
      <alignment horizontal="center"/>
    </xf>
    <xf numFmtId="0" fontId="11" fillId="0" borderId="78" xfId="0" applyFont="1" applyBorder="1"/>
    <xf numFmtId="0" fontId="11" fillId="0" borderId="12" xfId="0" applyFont="1" applyBorder="1" applyAlignment="1"/>
    <xf numFmtId="165" fontId="21" fillId="0" borderId="2" xfId="1" applyNumberFormat="1" applyFont="1" applyFill="1" applyBorder="1" applyAlignment="1">
      <alignment horizontal="center"/>
    </xf>
    <xf numFmtId="0" fontId="12" fillId="0" borderId="42" xfId="0" applyFont="1" applyBorder="1"/>
    <xf numFmtId="168" fontId="18" fillId="0" borderId="2" xfId="2" applyNumberFormat="1" applyFont="1" applyBorder="1" applyAlignment="1">
      <alignment horizontal="center"/>
    </xf>
    <xf numFmtId="168" fontId="18" fillId="0" borderId="13" xfId="2" applyNumberFormat="1" applyFont="1" applyBorder="1" applyAlignment="1">
      <alignment horizontal="center"/>
    </xf>
    <xf numFmtId="0" fontId="11" fillId="0" borderId="45" xfId="0" applyFont="1" applyBorder="1" applyAlignment="1">
      <alignment horizontal="centerContinuous" vertical="justify"/>
    </xf>
    <xf numFmtId="166" fontId="10" fillId="0" borderId="13" xfId="2" applyNumberFormat="1" applyFont="1" applyFill="1" applyBorder="1"/>
    <xf numFmtId="0" fontId="14" fillId="0" borderId="0" xfId="0" applyFont="1" applyAlignment="1">
      <alignment horizontal="center"/>
    </xf>
    <xf numFmtId="166" fontId="11" fillId="0" borderId="18" xfId="2" applyNumberFormat="1" applyFont="1" applyBorder="1"/>
    <xf numFmtId="0" fontId="10" fillId="0" borderId="0" xfId="3" quotePrefix="1" applyFont="1" applyAlignment="1">
      <alignment horizontal="center"/>
    </xf>
    <xf numFmtId="0" fontId="21" fillId="0" borderId="39" xfId="0" applyFont="1" applyBorder="1" applyAlignment="1">
      <alignment horizontal="center"/>
    </xf>
    <xf numFmtId="0" fontId="36" fillId="0" borderId="0" xfId="0" applyFont="1" applyAlignment="1">
      <alignment horizontal="centerContinuous" vertical="justify"/>
    </xf>
    <xf numFmtId="0" fontId="10" fillId="0" borderId="0" xfId="0" applyFont="1" applyFill="1" applyBorder="1" applyAlignment="1">
      <alignment horizontal="centerContinuous" vertical="justify"/>
    </xf>
    <xf numFmtId="3" fontId="10" fillId="0" borderId="0" xfId="0" applyNumberFormat="1" applyFont="1" applyAlignment="1">
      <alignment horizontal="centerContinuous" vertical="justify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0" fontId="11" fillId="0" borderId="2" xfId="5" applyNumberFormat="1" applyFont="1" applyFill="1" applyBorder="1"/>
    <xf numFmtId="170" fontId="11" fillId="0" borderId="8" xfId="5" applyNumberFormat="1" applyFont="1" applyFill="1" applyBorder="1"/>
    <xf numFmtId="170" fontId="11" fillId="0" borderId="3" xfId="5" applyNumberFormat="1" applyFont="1" applyFill="1" applyBorder="1"/>
    <xf numFmtId="170" fontId="11" fillId="0" borderId="6" xfId="5" applyNumberFormat="1" applyFont="1" applyFill="1" applyBorder="1"/>
    <xf numFmtId="170" fontId="11" fillId="0" borderId="7" xfId="5" applyNumberFormat="1" applyFont="1" applyBorder="1"/>
    <xf numFmtId="170" fontId="11" fillId="0" borderId="68" xfId="5" applyNumberFormat="1" applyFont="1" applyBorder="1"/>
    <xf numFmtId="170" fontId="11" fillId="0" borderId="6" xfId="5" applyNumberFormat="1" applyFont="1" applyBorder="1"/>
    <xf numFmtId="170" fontId="11" fillId="0" borderId="69" xfId="5" applyNumberFormat="1" applyFont="1" applyBorder="1"/>
    <xf numFmtId="170" fontId="11" fillId="0" borderId="3" xfId="5" applyNumberFormat="1" applyFont="1" applyBorder="1"/>
    <xf numFmtId="0" fontId="11" fillId="0" borderId="9" xfId="4" applyFont="1" applyBorder="1" applyAlignment="1">
      <alignment horizontal="center" wrapText="1"/>
    </xf>
    <xf numFmtId="0" fontId="11" fillId="0" borderId="9" xfId="3" applyFont="1" applyBorder="1" applyAlignment="1">
      <alignment horizontal="center" wrapText="1"/>
    </xf>
    <xf numFmtId="0" fontId="11" fillId="0" borderId="66" xfId="0" applyFont="1" applyFill="1" applyBorder="1"/>
    <xf numFmtId="10" fontId="11" fillId="0" borderId="67" xfId="5" applyNumberFormat="1" applyFont="1" applyBorder="1"/>
    <xf numFmtId="10" fontId="11" fillId="0" borderId="66" xfId="5" applyNumberFormat="1" applyFont="1" applyBorder="1"/>
    <xf numFmtId="10" fontId="11" fillId="0" borderId="0" xfId="5" applyNumberFormat="1" applyFont="1" applyBorder="1"/>
    <xf numFmtId="10" fontId="11" fillId="0" borderId="66" xfId="5" applyNumberFormat="1" applyFont="1" applyFill="1" applyBorder="1"/>
    <xf numFmtId="10" fontId="11" fillId="0" borderId="2" xfId="5" applyNumberFormat="1" applyFont="1" applyFill="1" applyBorder="1"/>
    <xf numFmtId="10" fontId="11" fillId="0" borderId="67" xfId="5" applyNumberFormat="1" applyFont="1" applyFill="1" applyBorder="1"/>
    <xf numFmtId="3" fontId="11" fillId="0" borderId="17" xfId="0" applyNumberFormat="1" applyFont="1" applyFill="1" applyBorder="1"/>
    <xf numFmtId="166" fontId="11" fillId="0" borderId="6" xfId="0" applyNumberFormat="1" applyFont="1" applyBorder="1" applyAlignment="1">
      <alignment horizontal="left"/>
    </xf>
    <xf numFmtId="165" fontId="11" fillId="0" borderId="6" xfId="1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166" fontId="11" fillId="0" borderId="8" xfId="0" applyNumberFormat="1" applyFont="1" applyBorder="1"/>
    <xf numFmtId="44" fontId="11" fillId="0" borderId="8" xfId="0" applyNumberFormat="1" applyFont="1" applyBorder="1"/>
    <xf numFmtId="44" fontId="11" fillId="0" borderId="8" xfId="2" applyFont="1" applyBorder="1"/>
    <xf numFmtId="165" fontId="11" fillId="0" borderId="6" xfId="1" applyNumberFormat="1" applyFont="1" applyFill="1" applyBorder="1"/>
    <xf numFmtId="166" fontId="11" fillId="0" borderId="8" xfId="2" applyNumberFormat="1" applyFont="1" applyFill="1" applyBorder="1" applyAlignment="1">
      <alignment vertical="top"/>
    </xf>
    <xf numFmtId="167" fontId="11" fillId="0" borderId="18" xfId="2" applyNumberFormat="1" applyFont="1" applyBorder="1"/>
    <xf numFmtId="0" fontId="11" fillId="0" borderId="2" xfId="0" applyFont="1" applyBorder="1" applyAlignment="1">
      <alignment horizontal="right"/>
    </xf>
    <xf numFmtId="40" fontId="11" fillId="0" borderId="20" xfId="0" applyNumberFormat="1" applyFont="1" applyFill="1" applyBorder="1"/>
    <xf numFmtId="40" fontId="11" fillId="0" borderId="23" xfId="0" applyNumberFormat="1" applyFont="1" applyFill="1" applyBorder="1"/>
    <xf numFmtId="40" fontId="11" fillId="0" borderId="29" xfId="0" applyNumberFormat="1" applyFont="1" applyBorder="1"/>
    <xf numFmtId="0" fontId="15" fillId="0" borderId="0" xfId="0" applyFont="1"/>
    <xf numFmtId="0" fontId="11" fillId="0" borderId="19" xfId="3" applyFont="1" applyBorder="1" applyAlignment="1">
      <alignment horizontal="center" wrapText="1"/>
    </xf>
    <xf numFmtId="0" fontId="11" fillId="0" borderId="67" xfId="3" applyFont="1" applyBorder="1" applyAlignment="1">
      <alignment horizontal="center" wrapText="1"/>
    </xf>
    <xf numFmtId="0" fontId="10" fillId="0" borderId="42" xfId="0" applyFont="1" applyBorder="1" applyAlignment="1">
      <alignment horizontal="center"/>
    </xf>
    <xf numFmtId="0" fontId="9" fillId="0" borderId="9" xfId="0" applyFont="1" applyBorder="1"/>
    <xf numFmtId="0" fontId="8" fillId="0" borderId="43" xfId="0" applyFont="1" applyBorder="1" applyAlignment="1">
      <alignment horizontal="center"/>
    </xf>
    <xf numFmtId="0" fontId="9" fillId="0" borderId="49" xfId="0" applyFont="1" applyBorder="1"/>
    <xf numFmtId="0" fontId="11" fillId="0" borderId="24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1" fontId="11" fillId="0" borderId="0" xfId="0" applyNumberFormat="1" applyFont="1" applyBorder="1"/>
    <xf numFmtId="178" fontId="11" fillId="0" borderId="0" xfId="0" applyNumberFormat="1" applyFont="1" applyAlignment="1">
      <alignment horizontal="left"/>
    </xf>
    <xf numFmtId="0" fontId="10" fillId="0" borderId="26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171" fontId="10" fillId="0" borderId="28" xfId="0" applyNumberFormat="1" applyFont="1" applyFill="1" applyBorder="1" applyAlignment="1">
      <alignment horizontal="center"/>
    </xf>
    <xf numFmtId="166" fontId="11" fillId="0" borderId="28" xfId="2" applyNumberFormat="1" applyFont="1" applyFill="1" applyBorder="1"/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Continuous" vertical="top"/>
    </xf>
    <xf numFmtId="0" fontId="11" fillId="4" borderId="2" xfId="0" applyFont="1" applyFill="1" applyBorder="1" applyAlignment="1">
      <alignment horizontal="center"/>
    </xf>
    <xf numFmtId="166" fontId="11" fillId="4" borderId="10" xfId="2" applyNumberFormat="1" applyFont="1" applyFill="1" applyBorder="1"/>
    <xf numFmtId="0" fontId="12" fillId="0" borderId="0" xfId="0" applyFont="1" applyAlignment="1">
      <alignment horizontal="center"/>
    </xf>
    <xf numFmtId="44" fontId="11" fillId="0" borderId="0" xfId="0" applyNumberFormat="1" applyFont="1"/>
    <xf numFmtId="166" fontId="11" fillId="4" borderId="2" xfId="2" applyNumberFormat="1" applyFont="1" applyFill="1" applyBorder="1" applyAlignment="1">
      <alignment horizontal="center"/>
    </xf>
    <xf numFmtId="0" fontId="11" fillId="4" borderId="0" xfId="0" applyFont="1" applyFill="1"/>
    <xf numFmtId="0" fontId="10" fillId="0" borderId="13" xfId="0" applyFont="1" applyBorder="1"/>
    <xf numFmtId="165" fontId="11" fillId="0" borderId="0" xfId="0" applyNumberFormat="1" applyFont="1"/>
    <xf numFmtId="166" fontId="10" fillId="4" borderId="10" xfId="0" applyNumberFormat="1" applyFont="1" applyFill="1" applyBorder="1"/>
    <xf numFmtId="0" fontId="11" fillId="0" borderId="0" xfId="0" applyFont="1" applyAlignment="1">
      <alignment horizontal="left"/>
    </xf>
    <xf numFmtId="165" fontId="11" fillId="0" borderId="4" xfId="1" applyNumberFormat="1" applyFont="1" applyFill="1" applyBorder="1" applyAlignment="1">
      <alignment horizontal="left"/>
    </xf>
    <xf numFmtId="165" fontId="11" fillId="0" borderId="1" xfId="1" applyNumberFormat="1" applyFont="1" applyFill="1" applyBorder="1"/>
    <xf numFmtId="44" fontId="11" fillId="0" borderId="2" xfId="0" applyNumberFormat="1" applyFont="1" applyFill="1" applyBorder="1"/>
    <xf numFmtId="17" fontId="11" fillId="0" borderId="2" xfId="0" applyNumberFormat="1" applyFont="1" applyBorder="1" applyAlignment="1">
      <alignment horizontal="center"/>
    </xf>
    <xf numFmtId="17" fontId="11" fillId="0" borderId="2" xfId="0" applyNumberFormat="1" applyFont="1" applyBorder="1" applyAlignment="1"/>
    <xf numFmtId="168" fontId="11" fillId="0" borderId="18" xfId="2" applyNumberFormat="1" applyFont="1" applyFill="1" applyBorder="1"/>
    <xf numFmtId="0" fontId="11" fillId="0" borderId="2" xfId="0" applyFont="1" applyBorder="1" applyAlignment="1">
      <alignment horizontal="left" vertical="top"/>
    </xf>
    <xf numFmtId="165" fontId="11" fillId="0" borderId="58" xfId="1" applyNumberFormat="1" applyFont="1" applyFill="1" applyBorder="1"/>
    <xf numFmtId="165" fontId="11" fillId="0" borderId="76" xfId="1" applyNumberFormat="1" applyFont="1" applyFill="1" applyBorder="1"/>
    <xf numFmtId="165" fontId="11" fillId="0" borderId="7" xfId="1" applyNumberFormat="1" applyFont="1" applyFill="1" applyBorder="1"/>
    <xf numFmtId="165" fontId="11" fillId="0" borderId="92" xfId="1" applyNumberFormat="1" applyFont="1" applyFill="1" applyBorder="1"/>
    <xf numFmtId="165" fontId="11" fillId="0" borderId="91" xfId="1" applyNumberFormat="1" applyFont="1" applyFill="1" applyBorder="1"/>
    <xf numFmtId="165" fontId="11" fillId="0" borderId="15" xfId="1" applyNumberFormat="1" applyFont="1" applyFill="1" applyBorder="1"/>
    <xf numFmtId="166" fontId="10" fillId="0" borderId="17" xfId="2" applyNumberFormat="1" applyFont="1" applyFill="1" applyBorder="1"/>
    <xf numFmtId="165" fontId="11" fillId="0" borderId="62" xfId="1" applyNumberFormat="1" applyFont="1" applyFill="1" applyBorder="1"/>
    <xf numFmtId="165" fontId="11" fillId="0" borderId="31" xfId="1" applyNumberFormat="1" applyFont="1" applyFill="1" applyBorder="1"/>
    <xf numFmtId="166" fontId="10" fillId="0" borderId="30" xfId="2" applyNumberFormat="1" applyFont="1" applyFill="1" applyBorder="1"/>
    <xf numFmtId="166" fontId="10" fillId="0" borderId="56" xfId="2" applyNumberFormat="1" applyFont="1" applyFill="1" applyBorder="1"/>
    <xf numFmtId="166" fontId="10" fillId="0" borderId="57" xfId="2" applyNumberFormat="1" applyFont="1" applyFill="1" applyBorder="1"/>
    <xf numFmtId="0" fontId="22" fillId="0" borderId="39" xfId="0" applyFont="1" applyBorder="1"/>
    <xf numFmtId="0" fontId="21" fillId="0" borderId="28" xfId="0" applyFont="1" applyBorder="1"/>
    <xf numFmtId="37" fontId="11" fillId="0" borderId="2" xfId="0" applyNumberFormat="1" applyFont="1" applyFill="1" applyBorder="1" applyAlignment="1">
      <alignment horizontal="right"/>
    </xf>
    <xf numFmtId="17" fontId="11" fillId="0" borderId="1" xfId="0" applyNumberFormat="1" applyFont="1" applyBorder="1" applyAlignment="1">
      <alignment horizontal="right"/>
    </xf>
    <xf numFmtId="37" fontId="11" fillId="0" borderId="3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37" fontId="11" fillId="0" borderId="7" xfId="0" applyNumberFormat="1" applyFont="1" applyBorder="1" applyAlignment="1">
      <alignment horizontal="right"/>
    </xf>
    <xf numFmtId="41" fontId="11" fillId="0" borderId="3" xfId="0" applyNumberFormat="1" applyFont="1" applyBorder="1" applyAlignment="1">
      <alignment horizontal="center"/>
    </xf>
    <xf numFmtId="37" fontId="11" fillId="0" borderId="4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37" fontId="11" fillId="0" borderId="1" xfId="0" applyNumberFormat="1" applyFont="1" applyBorder="1" applyAlignment="1">
      <alignment horizontal="right"/>
    </xf>
    <xf numFmtId="41" fontId="11" fillId="0" borderId="8" xfId="0" applyNumberFormat="1" applyFont="1" applyBorder="1"/>
    <xf numFmtId="41" fontId="11" fillId="0" borderId="6" xfId="0" applyNumberFormat="1" applyFont="1" applyBorder="1"/>
    <xf numFmtId="41" fontId="11" fillId="0" borderId="11" xfId="0" applyNumberFormat="1" applyFont="1" applyBorder="1"/>
    <xf numFmtId="41" fontId="11" fillId="0" borderId="16" xfId="0" applyNumberFormat="1" applyFont="1" applyBorder="1"/>
    <xf numFmtId="41" fontId="11" fillId="0" borderId="8" xfId="0" applyNumberFormat="1" applyFont="1" applyBorder="1" applyAlignment="1">
      <alignment horizontal="center"/>
    </xf>
    <xf numFmtId="180" fontId="11" fillId="0" borderId="11" xfId="0" applyNumberFormat="1" applyFont="1" applyBorder="1"/>
    <xf numFmtId="166" fontId="11" fillId="0" borderId="18" xfId="2" applyNumberFormat="1" applyFont="1" applyFill="1" applyBorder="1"/>
    <xf numFmtId="0" fontId="37" fillId="0" borderId="0" xfId="0" applyFont="1" applyBorder="1" applyAlignment="1">
      <alignment horizontal="left"/>
    </xf>
    <xf numFmtId="0" fontId="11" fillId="0" borderId="8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right"/>
    </xf>
    <xf numFmtId="166" fontId="11" fillId="0" borderId="54" xfId="2" applyNumberFormat="1" applyFont="1" applyFill="1" applyBorder="1"/>
    <xf numFmtId="17" fontId="21" fillId="0" borderId="19" xfId="0" applyNumberFormat="1" applyFont="1" applyBorder="1" applyAlignment="1">
      <alignment horizontal="center"/>
    </xf>
    <xf numFmtId="17" fontId="21" fillId="0" borderId="0" xfId="0" applyNumberFormat="1" applyFont="1" applyBorder="1" applyAlignment="1">
      <alignment horizontal="center"/>
    </xf>
    <xf numFmtId="166" fontId="11" fillId="0" borderId="4" xfId="2" applyNumberFormat="1" applyFont="1" applyFill="1" applyBorder="1" applyAlignment="1">
      <alignment horizontal="center"/>
    </xf>
    <xf numFmtId="166" fontId="11" fillId="0" borderId="3" xfId="2" applyNumberFormat="1" applyFont="1" applyFill="1" applyBorder="1" applyAlignment="1">
      <alignment horizontal="center"/>
    </xf>
    <xf numFmtId="166" fontId="10" fillId="0" borderId="74" xfId="2" applyNumberFormat="1" applyFont="1" applyBorder="1"/>
    <xf numFmtId="0" fontId="11" fillId="0" borderId="0" xfId="0" applyFont="1" applyAlignment="1">
      <alignment vertical="justify"/>
    </xf>
    <xf numFmtId="0" fontId="11" fillId="0" borderId="0" xfId="0" applyFont="1" applyAlignment="1">
      <alignment horizontal="center" vertical="justify"/>
    </xf>
    <xf numFmtId="0" fontId="11" fillId="0" borderId="0" xfId="0" applyFont="1" applyFill="1" applyAlignment="1">
      <alignment horizontal="center" vertical="justify"/>
    </xf>
    <xf numFmtId="3" fontId="11" fillId="0" borderId="0" xfId="0" applyNumberFormat="1" applyFont="1" applyFill="1" applyAlignment="1">
      <alignment horizontal="center" vertical="justify"/>
    </xf>
    <xf numFmtId="0" fontId="11" fillId="0" borderId="0" xfId="0" applyFont="1" applyFill="1" applyAlignment="1">
      <alignment horizontal="centerContinuous" vertical="justify"/>
    </xf>
    <xf numFmtId="0" fontId="11" fillId="0" borderId="2" xfId="0" applyFont="1" applyFill="1" applyBorder="1" applyAlignment="1">
      <alignment horizontal="center"/>
    </xf>
    <xf numFmtId="166" fontId="11" fillId="0" borderId="3" xfId="2" applyNumberFormat="1" applyFont="1" applyFill="1" applyBorder="1" applyAlignment="1">
      <alignment horizontal="left"/>
    </xf>
    <xf numFmtId="0" fontId="14" fillId="0" borderId="0" xfId="0" quotePrefix="1" applyFont="1" applyAlignment="1">
      <alignment horizontal="right"/>
    </xf>
    <xf numFmtId="166" fontId="11" fillId="0" borderId="17" xfId="2" applyNumberFormat="1" applyFont="1" applyFill="1" applyBorder="1"/>
    <xf numFmtId="10" fontId="11" fillId="0" borderId="8" xfId="5" applyNumberFormat="1" applyFont="1" applyBorder="1"/>
    <xf numFmtId="165" fontId="11" fillId="0" borderId="21" xfId="1" applyNumberFormat="1" applyFont="1" applyFill="1" applyBorder="1"/>
    <xf numFmtId="165" fontId="11" fillId="0" borderId="42" xfId="1" applyNumberFormat="1" applyFont="1" applyFill="1" applyBorder="1"/>
    <xf numFmtId="166" fontId="11" fillId="0" borderId="63" xfId="2" applyNumberFormat="1" applyFont="1" applyFill="1" applyBorder="1"/>
    <xf numFmtId="166" fontId="11" fillId="0" borderId="73" xfId="2" applyNumberFormat="1" applyFont="1" applyFill="1" applyBorder="1"/>
    <xf numFmtId="40" fontId="11" fillId="0" borderId="22" xfId="0" applyNumberFormat="1" applyFont="1" applyFill="1" applyBorder="1"/>
    <xf numFmtId="40" fontId="11" fillId="0" borderId="19" xfId="0" applyNumberFormat="1" applyFont="1" applyFill="1" applyBorder="1"/>
    <xf numFmtId="0" fontId="11" fillId="0" borderId="28" xfId="0" quotePrefix="1" applyFont="1" applyFill="1" applyBorder="1" applyAlignment="1">
      <alignment horizontal="center"/>
    </xf>
    <xf numFmtId="0" fontId="11" fillId="0" borderId="29" xfId="0" quotePrefix="1" applyFont="1" applyFill="1" applyBorder="1" applyAlignment="1">
      <alignment horizontal="center"/>
    </xf>
    <xf numFmtId="0" fontId="21" fillId="0" borderId="0" xfId="0" applyFont="1" applyBorder="1"/>
    <xf numFmtId="177" fontId="10" fillId="0" borderId="50" xfId="2" applyNumberFormat="1" applyFont="1" applyBorder="1"/>
    <xf numFmtId="166" fontId="10" fillId="0" borderId="18" xfId="2" applyNumberFormat="1" applyFont="1" applyBorder="1"/>
    <xf numFmtId="165" fontId="11" fillId="0" borderId="8" xfId="1" applyNumberFormat="1" applyFont="1" applyFill="1" applyBorder="1"/>
    <xf numFmtId="0" fontId="11" fillId="0" borderId="28" xfId="0" applyFont="1" applyFill="1" applyBorder="1" applyAlignment="1">
      <alignment horizontal="center" vertical="center"/>
    </xf>
    <xf numFmtId="165" fontId="11" fillId="0" borderId="19" xfId="1" applyNumberFormat="1" applyFont="1" applyFill="1" applyBorder="1" applyAlignment="1">
      <alignment vertical="center"/>
    </xf>
    <xf numFmtId="165" fontId="11" fillId="0" borderId="2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0" fontId="11" fillId="0" borderId="47" xfId="0" applyNumberFormat="1" applyFont="1" applyFill="1" applyBorder="1"/>
    <xf numFmtId="0" fontId="11" fillId="0" borderId="24" xfId="0" applyFont="1" applyFill="1" applyBorder="1" applyAlignment="1">
      <alignment horizontal="center"/>
    </xf>
    <xf numFmtId="166" fontId="10" fillId="0" borderId="75" xfId="2" applyNumberFormat="1" applyFont="1" applyBorder="1"/>
    <xf numFmtId="10" fontId="11" fillId="0" borderId="34" xfId="5" applyNumberFormat="1" applyFont="1" applyBorder="1"/>
    <xf numFmtId="10" fontId="11" fillId="0" borderId="51" xfId="0" applyNumberFormat="1" applyFont="1" applyBorder="1"/>
    <xf numFmtId="10" fontId="11" fillId="0" borderId="44" xfId="0" applyNumberFormat="1" applyFont="1" applyBorder="1"/>
    <xf numFmtId="10" fontId="11" fillId="0" borderId="84" xfId="0" applyNumberFormat="1" applyFont="1" applyFill="1" applyBorder="1"/>
    <xf numFmtId="10" fontId="11" fillId="0" borderId="82" xfId="0" applyNumberFormat="1" applyFont="1" applyBorder="1"/>
    <xf numFmtId="10" fontId="11" fillId="0" borderId="85" xfId="0" applyNumberFormat="1" applyFont="1" applyBorder="1"/>
    <xf numFmtId="10" fontId="11" fillId="0" borderId="84" xfId="0" applyNumberFormat="1" applyFont="1" applyBorder="1"/>
    <xf numFmtId="166" fontId="10" fillId="0" borderId="75" xfId="2" applyNumberFormat="1" applyFont="1" applyFill="1" applyBorder="1"/>
    <xf numFmtId="0" fontId="10" fillId="0" borderId="39" xfId="0" applyFont="1" applyBorder="1" applyAlignment="1">
      <alignment horizontal="center" wrapText="1"/>
    </xf>
    <xf numFmtId="174" fontId="10" fillId="0" borderId="0" xfId="0" applyNumberFormat="1" applyFont="1" applyFill="1" applyBorder="1" applyAlignment="1">
      <alignment horizontal="center"/>
    </xf>
    <xf numFmtId="174" fontId="10" fillId="0" borderId="21" xfId="0" applyNumberFormat="1" applyFont="1" applyFill="1" applyBorder="1" applyAlignment="1">
      <alignment horizontal="center"/>
    </xf>
    <xf numFmtId="174" fontId="10" fillId="0" borderId="42" xfId="0" applyNumberFormat="1" applyFont="1" applyFill="1" applyBorder="1" applyAlignment="1">
      <alignment horizontal="center"/>
    </xf>
    <xf numFmtId="174" fontId="10" fillId="0" borderId="79" xfId="0" applyNumberFormat="1" applyFont="1" applyBorder="1" applyAlignment="1">
      <alignment horizontal="center"/>
    </xf>
    <xf numFmtId="166" fontId="10" fillId="0" borderId="0" xfId="2" applyNumberFormat="1" applyFont="1" applyFill="1" applyBorder="1"/>
    <xf numFmtId="165" fontId="10" fillId="0" borderId="12" xfId="1" applyNumberFormat="1" applyFont="1" applyFill="1" applyBorder="1"/>
    <xf numFmtId="174" fontId="10" fillId="0" borderId="43" xfId="0" applyNumberFormat="1" applyFont="1" applyFill="1" applyBorder="1" applyAlignment="1">
      <alignment horizontal="center"/>
    </xf>
    <xf numFmtId="40" fontId="11" fillId="0" borderId="43" xfId="0" applyNumberFormat="1" applyFont="1" applyFill="1" applyBorder="1"/>
    <xf numFmtId="182" fontId="11" fillId="0" borderId="4" xfId="0" applyNumberFormat="1" applyFont="1" applyBorder="1"/>
    <xf numFmtId="17" fontId="11" fillId="0" borderId="9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2" xfId="0" applyFont="1" applyBorder="1"/>
    <xf numFmtId="0" fontId="10" fillId="0" borderId="42" xfId="0" quotePrefix="1" applyFont="1" applyBorder="1" applyAlignment="1">
      <alignment horizontal="center"/>
    </xf>
    <xf numFmtId="0" fontId="10" fillId="0" borderId="65" xfId="0" applyFont="1" applyBorder="1"/>
    <xf numFmtId="0" fontId="10" fillId="0" borderId="66" xfId="0" applyFont="1" applyBorder="1"/>
    <xf numFmtId="0" fontId="10" fillId="0" borderId="67" xfId="0" applyFont="1" applyBorder="1"/>
    <xf numFmtId="0" fontId="10" fillId="0" borderId="66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1" fillId="0" borderId="32" xfId="0" applyFont="1" applyBorder="1"/>
    <xf numFmtId="0" fontId="11" fillId="0" borderId="86" xfId="0" applyFont="1" applyBorder="1"/>
    <xf numFmtId="0" fontId="10" fillId="0" borderId="61" xfId="0" quotePrefix="1" applyFont="1" applyBorder="1" applyAlignment="1">
      <alignment horizontal="center"/>
    </xf>
    <xf numFmtId="0" fontId="11" fillId="0" borderId="52" xfId="0" applyFont="1" applyBorder="1"/>
    <xf numFmtId="0" fontId="10" fillId="0" borderId="64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42" xfId="0" applyFont="1" applyFill="1" applyBorder="1"/>
    <xf numFmtId="0" fontId="10" fillId="0" borderId="48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 vertical="justify"/>
    </xf>
    <xf numFmtId="0" fontId="10" fillId="0" borderId="66" xfId="0" applyFont="1" applyFill="1" applyBorder="1" applyAlignment="1">
      <alignment horizontal="center"/>
    </xf>
    <xf numFmtId="0" fontId="10" fillId="0" borderId="67" xfId="0" applyFont="1" applyFill="1" applyBorder="1" applyAlignment="1">
      <alignment horizontal="center"/>
    </xf>
    <xf numFmtId="0" fontId="11" fillId="0" borderId="45" xfId="0" applyFont="1" applyBorder="1"/>
    <xf numFmtId="166" fontId="11" fillId="0" borderId="94" xfId="2" applyNumberFormat="1" applyFont="1" applyBorder="1"/>
    <xf numFmtId="166" fontId="11" fillId="0" borderId="83" xfId="2" applyNumberFormat="1" applyFont="1" applyBorder="1"/>
    <xf numFmtId="0" fontId="11" fillId="0" borderId="82" xfId="0" applyFont="1" applyBorder="1"/>
    <xf numFmtId="0" fontId="10" fillId="0" borderId="42" xfId="0" applyFont="1" applyFill="1" applyBorder="1" applyAlignment="1">
      <alignment horizontal="center"/>
    </xf>
    <xf numFmtId="0" fontId="10" fillId="0" borderId="87" xfId="0" quotePrefix="1" applyFont="1" applyBorder="1" applyAlignment="1">
      <alignment horizontal="centerContinuous" vertical="justify"/>
    </xf>
    <xf numFmtId="0" fontId="10" fillId="0" borderId="48" xfId="0" quotePrefix="1" applyFont="1" applyBorder="1" applyAlignment="1">
      <alignment horizontal="centerContinuous" vertical="justify"/>
    </xf>
    <xf numFmtId="17" fontId="10" fillId="0" borderId="9" xfId="0" applyNumberFormat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" vertical="justify"/>
    </xf>
    <xf numFmtId="0" fontId="10" fillId="0" borderId="77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0" fontId="10" fillId="0" borderId="13" xfId="0" quotePrefix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" xfId="0" quotePrefix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Continuous" vertical="justify"/>
    </xf>
    <xf numFmtId="0" fontId="10" fillId="0" borderId="5" xfId="0" quotePrefix="1" applyFont="1" applyBorder="1" applyAlignment="1">
      <alignment horizontal="centerContinuous" vertical="justify"/>
    </xf>
    <xf numFmtId="0" fontId="11" fillId="0" borderId="77" xfId="0" applyFont="1" applyBorder="1"/>
    <xf numFmtId="0" fontId="11" fillId="0" borderId="5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2" xfId="0" applyFont="1" applyBorder="1" applyAlignment="1">
      <alignment horizontal="centerContinuous" vertical="justify"/>
    </xf>
    <xf numFmtId="0" fontId="8" fillId="0" borderId="12" xfId="0" applyFont="1" applyBorder="1" applyAlignment="1">
      <alignment horizontal="centerContinuous" vertical="justify"/>
    </xf>
    <xf numFmtId="0" fontId="10" fillId="0" borderId="52" xfId="0" applyFont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42" xfId="0" applyFont="1" applyBorder="1" applyAlignment="1">
      <alignment horizontal="left"/>
    </xf>
    <xf numFmtId="0" fontId="19" fillId="0" borderId="88" xfId="0" quotePrefix="1" applyFont="1" applyBorder="1" applyAlignment="1">
      <alignment horizontal="center"/>
    </xf>
    <xf numFmtId="0" fontId="19" fillId="0" borderId="48" xfId="0" quotePrefix="1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0" fillId="0" borderId="68" xfId="0" applyFont="1" applyBorder="1"/>
    <xf numFmtId="0" fontId="10" fillId="0" borderId="69" xfId="0" applyFont="1" applyBorder="1"/>
    <xf numFmtId="0" fontId="10" fillId="0" borderId="39" xfId="0" applyFont="1" applyBorder="1" applyAlignment="1">
      <alignment horizontal="center"/>
    </xf>
    <xf numFmtId="0" fontId="10" fillId="2" borderId="48" xfId="0" quotePrefix="1" applyFont="1" applyFill="1" applyBorder="1" applyAlignment="1">
      <alignment horizontal="center"/>
    </xf>
    <xf numFmtId="0" fontId="10" fillId="2" borderId="88" xfId="0" quotePrefix="1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0" fillId="0" borderId="39" xfId="0" applyFont="1" applyBorder="1"/>
    <xf numFmtId="0" fontId="10" fillId="0" borderId="43" xfId="0" applyFont="1" applyBorder="1"/>
    <xf numFmtId="0" fontId="10" fillId="0" borderId="61" xfId="0" applyFont="1" applyBorder="1"/>
    <xf numFmtId="0" fontId="10" fillId="0" borderId="12" xfId="0" applyFont="1" applyBorder="1" applyAlignment="1">
      <alignment horizontal="center"/>
    </xf>
    <xf numFmtId="0" fontId="10" fillId="0" borderId="78" xfId="0" applyFont="1" applyFill="1" applyBorder="1" applyAlignment="1">
      <alignment horizontal="center"/>
    </xf>
    <xf numFmtId="165" fontId="11" fillId="0" borderId="3" xfId="19" applyNumberFormat="1" applyFont="1" applyFill="1" applyBorder="1" applyAlignment="1">
      <alignment horizontal="left"/>
    </xf>
    <xf numFmtId="165" fontId="11" fillId="0" borderId="58" xfId="19" applyNumberFormat="1" applyFont="1" applyFill="1" applyBorder="1" applyAlignment="1">
      <alignment horizontal="left"/>
    </xf>
    <xf numFmtId="165" fontId="11" fillId="0" borderId="76" xfId="19" applyNumberFormat="1" applyFont="1" applyFill="1" applyBorder="1" applyAlignment="1">
      <alignment horizontal="left"/>
    </xf>
    <xf numFmtId="166" fontId="11" fillId="0" borderId="34" xfId="2" applyNumberFormat="1" applyFont="1" applyBorder="1"/>
    <xf numFmtId="170" fontId="11" fillId="0" borderId="95" xfId="5" applyNumberFormat="1" applyFont="1" applyFill="1" applyBorder="1"/>
    <xf numFmtId="170" fontId="11" fillId="0" borderId="44" xfId="5" applyNumberFormat="1" applyFont="1" applyFill="1" applyBorder="1"/>
    <xf numFmtId="170" fontId="11" fillId="0" borderId="82" xfId="5" applyNumberFormat="1" applyFont="1" applyFill="1" applyBorder="1"/>
    <xf numFmtId="170" fontId="11" fillId="0" borderId="83" xfId="5" applyNumberFormat="1" applyFont="1" applyFill="1" applyBorder="1"/>
    <xf numFmtId="170" fontId="11" fillId="0" borderId="84" xfId="5" applyNumberFormat="1" applyFont="1" applyFill="1" applyBorder="1"/>
    <xf numFmtId="170" fontId="11" fillId="0" borderId="85" xfId="5" applyNumberFormat="1" applyFont="1" applyFill="1" applyBorder="1"/>
    <xf numFmtId="0" fontId="10" fillId="0" borderId="43" xfId="0" applyFont="1" applyBorder="1" applyAlignment="1">
      <alignment horizontal="left"/>
    </xf>
    <xf numFmtId="0" fontId="11" fillId="0" borderId="70" xfId="0" applyFont="1" applyBorder="1" applyAlignment="1">
      <alignment horizontal="center" vertical="top"/>
    </xf>
    <xf numFmtId="0" fontId="11" fillId="0" borderId="71" xfId="0" applyFont="1" applyBorder="1" applyAlignment="1">
      <alignment horizontal="center" vertical="top"/>
    </xf>
    <xf numFmtId="0" fontId="11" fillId="0" borderId="77" xfId="0" applyFont="1" applyBorder="1" applyAlignment="1">
      <alignment horizontal="center" vertical="top"/>
    </xf>
    <xf numFmtId="0" fontId="11" fillId="0" borderId="78" xfId="0" applyFont="1" applyBorder="1" applyAlignment="1">
      <alignment horizontal="center" vertical="top"/>
    </xf>
    <xf numFmtId="0" fontId="10" fillId="0" borderId="64" xfId="0" applyFont="1" applyBorder="1" applyAlignment="1">
      <alignment horizontal="centerContinuous" vertical="top"/>
    </xf>
    <xf numFmtId="0" fontId="10" fillId="0" borderId="65" xfId="0" applyFont="1" applyBorder="1" applyAlignment="1">
      <alignment horizontal="center" vertical="top"/>
    </xf>
    <xf numFmtId="166" fontId="10" fillId="0" borderId="68" xfId="2" applyNumberFormat="1" applyFont="1" applyBorder="1" applyAlignment="1">
      <alignment horizontal="center" vertical="top"/>
    </xf>
    <xf numFmtId="166" fontId="10" fillId="0" borderId="69" xfId="2" applyNumberFormat="1" applyFont="1" applyBorder="1" applyAlignment="1">
      <alignment horizontal="center" vertical="top"/>
    </xf>
    <xf numFmtId="0" fontId="39" fillId="0" borderId="5" xfId="0" applyFont="1" applyBorder="1"/>
    <xf numFmtId="0" fontId="11" fillId="4" borderId="66" xfId="0" applyFont="1" applyFill="1" applyBorder="1" applyAlignment="1">
      <alignment horizontal="center"/>
    </xf>
    <xf numFmtId="0" fontId="10" fillId="0" borderId="0" xfId="0" applyFont="1" applyBorder="1" applyAlignment="1">
      <alignment horizontal="centerContinuous" vertical="justify"/>
    </xf>
    <xf numFmtId="0" fontId="9" fillId="0" borderId="0" xfId="0" applyFont="1" applyBorder="1" applyAlignment="1">
      <alignment horizontal="centerContinuous" vertical="justify"/>
    </xf>
    <xf numFmtId="0" fontId="8" fillId="0" borderId="43" xfId="0" applyFont="1" applyBorder="1"/>
    <xf numFmtId="0" fontId="8" fillId="0" borderId="61" xfId="0" applyFont="1" applyBorder="1"/>
    <xf numFmtId="0" fontId="8" fillId="0" borderId="12" xfId="0" applyFont="1" applyBorder="1"/>
    <xf numFmtId="0" fontId="8" fillId="0" borderId="52" xfId="0" applyFont="1" applyBorder="1"/>
    <xf numFmtId="0" fontId="10" fillId="0" borderId="3" xfId="0" quotePrefix="1" applyFont="1" applyFill="1" applyBorder="1" applyAlignment="1">
      <alignment horizontal="center"/>
    </xf>
    <xf numFmtId="0" fontId="21" fillId="0" borderId="42" xfId="0" applyFont="1" applyBorder="1" applyAlignment="1">
      <alignment horizontal="left"/>
    </xf>
    <xf numFmtId="0" fontId="9" fillId="0" borderId="42" xfId="0" applyFont="1" applyBorder="1"/>
    <xf numFmtId="0" fontId="9" fillId="0" borderId="43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9" fillId="0" borderId="8" xfId="0" applyFont="1" applyBorder="1"/>
    <xf numFmtId="166" fontId="9" fillId="0" borderId="2" xfId="0" applyNumberFormat="1" applyFont="1" applyBorder="1"/>
    <xf numFmtId="0" fontId="9" fillId="0" borderId="13" xfId="0" applyFont="1" applyBorder="1" applyAlignment="1">
      <alignment horizontal="left"/>
    </xf>
    <xf numFmtId="0" fontId="24" fillId="0" borderId="52" xfId="0" applyFont="1" applyBorder="1"/>
    <xf numFmtId="0" fontId="9" fillId="0" borderId="5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6" fontId="10" fillId="0" borderId="8" xfId="2" applyNumberFormat="1" applyFont="1" applyBorder="1"/>
    <xf numFmtId="0" fontId="11" fillId="0" borderId="20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9" xfId="0" applyFont="1" applyBorder="1"/>
    <xf numFmtId="0" fontId="14" fillId="0" borderId="19" xfId="0" quotePrefix="1" applyFont="1" applyBorder="1" applyAlignment="1">
      <alignment horizontal="center"/>
    </xf>
    <xf numFmtId="0" fontId="13" fillId="0" borderId="19" xfId="0" quotePrefix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2" borderId="13" xfId="0" quotePrefix="1" applyFont="1" applyFill="1" applyBorder="1" applyAlignment="1">
      <alignment horizontal="center"/>
    </xf>
    <xf numFmtId="17" fontId="11" fillId="0" borderId="2" xfId="0" applyNumberFormat="1" applyFont="1" applyFill="1" applyBorder="1" applyAlignment="1">
      <alignment horizontal="center"/>
    </xf>
    <xf numFmtId="17" fontId="11" fillId="0" borderId="13" xfId="0" applyNumberFormat="1" applyFont="1" applyFill="1" applyBorder="1" applyAlignment="1">
      <alignment horizontal="center"/>
    </xf>
    <xf numFmtId="44" fontId="11" fillId="0" borderId="13" xfId="2" applyFont="1" applyBorder="1" applyAlignment="1">
      <alignment horizontal="center"/>
    </xf>
    <xf numFmtId="169" fontId="11" fillId="0" borderId="46" xfId="5" applyNumberFormat="1" applyFont="1" applyBorder="1"/>
    <xf numFmtId="169" fontId="11" fillId="0" borderId="13" xfId="5" applyNumberFormat="1" applyFont="1" applyBorder="1"/>
    <xf numFmtId="0" fontId="10" fillId="0" borderId="0" xfId="0" quotePrefix="1" applyFont="1" applyBorder="1" applyAlignment="1">
      <alignment horizontal="center"/>
    </xf>
    <xf numFmtId="166" fontId="11" fillId="0" borderId="0" xfId="2" applyNumberFormat="1" applyFont="1" applyBorder="1" applyAlignment="1">
      <alignment horizontal="center"/>
    </xf>
    <xf numFmtId="10" fontId="10" fillId="0" borderId="0" xfId="5" applyNumberFormat="1" applyFont="1" applyBorder="1"/>
    <xf numFmtId="166" fontId="11" fillId="0" borderId="0" xfId="0" applyNumberFormat="1" applyFont="1" applyBorder="1" applyAlignment="1">
      <alignment horizontal="center"/>
    </xf>
    <xf numFmtId="166" fontId="10" fillId="0" borderId="0" xfId="5" applyNumberFormat="1" applyFont="1" applyBorder="1"/>
    <xf numFmtId="166" fontId="10" fillId="0" borderId="0" xfId="0" applyNumberFormat="1" applyFont="1" applyBorder="1"/>
    <xf numFmtId="165" fontId="10" fillId="0" borderId="18" xfId="1" applyNumberFormat="1" applyFont="1" applyBorder="1"/>
    <xf numFmtId="166" fontId="10" fillId="0" borderId="80" xfId="2" applyNumberFormat="1" applyFont="1" applyBorder="1"/>
    <xf numFmtId="169" fontId="11" fillId="0" borderId="86" xfId="5" applyNumberFormat="1" applyFont="1" applyBorder="1"/>
    <xf numFmtId="0" fontId="9" fillId="0" borderId="0" xfId="0" applyFont="1" applyAlignment="1">
      <alignment horizontal="center" vertical="justify"/>
    </xf>
    <xf numFmtId="0" fontId="8" fillId="0" borderId="0" xfId="0" applyFont="1" applyAlignment="1">
      <alignment vertical="justify"/>
    </xf>
    <xf numFmtId="0" fontId="11" fillId="0" borderId="12" xfId="3" applyFont="1" applyBorder="1" applyAlignment="1">
      <alignment horizontal="left"/>
    </xf>
    <xf numFmtId="0" fontId="11" fillId="0" borderId="12" xfId="3" applyFont="1" applyBorder="1" applyAlignment="1">
      <alignment horizontal="center"/>
    </xf>
    <xf numFmtId="0" fontId="10" fillId="2" borderId="77" xfId="3" applyFont="1" applyFill="1" applyBorder="1" applyAlignment="1">
      <alignment horizontal="center" wrapText="1"/>
    </xf>
    <xf numFmtId="0" fontId="10" fillId="0" borderId="13" xfId="3" applyFont="1" applyBorder="1" applyAlignment="1">
      <alignment horizontal="center" vertical="top" wrapText="1"/>
    </xf>
    <xf numFmtId="0" fontId="10" fillId="2" borderId="78" xfId="3" applyFont="1" applyFill="1" applyBorder="1" applyAlignment="1">
      <alignment horizontal="center" wrapText="1"/>
    </xf>
    <xf numFmtId="0" fontId="11" fillId="0" borderId="66" xfId="3" applyFont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top" wrapText="1"/>
    </xf>
    <xf numFmtId="0" fontId="11" fillId="0" borderId="67" xfId="3" applyFont="1" applyBorder="1" applyAlignment="1">
      <alignment horizontal="center" vertical="top" wrapText="1"/>
    </xf>
    <xf numFmtId="0" fontId="11" fillId="0" borderId="66" xfId="3" applyFont="1" applyBorder="1" applyAlignment="1">
      <alignment horizontal="center" vertical="center"/>
    </xf>
    <xf numFmtId="0" fontId="19" fillId="0" borderId="2" xfId="0" applyFont="1" applyBorder="1" applyAlignment="1">
      <alignment horizontal="left" wrapText="1"/>
    </xf>
    <xf numFmtId="0" fontId="11" fillId="0" borderId="67" xfId="3" applyFont="1" applyBorder="1" applyAlignment="1">
      <alignment horizontal="center" vertical="center"/>
    </xf>
    <xf numFmtId="166" fontId="19" fillId="0" borderId="4" xfId="2" applyNumberFormat="1" applyFont="1" applyFill="1" applyBorder="1"/>
    <xf numFmtId="0" fontId="10" fillId="0" borderId="13" xfId="4" applyFont="1" applyBorder="1" applyAlignment="1">
      <alignment horizontal="center" wrapText="1"/>
    </xf>
    <xf numFmtId="0" fontId="11" fillId="0" borderId="19" xfId="4" applyFont="1" applyBorder="1" applyAlignment="1">
      <alignment horizontal="center" wrapText="1"/>
    </xf>
    <xf numFmtId="0" fontId="11" fillId="0" borderId="67" xfId="4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4" fillId="0" borderId="0" xfId="3" quotePrefix="1" applyFont="1" applyAlignment="1">
      <alignment horizontal="center"/>
    </xf>
    <xf numFmtId="0" fontId="10" fillId="0" borderId="13" xfId="3" applyFont="1" applyBorder="1" applyAlignment="1">
      <alignment horizontal="center" wrapText="1"/>
    </xf>
    <xf numFmtId="0" fontId="10" fillId="0" borderId="2" xfId="3" applyFont="1" applyBorder="1" applyAlignment="1">
      <alignment horizontal="center"/>
    </xf>
    <xf numFmtId="44" fontId="11" fillId="0" borderId="0" xfId="2" applyFont="1" applyBorder="1" applyAlignment="1">
      <alignment horizontal="center"/>
    </xf>
    <xf numFmtId="0" fontId="11" fillId="0" borderId="86" xfId="3" applyFont="1" applyBorder="1"/>
    <xf numFmtId="166" fontId="10" fillId="0" borderId="8" xfId="2" applyNumberFormat="1" applyFont="1" applyFill="1" applyBorder="1"/>
    <xf numFmtId="165" fontId="10" fillId="0" borderId="9" xfId="1" applyNumberFormat="1" applyFont="1" applyFill="1" applyBorder="1"/>
    <xf numFmtId="0" fontId="10" fillId="0" borderId="42" xfId="0" applyFont="1" applyFill="1" applyBorder="1" applyAlignment="1">
      <alignment horizontal="center" vertical="justify"/>
    </xf>
    <xf numFmtId="0" fontId="10" fillId="0" borderId="44" xfId="0" applyFont="1" applyFill="1" applyBorder="1"/>
    <xf numFmtId="0" fontId="10" fillId="0" borderId="5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166" fontId="11" fillId="0" borderId="44" xfId="2" applyNumberFormat="1" applyFont="1" applyBorder="1"/>
    <xf numFmtId="0" fontId="10" fillId="0" borderId="77" xfId="0" applyFont="1" applyFill="1" applyBorder="1" applyAlignment="1">
      <alignment horizontal="center"/>
    </xf>
    <xf numFmtId="17" fontId="10" fillId="0" borderId="13" xfId="0" applyNumberFormat="1" applyFont="1" applyBorder="1" applyAlignment="1">
      <alignment horizontal="centerContinuous" vertical="justify"/>
    </xf>
    <xf numFmtId="0" fontId="10" fillId="0" borderId="13" xfId="0" applyFont="1" applyFill="1" applyBorder="1"/>
    <xf numFmtId="38" fontId="11" fillId="0" borderId="66" xfId="0" applyNumberFormat="1" applyFont="1" applyFill="1" applyBorder="1"/>
    <xf numFmtId="166" fontId="11" fillId="0" borderId="70" xfId="2" applyNumberFormat="1" applyFont="1" applyFill="1" applyBorder="1"/>
    <xf numFmtId="165" fontId="11" fillId="0" borderId="69" xfId="19" applyNumberFormat="1" applyFont="1" applyFill="1" applyBorder="1" applyAlignment="1">
      <alignment horizontal="left"/>
    </xf>
    <xf numFmtId="166" fontId="11" fillId="0" borderId="68" xfId="2" applyNumberFormat="1" applyFont="1" applyFill="1" applyBorder="1"/>
    <xf numFmtId="37" fontId="11" fillId="0" borderId="66" xfId="0" applyNumberFormat="1" applyFont="1" applyFill="1" applyBorder="1"/>
    <xf numFmtId="166" fontId="11" fillId="0" borderId="72" xfId="2" applyNumberFormat="1" applyFont="1" applyFill="1" applyBorder="1"/>
    <xf numFmtId="165" fontId="11" fillId="0" borderId="68" xfId="1" applyNumberFormat="1" applyFont="1" applyFill="1" applyBorder="1"/>
    <xf numFmtId="166" fontId="11" fillId="0" borderId="20" xfId="2" applyNumberFormat="1" applyFont="1" applyBorder="1"/>
    <xf numFmtId="166" fontId="11" fillId="0" borderId="21" xfId="2" applyNumberFormat="1" applyFont="1" applyFill="1" applyBorder="1"/>
    <xf numFmtId="166" fontId="11" fillId="0" borderId="24" xfId="2" applyNumberFormat="1" applyFont="1" applyFill="1" applyBorder="1"/>
    <xf numFmtId="0" fontId="11" fillId="0" borderId="19" xfId="0" applyFont="1" applyBorder="1"/>
    <xf numFmtId="170" fontId="11" fillId="0" borderId="19" xfId="5" applyNumberFormat="1" applyFont="1" applyBorder="1"/>
    <xf numFmtId="170" fontId="11" fillId="0" borderId="22" xfId="5" applyNumberFormat="1" applyFont="1" applyBorder="1"/>
    <xf numFmtId="170" fontId="11" fillId="0" borderId="58" xfId="5" applyNumberFormat="1" applyFont="1" applyBorder="1"/>
    <xf numFmtId="170" fontId="11" fillId="0" borderId="76" xfId="5" applyNumberFormat="1" applyFont="1" applyBorder="1"/>
    <xf numFmtId="0" fontId="10" fillId="0" borderId="24" xfId="0" applyFont="1" applyBorder="1"/>
    <xf numFmtId="0" fontId="10" fillId="0" borderId="22" xfId="0" applyFont="1" applyBorder="1" applyAlignment="1">
      <alignment horizontal="center"/>
    </xf>
    <xf numFmtId="166" fontId="11" fillId="0" borderId="22" xfId="2" applyNumberFormat="1" applyFont="1" applyBorder="1"/>
    <xf numFmtId="38" fontId="11" fillId="0" borderId="22" xfId="0" applyNumberFormat="1" applyFont="1" applyBorder="1"/>
    <xf numFmtId="166" fontId="11" fillId="0" borderId="91" xfId="2" applyNumberFormat="1" applyFont="1" applyBorder="1"/>
    <xf numFmtId="166" fontId="11" fillId="0" borderId="60" xfId="2" applyNumberFormat="1" applyFont="1" applyBorder="1"/>
    <xf numFmtId="166" fontId="11" fillId="0" borderId="76" xfId="2" applyNumberFormat="1" applyFont="1" applyBorder="1"/>
    <xf numFmtId="37" fontId="11" fillId="0" borderId="22" xfId="0" applyNumberFormat="1" applyFont="1" applyBorder="1"/>
    <xf numFmtId="37" fontId="11" fillId="0" borderId="76" xfId="0" applyNumberFormat="1" applyFont="1" applyBorder="1"/>
    <xf numFmtId="173" fontId="11" fillId="0" borderId="76" xfId="5" applyNumberFormat="1" applyFont="1" applyFill="1" applyBorder="1"/>
    <xf numFmtId="166" fontId="11" fillId="0" borderId="60" xfId="2" applyNumberFormat="1" applyFont="1" applyFill="1" applyBorder="1"/>
    <xf numFmtId="166" fontId="10" fillId="0" borderId="57" xfId="2" applyNumberFormat="1" applyFont="1" applyBorder="1"/>
    <xf numFmtId="166" fontId="11" fillId="0" borderId="23" xfId="2" applyNumberFormat="1" applyFont="1" applyBorder="1"/>
    <xf numFmtId="170" fontId="11" fillId="0" borderId="22" xfId="5" applyNumberFormat="1" applyFont="1" applyFill="1" applyBorder="1"/>
    <xf numFmtId="170" fontId="11" fillId="0" borderId="96" xfId="5" applyNumberFormat="1" applyFont="1" applyFill="1" applyBorder="1"/>
    <xf numFmtId="166" fontId="10" fillId="0" borderId="18" xfId="2" applyNumberFormat="1" applyFont="1" applyFill="1" applyBorder="1"/>
    <xf numFmtId="174" fontId="10" fillId="0" borderId="22" xfId="0" applyNumberFormat="1" applyFont="1" applyFill="1" applyBorder="1" applyAlignment="1">
      <alignment horizontal="center"/>
    </xf>
    <xf numFmtId="165" fontId="11" fillId="0" borderId="24" xfId="1" applyNumberFormat="1" applyFont="1" applyFill="1" applyBorder="1"/>
    <xf numFmtId="165" fontId="11" fillId="0" borderId="22" xfId="1" applyNumberFormat="1" applyFont="1" applyFill="1" applyBorder="1" applyAlignment="1">
      <alignment vertical="center"/>
    </xf>
    <xf numFmtId="40" fontId="11" fillId="0" borderId="25" xfId="0" applyNumberFormat="1" applyFont="1" applyFill="1" applyBorder="1"/>
    <xf numFmtId="40" fontId="11" fillId="0" borderId="26" xfId="0" applyNumberFormat="1" applyFont="1" applyFill="1" applyBorder="1"/>
    <xf numFmtId="165" fontId="11" fillId="0" borderId="29" xfId="1" applyNumberFormat="1" applyFont="1" applyFill="1" applyBorder="1"/>
    <xf numFmtId="165" fontId="11" fillId="0" borderId="28" xfId="1" applyNumberFormat="1" applyFont="1" applyFill="1" applyBorder="1" applyAlignment="1">
      <alignment vertical="center"/>
    </xf>
    <xf numFmtId="171" fontId="10" fillId="0" borderId="39" xfId="0" applyNumberFormat="1" applyFont="1" applyFill="1" applyBorder="1" applyAlignment="1">
      <alignment horizontal="center"/>
    </xf>
    <xf numFmtId="40" fontId="11" fillId="0" borderId="28" xfId="0" applyNumberFormat="1" applyFont="1" applyBorder="1"/>
    <xf numFmtId="166" fontId="10" fillId="0" borderId="28" xfId="2" applyNumberFormat="1" applyFont="1" applyFill="1" applyBorder="1"/>
    <xf numFmtId="166" fontId="10" fillId="0" borderId="62" xfId="2" applyNumberFormat="1" applyFont="1" applyBorder="1"/>
    <xf numFmtId="165" fontId="10" fillId="0" borderId="30" xfId="1" applyNumberFormat="1" applyFont="1" applyBorder="1"/>
    <xf numFmtId="165" fontId="10" fillId="0" borderId="29" xfId="1" applyNumberFormat="1" applyFont="1" applyBorder="1"/>
    <xf numFmtId="0" fontId="10" fillId="0" borderId="64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/>
    </xf>
    <xf numFmtId="0" fontId="10" fillId="0" borderId="77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/>
    </xf>
    <xf numFmtId="0" fontId="10" fillId="0" borderId="65" xfId="0" applyFont="1" applyFill="1" applyBorder="1" applyAlignment="1">
      <alignment horizontal="center"/>
    </xf>
    <xf numFmtId="0" fontId="10" fillId="0" borderId="38" xfId="0" applyFont="1" applyBorder="1"/>
    <xf numFmtId="0" fontId="11" fillId="0" borderId="97" xfId="0" applyFont="1" applyBorder="1"/>
    <xf numFmtId="0" fontId="18" fillId="0" borderId="2" xfId="0" applyFont="1" applyBorder="1" applyAlignment="1">
      <alignment horizontal="left" wrapText="1"/>
    </xf>
    <xf numFmtId="0" fontId="11" fillId="0" borderId="28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166" fontId="11" fillId="0" borderId="19" xfId="2" applyNumberFormat="1" applyFont="1" applyFill="1" applyBorder="1" applyAlignment="1">
      <alignment horizontal="right"/>
    </xf>
    <xf numFmtId="166" fontId="11" fillId="0" borderId="2" xfId="2" applyNumberFormat="1" applyFont="1" applyFill="1" applyBorder="1" applyAlignment="1">
      <alignment horizontal="right"/>
    </xf>
    <xf numFmtId="166" fontId="11" fillId="0" borderId="22" xfId="2" applyNumberFormat="1" applyFont="1" applyFill="1" applyBorder="1" applyAlignment="1">
      <alignment horizontal="right"/>
    </xf>
    <xf numFmtId="166" fontId="11" fillId="0" borderId="0" xfId="2" applyNumberFormat="1" applyFont="1" applyFill="1" applyBorder="1" applyAlignment="1">
      <alignment horizontal="right"/>
    </xf>
    <xf numFmtId="166" fontId="11" fillId="0" borderId="28" xfId="2" applyNumberFormat="1" applyFont="1" applyFill="1" applyBorder="1" applyAlignment="1">
      <alignment horizontal="right"/>
    </xf>
    <xf numFmtId="0" fontId="11" fillId="0" borderId="66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8" xfId="0" applyFont="1" applyFill="1" applyBorder="1" applyAlignment="1">
      <alignment horizontal="center"/>
    </xf>
    <xf numFmtId="173" fontId="11" fillId="0" borderId="3" xfId="5" applyNumberFormat="1" applyFont="1" applyBorder="1"/>
    <xf numFmtId="173" fontId="11" fillId="0" borderId="7" xfId="5" applyNumberFormat="1" applyFont="1" applyBorder="1"/>
    <xf numFmtId="10" fontId="11" fillId="0" borderId="3" xfId="5" applyNumberFormat="1" applyFont="1" applyBorder="1"/>
    <xf numFmtId="17" fontId="11" fillId="0" borderId="2" xfId="0" applyNumberFormat="1" applyFont="1" applyFill="1" applyBorder="1" applyAlignment="1">
      <alignment horizontal="left"/>
    </xf>
    <xf numFmtId="44" fontId="11" fillId="0" borderId="2" xfId="2" applyFont="1" applyFill="1" applyBorder="1" applyAlignment="1">
      <alignment horizontal="center"/>
    </xf>
    <xf numFmtId="0" fontId="11" fillId="0" borderId="67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1" fillId="0" borderId="0" xfId="0" applyFont="1" applyFill="1" applyBorder="1" applyAlignment="1">
      <alignment horizontal="left" wrapText="1"/>
    </xf>
    <xf numFmtId="166" fontId="10" fillId="0" borderId="2" xfId="2" applyNumberFormat="1" applyFont="1" applyFill="1" applyBorder="1" applyAlignment="1">
      <alignment horizontal="center"/>
    </xf>
    <xf numFmtId="166" fontId="10" fillId="0" borderId="2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0" fontId="10" fillId="0" borderId="3" xfId="5" applyNumberFormat="1" applyFont="1" applyFill="1" applyBorder="1"/>
    <xf numFmtId="10" fontId="10" fillId="0" borderId="1" xfId="5" applyNumberFormat="1" applyFont="1" applyFill="1" applyBorder="1"/>
    <xf numFmtId="0" fontId="10" fillId="0" borderId="0" xfId="0" applyFont="1" applyFill="1" applyBorder="1" applyAlignment="1">
      <alignment horizontal="left"/>
    </xf>
    <xf numFmtId="166" fontId="10" fillId="0" borderId="4" xfId="0" applyNumberFormat="1" applyFont="1" applyFill="1" applyBorder="1" applyAlignment="1">
      <alignment horizontal="center"/>
    </xf>
    <xf numFmtId="166" fontId="10" fillId="0" borderId="4" xfId="5" applyNumberFormat="1" applyFont="1" applyFill="1" applyBorder="1"/>
    <xf numFmtId="0" fontId="11" fillId="0" borderId="77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/>
    <xf numFmtId="0" fontId="9" fillId="0" borderId="12" xfId="0" applyFont="1" applyFill="1" applyBorder="1" applyAlignment="1">
      <alignment horizontal="center"/>
    </xf>
    <xf numFmtId="0" fontId="11" fillId="0" borderId="78" xfId="0" applyFont="1" applyFill="1" applyBorder="1" applyAlignment="1">
      <alignment horizontal="center"/>
    </xf>
    <xf numFmtId="0" fontId="10" fillId="0" borderId="0" xfId="20" applyFont="1" applyBorder="1" applyAlignment="1">
      <alignment horizontal="left" vertical="top" wrapText="1"/>
    </xf>
    <xf numFmtId="165" fontId="11" fillId="0" borderId="0" xfId="21" applyNumberFormat="1" applyFont="1" applyBorder="1" applyAlignment="1">
      <alignment vertical="top"/>
    </xf>
    <xf numFmtId="165" fontId="11" fillId="0" borderId="0" xfId="21" applyNumberFormat="1" applyFont="1" applyBorder="1" applyAlignment="1">
      <alignment horizontal="center" vertical="top"/>
    </xf>
    <xf numFmtId="165" fontId="11" fillId="0" borderId="7" xfId="21" applyNumberFormat="1" applyFont="1" applyBorder="1" applyAlignment="1">
      <alignment vertical="top"/>
    </xf>
    <xf numFmtId="0" fontId="12" fillId="0" borderId="19" xfId="0" applyFont="1" applyFill="1" applyBorder="1" applyAlignment="1">
      <alignment horizontal="left"/>
    </xf>
    <xf numFmtId="165" fontId="11" fillId="0" borderId="8" xfId="1" applyNumberFormat="1" applyFont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12" xfId="0" applyFont="1" applyFill="1" applyBorder="1"/>
    <xf numFmtId="0" fontId="40" fillId="0" borderId="0" xfId="0" applyFont="1" applyAlignment="1">
      <alignment wrapText="1"/>
    </xf>
    <xf numFmtId="0" fontId="41" fillId="0" borderId="0" xfId="0" applyFont="1"/>
    <xf numFmtId="0" fontId="40" fillId="0" borderId="0" xfId="0" applyFont="1"/>
    <xf numFmtId="0" fontId="10" fillId="0" borderId="2" xfId="0" applyFont="1" applyBorder="1" applyAlignment="1">
      <alignment horizontal="right"/>
    </xf>
    <xf numFmtId="37" fontId="11" fillId="0" borderId="2" xfId="0" applyNumberFormat="1" applyFont="1" applyBorder="1" applyAlignment="1">
      <alignment horizontal="right"/>
    </xf>
    <xf numFmtId="41" fontId="10" fillId="0" borderId="8" xfId="0" applyNumberFormat="1" applyFont="1" applyFill="1" applyBorder="1"/>
    <xf numFmtId="41" fontId="11" fillId="0" borderId="18" xfId="0" applyNumberFormat="1" applyFont="1" applyFill="1" applyBorder="1"/>
    <xf numFmtId="0" fontId="18" fillId="0" borderId="0" xfId="14" applyFont="1"/>
    <xf numFmtId="0" fontId="18" fillId="0" borderId="0" xfId="14" applyFont="1" applyBorder="1"/>
    <xf numFmtId="0" fontId="10" fillId="0" borderId="12" xfId="14" applyFont="1" applyBorder="1" applyAlignment="1">
      <alignment horizontal="center"/>
    </xf>
    <xf numFmtId="0" fontId="19" fillId="0" borderId="89" xfId="14" applyFont="1" applyBorder="1" applyAlignment="1">
      <alignment horizontal="center"/>
    </xf>
    <xf numFmtId="0" fontId="19" fillId="0" borderId="47" xfId="14" applyFont="1" applyBorder="1" applyAlignment="1">
      <alignment horizontal="center"/>
    </xf>
    <xf numFmtId="0" fontId="19" fillId="0" borderId="90" xfId="14" applyFont="1" applyBorder="1" applyAlignment="1">
      <alignment horizontal="center"/>
    </xf>
    <xf numFmtId="0" fontId="19" fillId="0" borderId="79" xfId="14" applyFont="1" applyBorder="1" applyAlignment="1">
      <alignment horizontal="center"/>
    </xf>
    <xf numFmtId="0" fontId="19" fillId="0" borderId="0" xfId="14" applyFont="1"/>
    <xf numFmtId="0" fontId="19" fillId="0" borderId="0" xfId="14" applyFont="1" applyBorder="1" applyAlignment="1">
      <alignment horizontal="center" vertical="top" wrapText="1"/>
    </xf>
    <xf numFmtId="165" fontId="9" fillId="0" borderId="0" xfId="15" applyNumberFormat="1" applyFont="1" applyBorder="1" applyAlignment="1">
      <alignment vertical="top"/>
    </xf>
    <xf numFmtId="165" fontId="19" fillId="0" borderId="0" xfId="15" applyNumberFormat="1" applyFont="1" applyBorder="1" applyAlignment="1">
      <alignment vertical="top"/>
    </xf>
    <xf numFmtId="179" fontId="18" fillId="0" borderId="7" xfId="14" applyNumberFormat="1" applyFont="1" applyBorder="1"/>
    <xf numFmtId="179" fontId="18" fillId="0" borderId="0" xfId="14" applyNumberFormat="1" applyFont="1" applyBorder="1"/>
    <xf numFmtId="165" fontId="19" fillId="0" borderId="17" xfId="1" applyNumberFormat="1" applyFont="1" applyFill="1" applyBorder="1"/>
    <xf numFmtId="0" fontId="19" fillId="0" borderId="0" xfId="14" applyFont="1" applyAlignment="1">
      <alignment horizontal="center"/>
    </xf>
    <xf numFmtId="174" fontId="10" fillId="0" borderId="28" xfId="0" applyNumberFormat="1" applyFont="1" applyBorder="1" applyAlignment="1">
      <alignment horizontal="right"/>
    </xf>
    <xf numFmtId="0" fontId="10" fillId="0" borderId="0" xfId="0" applyFont="1" applyFill="1"/>
    <xf numFmtId="0" fontId="7" fillId="0" borderId="0" xfId="0" applyFont="1" applyFill="1" applyAlignment="1">
      <alignment vertical="top"/>
    </xf>
    <xf numFmtId="0" fontId="10" fillId="0" borderId="2" xfId="3" applyFont="1" applyBorder="1" applyAlignment="1">
      <alignment horizontal="right"/>
    </xf>
    <xf numFmtId="0" fontId="10" fillId="0" borderId="0" xfId="3" applyFont="1"/>
    <xf numFmtId="169" fontId="10" fillId="0" borderId="32" xfId="5" applyNumberFormat="1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174" fontId="10" fillId="0" borderId="2" xfId="0" applyNumberFormat="1" applyFont="1" applyFill="1" applyBorder="1" applyAlignment="1">
      <alignment horizontal="left"/>
    </xf>
    <xf numFmtId="0" fontId="10" fillId="0" borderId="42" xfId="3" applyFont="1" applyBorder="1" applyAlignment="1">
      <alignment horizontal="right"/>
    </xf>
    <xf numFmtId="0" fontId="10" fillId="0" borderId="8" xfId="3" applyFont="1" applyBorder="1" applyAlignment="1">
      <alignment horizontal="right"/>
    </xf>
    <xf numFmtId="166" fontId="10" fillId="0" borderId="2" xfId="2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/>
    <xf numFmtId="0" fontId="8" fillId="0" borderId="13" xfId="0" applyFont="1" applyFill="1" applyBorder="1"/>
    <xf numFmtId="0" fontId="8" fillId="0" borderId="2" xfId="0" applyFont="1" applyBorder="1"/>
    <xf numFmtId="0" fontId="8" fillId="0" borderId="13" xfId="0" applyFont="1" applyBorder="1"/>
    <xf numFmtId="166" fontId="10" fillId="0" borderId="61" xfId="2" applyNumberFormat="1" applyFont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166" fontId="25" fillId="0" borderId="0" xfId="0" applyNumberFormat="1" applyFont="1" applyBorder="1" applyAlignment="1">
      <alignment horizontal="right"/>
    </xf>
    <xf numFmtId="0" fontId="8" fillId="0" borderId="0" xfId="0" applyFont="1" applyBorder="1"/>
    <xf numFmtId="0" fontId="7" fillId="0" borderId="0" xfId="0" applyFont="1" applyAlignment="1">
      <alignment vertical="top"/>
    </xf>
    <xf numFmtId="0" fontId="10" fillId="0" borderId="28" xfId="0" applyFont="1" applyBorder="1" applyAlignment="1">
      <alignment horizontal="right"/>
    </xf>
    <xf numFmtId="177" fontId="11" fillId="0" borderId="76" xfId="2" applyNumberFormat="1" applyFont="1" applyFill="1" applyBorder="1"/>
    <xf numFmtId="170" fontId="11" fillId="0" borderId="19" xfId="5" applyNumberFormat="1" applyFont="1" applyFill="1" applyBorder="1"/>
    <xf numFmtId="170" fontId="11" fillId="0" borderId="58" xfId="5" applyNumberFormat="1" applyFont="1" applyFill="1" applyBorder="1"/>
    <xf numFmtId="175" fontId="11" fillId="0" borderId="35" xfId="1" applyNumberFormat="1" applyFont="1" applyBorder="1"/>
    <xf numFmtId="10" fontId="11" fillId="0" borderId="8" xfId="5" applyNumberFormat="1" applyFont="1" applyFill="1" applyBorder="1"/>
    <xf numFmtId="0" fontId="11" fillId="0" borderId="34" xfId="0" applyFont="1" applyBorder="1"/>
    <xf numFmtId="0" fontId="7" fillId="0" borderId="9" xfId="0" applyFont="1" applyBorder="1"/>
    <xf numFmtId="10" fontId="11" fillId="0" borderId="35" xfId="5" applyNumberFormat="1" applyFont="1" applyBorder="1"/>
    <xf numFmtId="10" fontId="11" fillId="0" borderId="68" xfId="5" applyNumberFormat="1" applyFont="1" applyFill="1" applyBorder="1"/>
    <xf numFmtId="10" fontId="11" fillId="0" borderId="6" xfId="5" applyNumberFormat="1" applyFont="1" applyBorder="1"/>
    <xf numFmtId="10" fontId="11" fillId="0" borderId="69" xfId="5" applyNumberFormat="1" applyFont="1" applyBorder="1"/>
    <xf numFmtId="10" fontId="11" fillId="0" borderId="68" xfId="5" applyNumberFormat="1" applyFont="1" applyBorder="1"/>
    <xf numFmtId="0" fontId="7" fillId="0" borderId="28" xfId="0" applyFont="1" applyBorder="1"/>
    <xf numFmtId="0" fontId="7" fillId="0" borderId="45" xfId="0" applyFont="1" applyBorder="1"/>
    <xf numFmtId="0" fontId="7" fillId="0" borderId="29" xfId="0" applyFont="1" applyBorder="1"/>
    <xf numFmtId="0" fontId="11" fillId="0" borderId="0" xfId="0" applyFont="1" applyFill="1" applyBorder="1" applyAlignment="1">
      <alignment horizontal="right"/>
    </xf>
    <xf numFmtId="17" fontId="10" fillId="0" borderId="2" xfId="0" applyNumberFormat="1" applyFont="1" applyFill="1" applyBorder="1" applyAlignment="1">
      <alignment horizontal="right"/>
    </xf>
    <xf numFmtId="17" fontId="10" fillId="0" borderId="2" xfId="0" applyNumberFormat="1" applyFont="1" applyBorder="1" applyAlignment="1">
      <alignment horizontal="right"/>
    </xf>
    <xf numFmtId="17" fontId="10" fillId="0" borderId="9" xfId="0" applyNumberFormat="1" applyFont="1" applyBorder="1" applyAlignment="1">
      <alignment horizontal="right"/>
    </xf>
    <xf numFmtId="0" fontId="10" fillId="0" borderId="21" xfId="0" applyFont="1" applyBorder="1"/>
    <xf numFmtId="3" fontId="10" fillId="0" borderId="19" xfId="0" applyNumberFormat="1" applyFont="1" applyFill="1" applyBorder="1" applyAlignment="1">
      <alignment horizontal="left"/>
    </xf>
    <xf numFmtId="3" fontId="10" fillId="0" borderId="93" xfId="0" applyNumberFormat="1" applyFont="1" applyFill="1" applyBorder="1" applyAlignment="1">
      <alignment horizontal="left"/>
    </xf>
    <xf numFmtId="0" fontId="41" fillId="0" borderId="0" xfId="0" applyFont="1" applyFill="1"/>
    <xf numFmtId="0" fontId="10" fillId="0" borderId="8" xfId="0" applyFont="1" applyBorder="1"/>
    <xf numFmtId="166" fontId="10" fillId="0" borderId="8" xfId="0" applyNumberFormat="1" applyFont="1" applyBorder="1"/>
    <xf numFmtId="166" fontId="11" fillId="0" borderId="8" xfId="0" applyNumberFormat="1" applyFont="1" applyFill="1" applyBorder="1"/>
    <xf numFmtId="0" fontId="10" fillId="0" borderId="52" xfId="0" applyFont="1" applyBorder="1"/>
    <xf numFmtId="0" fontId="10" fillId="0" borderId="8" xfId="0" applyFont="1" applyBorder="1" applyAlignment="1">
      <alignment horizontal="left"/>
    </xf>
    <xf numFmtId="165" fontId="10" fillId="0" borderId="13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Continuous" vertical="justify"/>
    </xf>
    <xf numFmtId="17" fontId="10" fillId="0" borderId="44" xfId="0" applyNumberFormat="1" applyFont="1" applyBorder="1" applyAlignment="1">
      <alignment horizontal="centerContinuous" vertical="justify"/>
    </xf>
    <xf numFmtId="0" fontId="7" fillId="0" borderId="0" xfId="0" applyFont="1" applyAlignment="1">
      <alignment horizontal="centerContinuous" vertical="justify"/>
    </xf>
    <xf numFmtId="0" fontId="42" fillId="0" borderId="0" xfId="20" applyFont="1"/>
    <xf numFmtId="0" fontId="10" fillId="0" borderId="0" xfId="20" applyFont="1" applyBorder="1" applyAlignment="1">
      <alignment horizontal="center"/>
    </xf>
    <xf numFmtId="0" fontId="10" fillId="0" borderId="12" xfId="20" applyFont="1" applyBorder="1" applyAlignment="1">
      <alignment horizontal="center"/>
    </xf>
    <xf numFmtId="0" fontId="11" fillId="0" borderId="0" xfId="20" applyFont="1" applyAlignment="1">
      <alignment horizontal="center"/>
    </xf>
    <xf numFmtId="0" fontId="43" fillId="0" borderId="0" xfId="20" applyFont="1"/>
    <xf numFmtId="0" fontId="11" fillId="0" borderId="0" xfId="20" applyFont="1"/>
    <xf numFmtId="179" fontId="11" fillId="0" borderId="7" xfId="20" applyNumberFormat="1" applyFont="1" applyBorder="1"/>
    <xf numFmtId="179" fontId="11" fillId="0" borderId="0" xfId="20" applyNumberFormat="1" applyFont="1" applyBorder="1" applyAlignment="1">
      <alignment horizontal="center"/>
    </xf>
    <xf numFmtId="179" fontId="11" fillId="0" borderId="0" xfId="20" applyNumberFormat="1" applyFont="1" applyBorder="1"/>
    <xf numFmtId="0" fontId="42" fillId="0" borderId="0" xfId="20" applyFont="1" applyAlignment="1">
      <alignment horizontal="left"/>
    </xf>
    <xf numFmtId="0" fontId="42" fillId="0" borderId="0" xfId="20" applyFont="1" applyBorder="1"/>
    <xf numFmtId="0" fontId="11" fillId="0" borderId="7" xfId="20" applyFont="1" applyBorder="1" applyAlignment="1">
      <alignment horizontal="center"/>
    </xf>
    <xf numFmtId="165" fontId="10" fillId="0" borderId="7" xfId="1" applyNumberFormat="1" applyFont="1" applyBorder="1"/>
    <xf numFmtId="0" fontId="11" fillId="0" borderId="0" xfId="20" applyFont="1" applyAlignment="1">
      <alignment horizontal="left"/>
    </xf>
    <xf numFmtId="165" fontId="11" fillId="0" borderId="7" xfId="1" applyNumberFormat="1" applyFont="1" applyBorder="1" applyAlignment="1">
      <alignment horizontal="center"/>
    </xf>
    <xf numFmtId="0" fontId="11" fillId="0" borderId="7" xfId="20" applyFont="1" applyBorder="1"/>
    <xf numFmtId="0" fontId="11" fillId="0" borderId="22" xfId="0" applyFont="1" applyFill="1" applyBorder="1" applyAlignment="1">
      <alignment horizontal="center" vertical="top"/>
    </xf>
    <xf numFmtId="166" fontId="10" fillId="0" borderId="28" xfId="2" applyNumberFormat="1" applyFont="1" applyFill="1" applyBorder="1" applyAlignment="1">
      <alignment vertical="top"/>
    </xf>
    <xf numFmtId="0" fontId="19" fillId="0" borderId="79" xfId="14" applyFont="1" applyBorder="1" applyAlignment="1">
      <alignment horizontal="center" vertical="center" wrapText="1"/>
    </xf>
    <xf numFmtId="165" fontId="9" fillId="0" borderId="77" xfId="15" applyNumberFormat="1" applyFont="1" applyBorder="1" applyAlignment="1">
      <alignment vertical="center"/>
    </xf>
    <xf numFmtId="165" fontId="19" fillId="0" borderId="29" xfId="15" applyNumberFormat="1" applyFont="1" applyBorder="1" applyAlignment="1">
      <alignment vertical="center"/>
    </xf>
    <xf numFmtId="166" fontId="11" fillId="0" borderId="80" xfId="0" applyNumberFormat="1" applyFont="1" applyFill="1" applyBorder="1"/>
    <xf numFmtId="166" fontId="11" fillId="0" borderId="3" xfId="0" applyNumberFormat="1" applyFont="1" applyFill="1" applyBorder="1"/>
    <xf numFmtId="166" fontId="11" fillId="0" borderId="3" xfId="0" applyNumberFormat="1" applyFont="1" applyBorder="1"/>
    <xf numFmtId="166" fontId="11" fillId="0" borderId="0" xfId="0" applyNumberFormat="1" applyFont="1" applyBorder="1" applyAlignment="1">
      <alignment horizontal="right"/>
    </xf>
    <xf numFmtId="165" fontId="11" fillId="0" borderId="22" xfId="1" applyNumberFormat="1" applyFont="1" applyFill="1" applyBorder="1" applyAlignment="1">
      <alignment horizontal="right"/>
    </xf>
    <xf numFmtId="173" fontId="11" fillId="0" borderId="0" xfId="5" applyNumberFormat="1" applyFont="1"/>
    <xf numFmtId="173" fontId="11" fillId="0" borderId="0" xfId="0" applyNumberFormat="1" applyFont="1"/>
    <xf numFmtId="37" fontId="11" fillId="0" borderId="19" xfId="0" applyNumberFormat="1" applyFont="1" applyFill="1" applyBorder="1" applyAlignment="1">
      <alignment horizontal="right"/>
    </xf>
    <xf numFmtId="37" fontId="11" fillId="0" borderId="0" xfId="0" applyNumberFormat="1" applyFont="1" applyFill="1" applyBorder="1" applyAlignment="1">
      <alignment horizontal="right"/>
    </xf>
    <xf numFmtId="3" fontId="11" fillId="0" borderId="19" xfId="0" applyNumberFormat="1" applyFont="1" applyBorder="1"/>
    <xf numFmtId="3" fontId="11" fillId="0" borderId="0" xfId="0" applyNumberFormat="1" applyFont="1"/>
    <xf numFmtId="3" fontId="11" fillId="0" borderId="7" xfId="0" applyNumberFormat="1" applyFont="1" applyFill="1" applyBorder="1" applyAlignment="1">
      <alignment horizontal="right"/>
    </xf>
    <xf numFmtId="0" fontId="10" fillId="0" borderId="25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wrapText="1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23" xfId="0" applyFont="1" applyBorder="1"/>
    <xf numFmtId="174" fontId="10" fillId="0" borderId="27" xfId="0" applyNumberFormat="1" applyFont="1" applyBorder="1" applyAlignment="1">
      <alignment horizontal="center"/>
    </xf>
    <xf numFmtId="0" fontId="2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left"/>
    </xf>
    <xf numFmtId="0" fontId="10" fillId="0" borderId="0" xfId="0" applyFont="1" applyFill="1" applyBorder="1"/>
    <xf numFmtId="0" fontId="17" fillId="0" borderId="12" xfId="0" applyFont="1" applyBorder="1"/>
    <xf numFmtId="0" fontId="17" fillId="0" borderId="0" xfId="0" applyFont="1" applyBorder="1"/>
    <xf numFmtId="0" fontId="11" fillId="0" borderId="76" xfId="0" applyFont="1" applyBorder="1" applyAlignment="1">
      <alignment horizontal="center"/>
    </xf>
    <xf numFmtId="166" fontId="11" fillId="0" borderId="19" xfId="2" applyNumberFormat="1" applyFont="1" applyBorder="1"/>
    <xf numFmtId="170" fontId="10" fillId="0" borderId="55" xfId="0" applyNumberFormat="1" applyFont="1" applyBorder="1"/>
    <xf numFmtId="0" fontId="11" fillId="0" borderId="20" xfId="0" applyFont="1" applyBorder="1"/>
    <xf numFmtId="0" fontId="11" fillId="0" borderId="91" xfId="0" applyFont="1" applyBorder="1"/>
    <xf numFmtId="10" fontId="11" fillId="0" borderId="22" xfId="5" applyNumberFormat="1" applyFont="1" applyBorder="1"/>
    <xf numFmtId="10" fontId="11" fillId="0" borderId="76" xfId="5" applyNumberFormat="1" applyFont="1" applyBorder="1"/>
    <xf numFmtId="10" fontId="11" fillId="0" borderId="96" xfId="0" applyNumberFormat="1" applyFont="1" applyBorder="1"/>
    <xf numFmtId="166" fontId="11" fillId="0" borderId="12" xfId="2" applyNumberFormat="1" applyFont="1" applyBorder="1"/>
    <xf numFmtId="38" fontId="11" fillId="0" borderId="0" xfId="0" applyNumberFormat="1" applyFont="1" applyBorder="1"/>
    <xf numFmtId="168" fontId="11" fillId="0" borderId="7" xfId="2" applyNumberFormat="1" applyFont="1" applyFill="1" applyBorder="1"/>
    <xf numFmtId="166" fontId="11" fillId="0" borderId="15" xfId="2" applyNumberFormat="1" applyFont="1" applyBorder="1"/>
    <xf numFmtId="166" fontId="11" fillId="0" borderId="98" xfId="2" applyNumberFormat="1" applyFont="1" applyBorder="1"/>
    <xf numFmtId="166" fontId="11" fillId="0" borderId="7" xfId="2" applyNumberFormat="1" applyFont="1" applyBorder="1"/>
    <xf numFmtId="37" fontId="11" fillId="0" borderId="0" xfId="0" applyNumberFormat="1" applyFont="1" applyBorder="1"/>
    <xf numFmtId="37" fontId="11" fillId="0" borderId="7" xfId="0" applyNumberFormat="1" applyFont="1" applyFill="1" applyBorder="1"/>
    <xf numFmtId="166" fontId="11" fillId="0" borderId="43" xfId="2" applyNumberFormat="1" applyFont="1" applyBorder="1"/>
    <xf numFmtId="181" fontId="11" fillId="0" borderId="0" xfId="0" applyNumberFormat="1" applyFont="1" applyBorder="1"/>
    <xf numFmtId="181" fontId="11" fillId="0" borderId="7" xfId="5" applyNumberFormat="1" applyFont="1" applyBorder="1"/>
    <xf numFmtId="181" fontId="11" fillId="0" borderId="83" xfId="0" applyNumberFormat="1" applyFont="1" applyBorder="1"/>
    <xf numFmtId="0" fontId="7" fillId="0" borderId="22" xfId="0" applyFont="1" applyBorder="1"/>
    <xf numFmtId="0" fontId="7" fillId="0" borderId="23" xfId="0" applyFont="1" applyBorder="1"/>
    <xf numFmtId="166" fontId="18" fillId="0" borderId="28" xfId="2" applyNumberFormat="1" applyFont="1" applyBorder="1" applyAlignment="1">
      <alignment horizontal="center"/>
    </xf>
    <xf numFmtId="38" fontId="18" fillId="0" borderId="28" xfId="0" applyNumberFormat="1" applyFont="1" applyBorder="1" applyAlignment="1">
      <alignment horizontal="center"/>
    </xf>
    <xf numFmtId="168" fontId="18" fillId="0" borderId="28" xfId="2" applyNumberFormat="1" applyFont="1" applyBorder="1" applyAlignment="1">
      <alignment horizontal="center" wrapText="1"/>
    </xf>
    <xf numFmtId="37" fontId="18" fillId="0" borderId="28" xfId="0" applyNumberFormat="1" applyFont="1" applyBorder="1" applyAlignment="1">
      <alignment horizontal="center"/>
    </xf>
    <xf numFmtId="37" fontId="18" fillId="0" borderId="28" xfId="0" applyNumberFormat="1" applyFont="1" applyFill="1" applyBorder="1" applyAlignment="1">
      <alignment horizontal="center"/>
    </xf>
    <xf numFmtId="165" fontId="11" fillId="0" borderId="6" xfId="19" applyNumberFormat="1" applyFont="1" applyFill="1" applyBorder="1" applyAlignment="1">
      <alignment horizontal="left"/>
    </xf>
    <xf numFmtId="164" fontId="11" fillId="0" borderId="13" xfId="0" applyNumberFormat="1" applyFont="1" applyBorder="1"/>
    <xf numFmtId="174" fontId="10" fillId="0" borderId="99" xfId="0" applyNumberFormat="1" applyFont="1" applyFill="1" applyBorder="1" applyAlignment="1">
      <alignment horizontal="center"/>
    </xf>
    <xf numFmtId="174" fontId="10" fillId="0" borderId="67" xfId="0" applyNumberFormat="1" applyFont="1" applyFill="1" applyBorder="1" applyAlignment="1">
      <alignment horizontal="center"/>
    </xf>
    <xf numFmtId="165" fontId="11" fillId="0" borderId="67" xfId="1" applyNumberFormat="1" applyFont="1" applyFill="1" applyBorder="1"/>
    <xf numFmtId="165" fontId="11" fillId="0" borderId="78" xfId="1" applyNumberFormat="1" applyFont="1" applyFill="1" applyBorder="1"/>
    <xf numFmtId="165" fontId="11" fillId="0" borderId="67" xfId="1" applyNumberFormat="1" applyFont="1" applyFill="1" applyBorder="1" applyAlignment="1">
      <alignment vertical="center"/>
    </xf>
    <xf numFmtId="174" fontId="10" fillId="0" borderId="65" xfId="0" applyNumberFormat="1" applyFont="1" applyFill="1" applyBorder="1" applyAlignment="1">
      <alignment horizontal="center"/>
    </xf>
    <xf numFmtId="40" fontId="11" fillId="0" borderId="78" xfId="0" applyNumberFormat="1" applyFont="1" applyFill="1" applyBorder="1"/>
    <xf numFmtId="40" fontId="11" fillId="0" borderId="65" xfId="0" applyNumberFormat="1" applyFont="1" applyFill="1" applyBorder="1"/>
    <xf numFmtId="166" fontId="10" fillId="0" borderId="67" xfId="2" applyNumberFormat="1" applyFont="1" applyFill="1" applyBorder="1"/>
    <xf numFmtId="166" fontId="10" fillId="0" borderId="69" xfId="2" applyNumberFormat="1" applyFont="1" applyBorder="1"/>
    <xf numFmtId="165" fontId="10" fillId="0" borderId="75" xfId="1" applyNumberFormat="1" applyFont="1" applyBorder="1"/>
    <xf numFmtId="165" fontId="10" fillId="0" borderId="78" xfId="1" applyNumberFormat="1" applyFont="1" applyFill="1" applyBorder="1"/>
    <xf numFmtId="166" fontId="18" fillId="0" borderId="39" xfId="2" applyNumberFormat="1" applyFont="1" applyBorder="1" applyAlignment="1">
      <alignment horizontal="center"/>
    </xf>
    <xf numFmtId="0" fontId="8" fillId="0" borderId="0" xfId="1" applyNumberFormat="1" applyFont="1" applyFill="1" applyBorder="1" applyAlignment="1">
      <alignment horizontal="left"/>
    </xf>
    <xf numFmtId="43" fontId="11" fillId="0" borderId="0" xfId="1" applyFont="1" applyFill="1" applyBorder="1"/>
    <xf numFmtId="165" fontId="11" fillId="0" borderId="69" xfId="1" applyNumberFormat="1" applyFont="1" applyFill="1" applyBorder="1"/>
    <xf numFmtId="170" fontId="10" fillId="0" borderId="54" xfId="0" applyNumberFormat="1" applyFont="1" applyBorder="1"/>
    <xf numFmtId="166" fontId="11" fillId="0" borderId="8" xfId="1" applyNumberFormat="1" applyFont="1" applyBorder="1"/>
    <xf numFmtId="166" fontId="11" fillId="0" borderId="2" xfId="1" applyNumberFormat="1" applyFont="1" applyBorder="1"/>
    <xf numFmtId="166" fontId="11" fillId="0" borderId="6" xfId="1" applyNumberFormat="1" applyFont="1" applyFill="1" applyBorder="1"/>
    <xf numFmtId="166" fontId="11" fillId="0" borderId="3" xfId="1" applyNumberFormat="1" applyFont="1" applyFill="1" applyBorder="1"/>
    <xf numFmtId="166" fontId="11" fillId="0" borderId="6" xfId="1" applyNumberFormat="1" applyFont="1" applyBorder="1"/>
    <xf numFmtId="166" fontId="11" fillId="0" borderId="3" xfId="1" applyNumberFormat="1" applyFont="1" applyBorder="1"/>
    <xf numFmtId="0" fontId="11" fillId="0" borderId="39" xfId="0" applyFont="1" applyBorder="1" applyAlignment="1">
      <alignment horizontal="left"/>
    </xf>
    <xf numFmtId="0" fontId="11" fillId="0" borderId="19" xfId="0" applyFont="1" applyBorder="1" applyAlignment="1">
      <alignment horizontal="center" wrapText="1"/>
    </xf>
    <xf numFmtId="0" fontId="11" fillId="0" borderId="28" xfId="0" quotePrefix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1" fillId="0" borderId="0" xfId="0" applyFont="1" applyAlignment="1">
      <alignment vertical="top" wrapText="1"/>
    </xf>
    <xf numFmtId="165" fontId="11" fillId="0" borderId="2" xfId="1" applyNumberFormat="1" applyFont="1" applyFill="1" applyBorder="1" applyAlignment="1">
      <alignment horizontal="center" vertical="center"/>
    </xf>
    <xf numFmtId="165" fontId="10" fillId="0" borderId="4" xfId="1" applyNumberFormat="1" applyFont="1" applyFill="1" applyBorder="1"/>
    <xf numFmtId="166" fontId="11" fillId="0" borderId="0" xfId="0" applyNumberFormat="1" applyFont="1" applyFill="1"/>
    <xf numFmtId="174" fontId="11" fillId="0" borderId="0" xfId="0" applyNumberFormat="1" applyFont="1" applyAlignment="1">
      <alignment horizontal="left"/>
    </xf>
    <xf numFmtId="174" fontId="45" fillId="0" borderId="0" xfId="0" applyNumberFormat="1" applyFont="1" applyAlignment="1">
      <alignment horizontal="right"/>
    </xf>
    <xf numFmtId="0" fontId="17" fillId="0" borderId="19" xfId="0" applyFont="1" applyBorder="1"/>
    <xf numFmtId="0" fontId="11" fillId="0" borderId="28" xfId="0" applyFont="1" applyBorder="1" applyAlignment="1">
      <alignment horizontal="center" vertical="top"/>
    </xf>
    <xf numFmtId="0" fontId="11" fillId="0" borderId="19" xfId="0" applyFont="1" applyBorder="1" applyAlignment="1">
      <alignment vertical="top" wrapText="1"/>
    </xf>
    <xf numFmtId="0" fontId="14" fillId="0" borderId="0" xfId="0" applyFont="1" applyFill="1" applyAlignment="1">
      <alignment horizontal="center" vertical="top"/>
    </xf>
    <xf numFmtId="0" fontId="44" fillId="0" borderId="0" xfId="0" quotePrefix="1" applyFont="1" applyFill="1"/>
    <xf numFmtId="0" fontId="11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8" fillId="0" borderId="0" xfId="1" applyNumberFormat="1" applyFont="1" applyFill="1" applyBorder="1" applyAlignment="1">
      <alignment horizontal="right"/>
    </xf>
    <xf numFmtId="44" fontId="11" fillId="0" borderId="0" xfId="2" applyFont="1" applyFill="1"/>
    <xf numFmtId="43" fontId="11" fillId="0" borderId="0" xfId="1" applyFont="1" applyFill="1"/>
    <xf numFmtId="44" fontId="11" fillId="0" borderId="54" xfId="2" applyFont="1" applyFill="1" applyBorder="1"/>
    <xf numFmtId="44" fontId="11" fillId="0" borderId="0" xfId="2" applyNumberFormat="1" applyFont="1" applyBorder="1"/>
    <xf numFmtId="44" fontId="11" fillId="0" borderId="0" xfId="1" applyNumberFormat="1" applyFont="1" applyFill="1"/>
    <xf numFmtId="44" fontId="11" fillId="0" borderId="54" xfId="2" applyNumberFormat="1" applyFont="1" applyFill="1" applyBorder="1"/>
    <xf numFmtId="0" fontId="18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left"/>
    </xf>
    <xf numFmtId="0" fontId="10" fillId="0" borderId="0" xfId="14" applyFont="1" applyAlignment="1">
      <alignment horizontal="center"/>
    </xf>
    <xf numFmtId="0" fontId="10" fillId="0" borderId="0" xfId="14" applyFont="1" applyBorder="1" applyAlignment="1">
      <alignment horizontal="center"/>
    </xf>
    <xf numFmtId="0" fontId="10" fillId="0" borderId="0" xfId="20" applyFont="1" applyAlignment="1">
      <alignment horizontal="center"/>
    </xf>
    <xf numFmtId="0" fontId="10" fillId="0" borderId="0" xfId="20" applyFont="1" applyBorder="1" applyAlignment="1">
      <alignment horizontal="center"/>
    </xf>
    <xf numFmtId="0" fontId="10" fillId="0" borderId="0" xfId="0" applyFont="1" applyAlignment="1">
      <alignment horizontal="center" vertical="justify"/>
    </xf>
    <xf numFmtId="3" fontId="10" fillId="0" borderId="0" xfId="0" applyNumberFormat="1" applyFont="1" applyFill="1" applyAlignment="1">
      <alignment horizontal="center" vertical="justify"/>
    </xf>
    <xf numFmtId="0" fontId="38" fillId="3" borderId="21" xfId="0" applyFont="1" applyFill="1" applyBorder="1" applyAlignment="1">
      <alignment horizontal="center"/>
    </xf>
    <xf numFmtId="0" fontId="38" fillId="3" borderId="43" xfId="0" applyFont="1" applyFill="1" applyBorder="1" applyAlignment="1">
      <alignment horizontal="center"/>
    </xf>
    <xf numFmtId="0" fontId="38" fillId="3" borderId="24" xfId="0" applyFont="1" applyFill="1" applyBorder="1" applyAlignment="1">
      <alignment horizontal="center"/>
    </xf>
    <xf numFmtId="0" fontId="38" fillId="3" borderId="20" xfId="0" applyFont="1" applyFill="1" applyBorder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38" fillId="3" borderId="22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 vertical="justify"/>
    </xf>
    <xf numFmtId="0" fontId="11" fillId="0" borderId="0" xfId="0" applyFont="1" applyAlignment="1">
      <alignment horizontal="left" vertical="top" wrapText="1"/>
    </xf>
  </cellXfs>
  <cellStyles count="22">
    <cellStyle name="Comma" xfId="1" builtinId="3"/>
    <cellStyle name="Comma 14" xfId="15" xr:uid="{00000000-0005-0000-0000-000001000000}"/>
    <cellStyle name="Comma 14 2" xfId="21" xr:uid="{00FB1CCE-D6C1-49F0-A30B-27ED7D229814}"/>
    <cellStyle name="Comma 2" xfId="12" xr:uid="{00000000-0005-0000-0000-000002000000}"/>
    <cellStyle name="Comma 3" xfId="19" xr:uid="{C47336E8-D94B-49C2-B7EE-22235241E155}"/>
    <cellStyle name="Currency" xfId="2" builtinId="4"/>
    <cellStyle name="Currency 2" xfId="11" xr:uid="{00000000-0005-0000-0000-000004000000}"/>
    <cellStyle name="Normal" xfId="0" builtinId="0"/>
    <cellStyle name="Normal 10" xfId="9" xr:uid="{00000000-0005-0000-0000-000006000000}"/>
    <cellStyle name="Normal 10 2 2 2" xfId="18" xr:uid="{00000000-0005-0000-0000-000007000000}"/>
    <cellStyle name="Normal 12" xfId="8" xr:uid="{00000000-0005-0000-0000-000008000000}"/>
    <cellStyle name="Normal 19" xfId="7" xr:uid="{00000000-0005-0000-0000-000009000000}"/>
    <cellStyle name="Normal 2" xfId="10" xr:uid="{00000000-0005-0000-0000-00000A000000}"/>
    <cellStyle name="Normal 2 3 3" xfId="6" xr:uid="{00000000-0005-0000-0000-00000B000000}"/>
    <cellStyle name="Normal 20" xfId="14" xr:uid="{00000000-0005-0000-0000-00000C000000}"/>
    <cellStyle name="Normal 20 2" xfId="20" xr:uid="{80C12A75-8FE9-45AF-9CAB-1288F15EF8E5}"/>
    <cellStyle name="Normal 21" xfId="16" xr:uid="{00000000-0005-0000-0000-00000D000000}"/>
    <cellStyle name="Normal 22" xfId="17" xr:uid="{00000000-0005-0000-0000-00000E000000}"/>
    <cellStyle name="Normal_Draft TRBAA 2009 Forecast" xfId="3" xr:uid="{00000000-0005-0000-0000-00000F000000}"/>
    <cellStyle name="Normal_R1, 2009 ETC Cost Differential Forecast" xfId="4" xr:uid="{00000000-0005-0000-0000-000010000000}"/>
    <cellStyle name="Percent" xfId="5" builtinId="5"/>
    <cellStyle name="Percent 2" xfId="13" xr:uid="{00000000-0005-0000-0000-000012000000}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LOTSHARE/Julia/excel/TRR/rate%20design/HVTRR&amp;LVT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 2"/>
      <sheetName val="Statement_BK"/>
      <sheetName val="Statement_BJ"/>
      <sheetName val="Ancillary"/>
      <sheetName val="P1P2_Com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0"/>
  <sheetViews>
    <sheetView tabSelected="1" zoomScale="80" zoomScaleNormal="80" workbookViewId="0"/>
  </sheetViews>
  <sheetFormatPr defaultColWidth="8.54296875" defaultRowHeight="13" x14ac:dyDescent="0.3"/>
  <cols>
    <col min="1" max="1" width="5.54296875" style="1" customWidth="1"/>
    <col min="2" max="4" width="20.54296875" style="1" customWidth="1"/>
    <col min="5" max="5" width="22.1796875" style="1" bestFit="1" customWidth="1"/>
    <col min="6" max="6" width="40.54296875" style="1" customWidth="1"/>
    <col min="7" max="7" width="5.54296875" style="1" customWidth="1"/>
    <col min="8" max="8" width="8.54296875" style="1" customWidth="1"/>
    <col min="9" max="12" width="16.54296875" style="1" customWidth="1"/>
    <col min="13" max="16384" width="8.54296875" style="1"/>
  </cols>
  <sheetData>
    <row r="2" spans="1:12" s="3" customFormat="1" ht="18" customHeight="1" x14ac:dyDescent="0.3">
      <c r="A2" s="5" t="s">
        <v>25</v>
      </c>
      <c r="B2" s="5"/>
      <c r="C2" s="5"/>
      <c r="D2" s="5"/>
      <c r="E2" s="5"/>
      <c r="F2" s="5"/>
      <c r="G2" s="41"/>
      <c r="H2" s="1"/>
      <c r="I2" s="1"/>
      <c r="J2" s="1"/>
    </row>
    <row r="3" spans="1:12" s="3" customFormat="1" ht="18" customHeight="1" x14ac:dyDescent="0.3">
      <c r="A3" s="5" t="s">
        <v>108</v>
      </c>
      <c r="B3" s="5"/>
      <c r="C3" s="5"/>
      <c r="D3" s="5"/>
      <c r="E3" s="5"/>
      <c r="F3" s="5"/>
      <c r="G3" s="41"/>
      <c r="H3" s="1"/>
      <c r="I3" s="1"/>
      <c r="J3" s="1"/>
    </row>
    <row r="4" spans="1:12" s="3" customFormat="1" ht="18" customHeight="1" x14ac:dyDescent="0.3">
      <c r="A4" s="5" t="s">
        <v>489</v>
      </c>
      <c r="B4" s="5"/>
      <c r="C4" s="5"/>
      <c r="D4" s="5"/>
      <c r="E4" s="5"/>
      <c r="F4" s="5"/>
      <c r="G4" s="41"/>
      <c r="H4" s="1"/>
      <c r="I4" s="1"/>
      <c r="J4" s="1"/>
    </row>
    <row r="5" spans="1:12" ht="15.5" x14ac:dyDescent="0.3">
      <c r="A5" s="5" t="s">
        <v>26</v>
      </c>
      <c r="B5" s="5"/>
      <c r="C5" s="5"/>
      <c r="D5" s="41"/>
      <c r="E5" s="41"/>
      <c r="F5" s="41"/>
      <c r="G5" s="41"/>
    </row>
    <row r="6" spans="1:12" ht="16" thickBot="1" x14ac:dyDescent="0.35">
      <c r="A6" s="5"/>
      <c r="B6" s="5"/>
      <c r="C6" s="5"/>
      <c r="D6" s="41"/>
      <c r="E6" s="41"/>
      <c r="F6" s="41"/>
      <c r="G6" s="41"/>
    </row>
    <row r="7" spans="1:12" ht="15" x14ac:dyDescent="0.3">
      <c r="A7" s="334"/>
      <c r="B7" s="650"/>
      <c r="C7" s="189" t="s">
        <v>115</v>
      </c>
      <c r="D7" s="189" t="s">
        <v>132</v>
      </c>
      <c r="E7" s="189" t="s">
        <v>117</v>
      </c>
      <c r="F7" s="651"/>
      <c r="G7" s="652"/>
    </row>
    <row r="8" spans="1:12" ht="15" x14ac:dyDescent="0.3">
      <c r="A8" s="653"/>
      <c r="B8" s="103"/>
      <c r="C8" s="82" t="s">
        <v>171</v>
      </c>
      <c r="D8" s="82" t="s">
        <v>140</v>
      </c>
      <c r="E8" s="82" t="s">
        <v>171</v>
      </c>
      <c r="F8" s="103"/>
      <c r="G8" s="654"/>
    </row>
    <row r="9" spans="1:12" ht="15" x14ac:dyDescent="0.3">
      <c r="A9" s="655" t="s">
        <v>93</v>
      </c>
      <c r="B9" s="82"/>
      <c r="C9" s="180" t="s">
        <v>118</v>
      </c>
      <c r="D9" s="82" t="s">
        <v>340</v>
      </c>
      <c r="E9" s="180" t="s">
        <v>118</v>
      </c>
      <c r="F9" s="82"/>
      <c r="G9" s="656" t="s">
        <v>93</v>
      </c>
    </row>
    <row r="10" spans="1:12" ht="18.5" thickBot="1" x14ac:dyDescent="0.35">
      <c r="A10" s="678" t="s">
        <v>87</v>
      </c>
      <c r="B10" s="174" t="s">
        <v>37</v>
      </c>
      <c r="C10" s="680" t="s">
        <v>173</v>
      </c>
      <c r="D10" s="174" t="s">
        <v>341</v>
      </c>
      <c r="E10" s="680" t="s">
        <v>172</v>
      </c>
      <c r="F10" s="174" t="s">
        <v>91</v>
      </c>
      <c r="G10" s="679" t="s">
        <v>87</v>
      </c>
      <c r="I10" s="98"/>
      <c r="J10" s="98"/>
      <c r="K10" s="98"/>
    </row>
    <row r="11" spans="1:12" ht="15.5" x14ac:dyDescent="0.35">
      <c r="A11" s="308"/>
      <c r="B11" s="910"/>
      <c r="C11" s="215"/>
      <c r="D11" s="10"/>
      <c r="E11" s="215"/>
      <c r="F11" s="10"/>
      <c r="G11" s="309"/>
      <c r="I11" s="98"/>
      <c r="J11" s="98"/>
      <c r="K11" s="98"/>
    </row>
    <row r="12" spans="1:12" ht="15.5" x14ac:dyDescent="0.35">
      <c r="A12" s="308">
        <v>1</v>
      </c>
      <c r="B12" s="762">
        <v>43739</v>
      </c>
      <c r="C12" s="46">
        <f>'WP 1.1 Recorded Sales'!C$37</f>
        <v>1549209262</v>
      </c>
      <c r="D12" s="46">
        <f>'WP 1.1 Recorded Sales'!C$36</f>
        <v>10650</v>
      </c>
      <c r="E12" s="47">
        <f t="shared" ref="E12:E23" si="0">C12-D12</f>
        <v>1549198612</v>
      </c>
      <c r="F12" s="285" t="s">
        <v>263</v>
      </c>
      <c r="G12" s="309">
        <v>1</v>
      </c>
      <c r="I12" s="160"/>
      <c r="J12" s="160"/>
      <c r="K12" s="160"/>
      <c r="L12" s="205"/>
    </row>
    <row r="13" spans="1:12" ht="15.5" x14ac:dyDescent="0.35">
      <c r="A13" s="308">
        <f t="shared" ref="A13:A26" si="1">A12+1</f>
        <v>2</v>
      </c>
      <c r="B13" s="762">
        <v>43770</v>
      </c>
      <c r="C13" s="46">
        <f>'WP 1.1 Recorded Sales'!D$37</f>
        <v>1506659121</v>
      </c>
      <c r="D13" s="46">
        <f>'WP 1.1 Recorded Sales'!D$36</f>
        <v>7702</v>
      </c>
      <c r="E13" s="47">
        <f t="shared" si="0"/>
        <v>1506651419</v>
      </c>
      <c r="F13" s="285" t="str">
        <f>$F$12</f>
        <v>Workpaper No. 1; Page 1.1; Lines 30; 29</v>
      </c>
      <c r="G13" s="309">
        <f t="shared" ref="G13:G26" si="2">G12+1</f>
        <v>2</v>
      </c>
      <c r="I13" s="160"/>
      <c r="J13" s="160"/>
      <c r="K13" s="160"/>
      <c r="L13" s="205"/>
    </row>
    <row r="14" spans="1:12" ht="15.5" x14ac:dyDescent="0.35">
      <c r="A14" s="308">
        <f t="shared" si="1"/>
        <v>3</v>
      </c>
      <c r="B14" s="762">
        <v>43800</v>
      </c>
      <c r="C14" s="46">
        <f>'WP 1.1 Recorded Sales'!E$37</f>
        <v>1453958327</v>
      </c>
      <c r="D14" s="46">
        <f>'WP 1.1 Recorded Sales'!E$36</f>
        <v>8291</v>
      </c>
      <c r="E14" s="47">
        <f t="shared" si="0"/>
        <v>1453950036</v>
      </c>
      <c r="F14" s="285" t="str">
        <f t="shared" ref="F14:F23" si="3">$F$12</f>
        <v>Workpaper No. 1; Page 1.1; Lines 30; 29</v>
      </c>
      <c r="G14" s="309">
        <f t="shared" si="2"/>
        <v>3</v>
      </c>
      <c r="I14" s="160"/>
      <c r="J14" s="160"/>
      <c r="K14" s="160"/>
      <c r="L14" s="205"/>
    </row>
    <row r="15" spans="1:12" ht="15.5" x14ac:dyDescent="0.35">
      <c r="A15" s="308">
        <f t="shared" si="1"/>
        <v>4</v>
      </c>
      <c r="B15" s="762">
        <v>43831</v>
      </c>
      <c r="C15" s="46">
        <f>'WP 1.1 Recorded Sales'!F$37</f>
        <v>1510887277</v>
      </c>
      <c r="D15" s="46">
        <f>'WP 1.1 Recorded Sales'!F$36</f>
        <v>5992</v>
      </c>
      <c r="E15" s="47">
        <f t="shared" si="0"/>
        <v>1510881285</v>
      </c>
      <c r="F15" s="285" t="str">
        <f t="shared" si="3"/>
        <v>Workpaper No. 1; Page 1.1; Lines 30; 29</v>
      </c>
      <c r="G15" s="309">
        <f t="shared" si="2"/>
        <v>4</v>
      </c>
      <c r="I15" s="160"/>
      <c r="J15" s="160"/>
      <c r="K15" s="160"/>
      <c r="L15" s="205"/>
    </row>
    <row r="16" spans="1:12" ht="15.5" x14ac:dyDescent="0.35">
      <c r="A16" s="308">
        <f t="shared" si="1"/>
        <v>5</v>
      </c>
      <c r="B16" s="762">
        <v>43862</v>
      </c>
      <c r="C16" s="46">
        <f>'WP 1.1 Recorded Sales'!G$37</f>
        <v>1466931181</v>
      </c>
      <c r="D16" s="46">
        <f>'WP 1.1 Recorded Sales'!G$36</f>
        <v>6801</v>
      </c>
      <c r="E16" s="47">
        <f t="shared" si="0"/>
        <v>1466924380</v>
      </c>
      <c r="F16" s="285" t="str">
        <f t="shared" si="3"/>
        <v>Workpaper No. 1; Page 1.1; Lines 30; 29</v>
      </c>
      <c r="G16" s="309">
        <f t="shared" si="2"/>
        <v>5</v>
      </c>
      <c r="I16" s="160"/>
      <c r="J16" s="160"/>
      <c r="K16" s="160"/>
      <c r="L16" s="205"/>
    </row>
    <row r="17" spans="1:12" ht="15.5" x14ac:dyDescent="0.35">
      <c r="A17" s="308">
        <f t="shared" si="1"/>
        <v>6</v>
      </c>
      <c r="B17" s="762">
        <v>43891</v>
      </c>
      <c r="C17" s="46">
        <f>'WP 1.1 Recorded Sales'!H$37</f>
        <v>1250693415</v>
      </c>
      <c r="D17" s="46">
        <f>'WP 1.1 Recorded Sales'!H$36</f>
        <v>6630</v>
      </c>
      <c r="E17" s="47">
        <f t="shared" si="0"/>
        <v>1250686785</v>
      </c>
      <c r="F17" s="285" t="str">
        <f t="shared" si="3"/>
        <v>Workpaper No. 1; Page 1.1; Lines 30; 29</v>
      </c>
      <c r="G17" s="309">
        <f t="shared" si="2"/>
        <v>6</v>
      </c>
      <c r="I17" s="160"/>
      <c r="J17" s="160"/>
      <c r="K17" s="160"/>
      <c r="L17" s="205"/>
    </row>
    <row r="18" spans="1:12" ht="15.5" x14ac:dyDescent="0.35">
      <c r="A18" s="308">
        <f t="shared" si="1"/>
        <v>7</v>
      </c>
      <c r="B18" s="762">
        <v>43922</v>
      </c>
      <c r="C18" s="46">
        <f>'WP 1.1 Recorded Sales'!I$37</f>
        <v>1288109434</v>
      </c>
      <c r="D18" s="46">
        <f>'WP 1.1 Recorded Sales'!I$36</f>
        <v>5089</v>
      </c>
      <c r="E18" s="47">
        <f t="shared" si="0"/>
        <v>1288104345</v>
      </c>
      <c r="F18" s="285" t="str">
        <f t="shared" si="3"/>
        <v>Workpaper No. 1; Page 1.1; Lines 30; 29</v>
      </c>
      <c r="G18" s="309">
        <f t="shared" si="2"/>
        <v>7</v>
      </c>
      <c r="I18" s="160"/>
      <c r="J18" s="160"/>
      <c r="K18" s="160"/>
      <c r="L18" s="205"/>
    </row>
    <row r="19" spans="1:12" ht="15.5" x14ac:dyDescent="0.35">
      <c r="A19" s="308">
        <f t="shared" si="1"/>
        <v>8</v>
      </c>
      <c r="B19" s="762">
        <v>43952</v>
      </c>
      <c r="C19" s="46">
        <f>'WP 1.1 Recorded Sales'!J$37</f>
        <v>1112628454</v>
      </c>
      <c r="D19" s="46">
        <f>'WP 1.1 Recorded Sales'!J$36</f>
        <v>4642</v>
      </c>
      <c r="E19" s="47">
        <f t="shared" si="0"/>
        <v>1112623812</v>
      </c>
      <c r="F19" s="285" t="str">
        <f t="shared" si="3"/>
        <v>Workpaper No. 1; Page 1.1; Lines 30; 29</v>
      </c>
      <c r="G19" s="309">
        <f t="shared" si="2"/>
        <v>8</v>
      </c>
      <c r="I19" s="160"/>
      <c r="J19" s="160"/>
      <c r="K19" s="160"/>
      <c r="L19" s="205"/>
    </row>
    <row r="20" spans="1:12" ht="15.5" x14ac:dyDescent="0.35">
      <c r="A20" s="308">
        <f t="shared" si="1"/>
        <v>9</v>
      </c>
      <c r="B20" s="762">
        <v>43983</v>
      </c>
      <c r="C20" s="46">
        <f>'WP 1.1 Recorded Sales'!K$37</f>
        <v>1570592827</v>
      </c>
      <c r="D20" s="46">
        <f>'WP 1.1 Recorded Sales'!K$36</f>
        <v>7648</v>
      </c>
      <c r="E20" s="47">
        <f t="shared" si="0"/>
        <v>1570585179</v>
      </c>
      <c r="F20" s="285" t="str">
        <f t="shared" si="3"/>
        <v>Workpaper No. 1; Page 1.1; Lines 30; 29</v>
      </c>
      <c r="G20" s="309">
        <f t="shared" si="2"/>
        <v>9</v>
      </c>
      <c r="I20" s="160"/>
      <c r="J20" s="160"/>
      <c r="K20" s="160"/>
      <c r="L20" s="205"/>
    </row>
    <row r="21" spans="1:12" ht="15.5" x14ac:dyDescent="0.35">
      <c r="A21" s="308">
        <f t="shared" si="1"/>
        <v>10</v>
      </c>
      <c r="B21" s="762">
        <v>44013</v>
      </c>
      <c r="C21" s="46">
        <f>'WP 1.1 Recorded Sales'!L$37</f>
        <v>1473308225</v>
      </c>
      <c r="D21" s="46">
        <f>'WP 1.1 Recorded Sales'!L$36</f>
        <v>8941</v>
      </c>
      <c r="E21" s="47">
        <f t="shared" si="0"/>
        <v>1473299284</v>
      </c>
      <c r="F21" s="285" t="str">
        <f t="shared" si="3"/>
        <v>Workpaper No. 1; Page 1.1; Lines 30; 29</v>
      </c>
      <c r="G21" s="309">
        <f t="shared" si="2"/>
        <v>10</v>
      </c>
      <c r="I21" s="160"/>
      <c r="J21" s="160"/>
      <c r="K21" s="160"/>
      <c r="L21" s="205"/>
    </row>
    <row r="22" spans="1:12" ht="15.5" x14ac:dyDescent="0.35">
      <c r="A22" s="308">
        <f t="shared" si="1"/>
        <v>11</v>
      </c>
      <c r="B22" s="762">
        <v>44044</v>
      </c>
      <c r="C22" s="46">
        <f>'WP 1.1 Recorded Sales'!M$37</f>
        <v>1670945749</v>
      </c>
      <c r="D22" s="46">
        <f>'WP 1.1 Recorded Sales'!M$36</f>
        <v>11292</v>
      </c>
      <c r="E22" s="47">
        <f t="shared" si="0"/>
        <v>1670934457</v>
      </c>
      <c r="F22" s="285" t="str">
        <f t="shared" si="3"/>
        <v>Workpaper No. 1; Page 1.1; Lines 30; 29</v>
      </c>
      <c r="G22" s="309">
        <f t="shared" si="2"/>
        <v>11</v>
      </c>
      <c r="I22" s="160"/>
      <c r="J22" s="160"/>
      <c r="K22" s="160"/>
      <c r="L22" s="205"/>
    </row>
    <row r="23" spans="1:12" ht="15.5" x14ac:dyDescent="0.35">
      <c r="A23" s="308">
        <f t="shared" si="1"/>
        <v>12</v>
      </c>
      <c r="B23" s="762">
        <v>44075</v>
      </c>
      <c r="C23" s="46">
        <f>'WP 1.1 Recorded Sales'!N$37</f>
        <v>1833101519</v>
      </c>
      <c r="D23" s="46">
        <f>'WP 1.1 Recorded Sales'!N$36</f>
        <v>11854</v>
      </c>
      <c r="E23" s="47">
        <f t="shared" si="0"/>
        <v>1833089665</v>
      </c>
      <c r="F23" s="285" t="str">
        <f t="shared" si="3"/>
        <v>Workpaper No. 1; Page 1.1; Lines 30; 29</v>
      </c>
      <c r="G23" s="309">
        <f t="shared" si="2"/>
        <v>12</v>
      </c>
      <c r="I23" s="160"/>
      <c r="J23" s="160"/>
      <c r="K23" s="160"/>
      <c r="L23" s="205"/>
    </row>
    <row r="24" spans="1:12" ht="15.5" x14ac:dyDescent="0.35">
      <c r="A24" s="308">
        <f t="shared" si="1"/>
        <v>13</v>
      </c>
      <c r="B24" s="12"/>
      <c r="C24" s="38"/>
      <c r="D24" s="38"/>
      <c r="E24" s="48"/>
      <c r="F24" s="52"/>
      <c r="G24" s="309">
        <f t="shared" si="2"/>
        <v>13</v>
      </c>
      <c r="I24" s="160"/>
      <c r="J24" s="160"/>
      <c r="K24" s="160"/>
      <c r="L24" s="160"/>
    </row>
    <row r="25" spans="1:12" ht="15.5" x14ac:dyDescent="0.35">
      <c r="A25" s="308">
        <f t="shared" si="1"/>
        <v>14</v>
      </c>
      <c r="B25" s="45"/>
      <c r="C25" s="49"/>
      <c r="D25" s="49"/>
      <c r="E25" s="49"/>
      <c r="F25" s="53"/>
      <c r="G25" s="309">
        <f t="shared" si="2"/>
        <v>14</v>
      </c>
      <c r="I25" s="160"/>
      <c r="J25" s="160"/>
      <c r="K25" s="160"/>
      <c r="L25" s="160"/>
    </row>
    <row r="26" spans="1:12" ht="16" thickBot="1" x14ac:dyDescent="0.4">
      <c r="A26" s="308">
        <f t="shared" si="1"/>
        <v>15</v>
      </c>
      <c r="B26" s="44" t="s">
        <v>88</v>
      </c>
      <c r="C26" s="50">
        <f>SUM(C12:C23)</f>
        <v>17687024791</v>
      </c>
      <c r="D26" s="50">
        <f>SUM(D12:D23)</f>
        <v>95532</v>
      </c>
      <c r="E26" s="204">
        <f>SUM(E12:E23)</f>
        <v>17686929259</v>
      </c>
      <c r="F26" s="53" t="s">
        <v>28</v>
      </c>
      <c r="G26" s="309">
        <f t="shared" si="2"/>
        <v>15</v>
      </c>
      <c r="I26" s="160"/>
      <c r="J26" s="160"/>
      <c r="K26" s="160"/>
      <c r="L26" s="160"/>
    </row>
    <row r="27" spans="1:12" ht="16.5" thickTop="1" thickBot="1" x14ac:dyDescent="0.4">
      <c r="A27" s="349"/>
      <c r="B27" s="87"/>
      <c r="C27" s="657"/>
      <c r="D27" s="658"/>
      <c r="E27" s="174"/>
      <c r="F27" s="63"/>
      <c r="G27" s="350"/>
      <c r="I27" s="160"/>
      <c r="J27" s="160"/>
      <c r="K27" s="160"/>
      <c r="L27" s="160"/>
    </row>
    <row r="28" spans="1:12" ht="15.5" x14ac:dyDescent="0.35">
      <c r="A28" s="22"/>
      <c r="B28" s="22"/>
      <c r="C28" s="22"/>
      <c r="D28" s="22"/>
      <c r="E28" s="22"/>
      <c r="F28" s="22"/>
      <c r="G28" s="22"/>
    </row>
    <row r="29" spans="1:12" ht="18.5" x14ac:dyDescent="0.35">
      <c r="A29" s="481">
        <v>1</v>
      </c>
      <c r="B29" s="22" t="s">
        <v>342</v>
      </c>
      <c r="C29" s="22"/>
      <c r="D29" s="22"/>
      <c r="E29" s="51"/>
      <c r="F29" s="51"/>
      <c r="G29" s="22"/>
    </row>
    <row r="30" spans="1:12" ht="15.5" x14ac:dyDescent="0.35">
      <c r="A30" s="22"/>
      <c r="B30" s="22"/>
      <c r="C30" s="22"/>
      <c r="D30" s="22"/>
      <c r="E30" s="51"/>
      <c r="F30" s="51"/>
      <c r="G30" s="22"/>
    </row>
    <row r="31" spans="1:12" ht="15.5" x14ac:dyDescent="0.35">
      <c r="A31" s="22"/>
      <c r="B31" s="22"/>
      <c r="C31" s="22"/>
      <c r="D31" s="22"/>
      <c r="E31" s="51"/>
      <c r="F31" s="51"/>
      <c r="G31" s="22"/>
    </row>
    <row r="32" spans="1:12" ht="15.5" x14ac:dyDescent="0.35">
      <c r="A32" s="22"/>
      <c r="B32" s="22"/>
      <c r="C32" s="22"/>
      <c r="D32" s="22"/>
      <c r="E32" s="51"/>
      <c r="F32" s="51"/>
      <c r="G32" s="22"/>
    </row>
    <row r="33" spans="1:7" ht="15.5" x14ac:dyDescent="0.35">
      <c r="A33" s="22"/>
      <c r="B33" s="22"/>
      <c r="C33" s="22"/>
      <c r="D33" s="22"/>
      <c r="E33" s="22"/>
      <c r="F33" s="22"/>
      <c r="G33" s="22"/>
    </row>
    <row r="34" spans="1:7" ht="15.5" x14ac:dyDescent="0.35">
      <c r="A34" s="22"/>
      <c r="B34" s="22"/>
      <c r="C34" s="22"/>
      <c r="D34" s="22"/>
      <c r="E34" s="22"/>
      <c r="F34" s="22"/>
      <c r="G34" s="22"/>
    </row>
    <row r="35" spans="1:7" ht="15.5" x14ac:dyDescent="0.35">
      <c r="A35" s="22"/>
      <c r="B35" s="22"/>
      <c r="C35" s="22"/>
      <c r="D35" s="22"/>
      <c r="E35" s="22"/>
      <c r="F35" s="22"/>
      <c r="G35" s="22"/>
    </row>
    <row r="36" spans="1:7" ht="15.5" x14ac:dyDescent="0.35">
      <c r="A36" s="22"/>
      <c r="B36" s="22"/>
      <c r="C36" s="22"/>
      <c r="D36" s="22"/>
      <c r="E36" s="22"/>
      <c r="F36" s="22"/>
      <c r="G36" s="22"/>
    </row>
    <row r="37" spans="1:7" ht="15.5" x14ac:dyDescent="0.35">
      <c r="A37" s="22"/>
      <c r="B37" s="22"/>
      <c r="C37" s="22"/>
      <c r="D37" s="22"/>
      <c r="E37" s="22"/>
      <c r="F37" s="22"/>
      <c r="G37" s="22"/>
    </row>
    <row r="38" spans="1:7" ht="15.5" x14ac:dyDescent="0.35">
      <c r="A38" s="22"/>
      <c r="B38" s="22"/>
      <c r="C38" s="22"/>
      <c r="D38" s="22"/>
      <c r="E38" s="22"/>
      <c r="F38" s="22"/>
      <c r="G38" s="22"/>
    </row>
    <row r="39" spans="1:7" ht="15.5" x14ac:dyDescent="0.35">
      <c r="A39" s="22"/>
      <c r="B39" s="22"/>
      <c r="C39" s="22"/>
      <c r="D39" s="22"/>
      <c r="E39" s="22"/>
      <c r="F39" s="22"/>
      <c r="G39" s="22"/>
    </row>
    <row r="40" spans="1:7" ht="15.5" x14ac:dyDescent="0.35">
      <c r="A40" s="22"/>
      <c r="B40" s="22"/>
      <c r="C40" s="22"/>
      <c r="D40" s="22"/>
      <c r="E40" s="22"/>
      <c r="F40" s="22"/>
      <c r="G40" s="22"/>
    </row>
    <row r="41" spans="1:7" ht="15.5" x14ac:dyDescent="0.35">
      <c r="A41" s="22"/>
      <c r="B41" s="22"/>
      <c r="C41" s="22"/>
      <c r="D41" s="22"/>
      <c r="E41" s="22"/>
      <c r="F41" s="22"/>
      <c r="G41" s="22"/>
    </row>
    <row r="42" spans="1:7" ht="15.5" x14ac:dyDescent="0.35">
      <c r="A42" s="22"/>
      <c r="B42" s="22"/>
      <c r="C42" s="22"/>
      <c r="D42" s="22"/>
      <c r="E42" s="22"/>
      <c r="F42" s="22"/>
      <c r="G42" s="22"/>
    </row>
    <row r="43" spans="1:7" ht="15.5" x14ac:dyDescent="0.35">
      <c r="A43" s="22"/>
      <c r="B43" s="22"/>
      <c r="C43" s="22"/>
      <c r="D43" s="22"/>
      <c r="E43" s="22"/>
      <c r="F43" s="22"/>
      <c r="G43" s="22"/>
    </row>
    <row r="44" spans="1:7" ht="15.5" x14ac:dyDescent="0.35">
      <c r="A44" s="22"/>
      <c r="B44" s="22"/>
      <c r="C44" s="22"/>
      <c r="D44" s="22"/>
      <c r="E44" s="22"/>
      <c r="F44" s="22"/>
      <c r="G44" s="22"/>
    </row>
    <row r="45" spans="1:7" ht="15.5" x14ac:dyDescent="0.35">
      <c r="A45" s="22"/>
      <c r="B45" s="22"/>
      <c r="C45" s="22"/>
      <c r="D45" s="22"/>
      <c r="E45" s="22"/>
      <c r="F45" s="22"/>
      <c r="G45" s="22"/>
    </row>
    <row r="46" spans="1:7" ht="15.5" x14ac:dyDescent="0.35">
      <c r="A46" s="22"/>
      <c r="B46" s="22"/>
      <c r="C46" s="22"/>
      <c r="D46" s="22"/>
      <c r="E46" s="22"/>
      <c r="F46" s="22"/>
      <c r="G46" s="22"/>
    </row>
    <row r="47" spans="1:7" ht="15.5" x14ac:dyDescent="0.35">
      <c r="A47" s="22"/>
      <c r="B47" s="22"/>
      <c r="C47" s="22"/>
      <c r="D47" s="22"/>
      <c r="E47" s="22"/>
      <c r="F47" s="22"/>
      <c r="G47" s="22"/>
    </row>
    <row r="48" spans="1:7" ht="15.5" x14ac:dyDescent="0.35">
      <c r="A48" s="22"/>
      <c r="B48" s="22"/>
      <c r="C48" s="22"/>
      <c r="D48" s="22"/>
      <c r="E48" s="22"/>
      <c r="F48" s="22"/>
      <c r="G48" s="22"/>
    </row>
    <row r="49" spans="1:7" ht="15.5" x14ac:dyDescent="0.35">
      <c r="A49" s="22"/>
      <c r="B49" s="22"/>
      <c r="C49" s="22"/>
      <c r="D49" s="22"/>
      <c r="E49" s="22"/>
      <c r="F49" s="22"/>
      <c r="G49" s="22"/>
    </row>
    <row r="50" spans="1:7" ht="15.5" x14ac:dyDescent="0.35">
      <c r="A50" s="22"/>
      <c r="B50" s="22"/>
      <c r="C50" s="22"/>
      <c r="D50" s="22"/>
      <c r="E50" s="22"/>
      <c r="F50" s="22"/>
      <c r="G50" s="22"/>
    </row>
    <row r="51" spans="1:7" ht="15.5" x14ac:dyDescent="0.35">
      <c r="A51" s="22"/>
      <c r="B51" s="22"/>
      <c r="C51" s="22"/>
      <c r="D51" s="22"/>
      <c r="E51" s="22"/>
      <c r="F51" s="22"/>
      <c r="G51" s="22"/>
    </row>
    <row r="52" spans="1:7" ht="15.5" x14ac:dyDescent="0.35">
      <c r="A52" s="22"/>
      <c r="B52" s="22"/>
      <c r="C52" s="22"/>
      <c r="D52" s="22"/>
      <c r="E52" s="22"/>
      <c r="F52" s="22"/>
      <c r="G52" s="22"/>
    </row>
    <row r="53" spans="1:7" ht="15.5" x14ac:dyDescent="0.35">
      <c r="A53" s="22"/>
      <c r="B53" s="22"/>
      <c r="C53" s="22"/>
      <c r="D53" s="22"/>
      <c r="E53" s="22"/>
      <c r="F53" s="22"/>
      <c r="G53" s="22"/>
    </row>
    <row r="54" spans="1:7" ht="15.5" x14ac:dyDescent="0.35">
      <c r="A54" s="22"/>
      <c r="B54" s="22"/>
      <c r="C54" s="22"/>
      <c r="D54" s="22"/>
      <c r="E54" s="22"/>
      <c r="F54" s="22"/>
      <c r="G54" s="22"/>
    </row>
    <row r="55" spans="1:7" ht="15.5" x14ac:dyDescent="0.35">
      <c r="A55" s="22"/>
      <c r="B55" s="22"/>
      <c r="C55" s="22"/>
      <c r="D55" s="22"/>
      <c r="E55" s="22"/>
      <c r="F55" s="22"/>
      <c r="G55" s="22"/>
    </row>
    <row r="56" spans="1:7" ht="15.5" x14ac:dyDescent="0.35">
      <c r="A56" s="22"/>
      <c r="B56" s="22"/>
      <c r="C56" s="22"/>
      <c r="D56" s="22"/>
      <c r="E56" s="22"/>
      <c r="F56" s="22"/>
      <c r="G56" s="22"/>
    </row>
    <row r="57" spans="1:7" ht="15.5" x14ac:dyDescent="0.35">
      <c r="A57" s="22"/>
      <c r="B57" s="22"/>
      <c r="C57" s="22"/>
      <c r="D57" s="22"/>
      <c r="E57" s="22"/>
      <c r="F57" s="22"/>
      <c r="G57" s="22"/>
    </row>
    <row r="58" spans="1:7" ht="15.5" x14ac:dyDescent="0.35">
      <c r="A58" s="22"/>
      <c r="B58" s="22"/>
      <c r="C58" s="22"/>
      <c r="D58" s="22"/>
      <c r="E58" s="22"/>
      <c r="F58" s="22"/>
      <c r="G58" s="22"/>
    </row>
    <row r="59" spans="1:7" ht="15.5" x14ac:dyDescent="0.35">
      <c r="A59" s="22"/>
      <c r="B59" s="22"/>
      <c r="C59" s="22"/>
      <c r="D59" s="22"/>
      <c r="E59" s="22"/>
      <c r="F59" s="22"/>
      <c r="G59" s="22"/>
    </row>
    <row r="60" spans="1:7" ht="15.5" x14ac:dyDescent="0.35">
      <c r="A60" s="22"/>
      <c r="B60" s="22"/>
      <c r="C60" s="22"/>
      <c r="D60" s="22"/>
      <c r="E60" s="22"/>
      <c r="F60" s="22"/>
      <c r="G60" s="22"/>
    </row>
  </sheetData>
  <phoneticPr fontId="0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 of 5&amp;R&amp;"Times New Roman,Regular"&amp;12&amp;A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R143"/>
  <sheetViews>
    <sheetView zoomScale="80" zoomScaleNormal="80" workbookViewId="0"/>
  </sheetViews>
  <sheetFormatPr defaultColWidth="9.1796875" defaultRowHeight="15.5" x14ac:dyDescent="0.3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53125" style="22" bestFit="1" customWidth="1"/>
    <col min="10" max="10" width="6" style="22" bestFit="1" customWidth="1"/>
    <col min="11" max="14" width="17.1796875" style="22" bestFit="1" customWidth="1"/>
    <col min="15" max="15" width="18.453125" style="22" bestFit="1" customWidth="1"/>
    <col min="16" max="16" width="8.54296875" style="22" bestFit="1" customWidth="1"/>
    <col min="17" max="16384" width="9.1796875" style="22"/>
  </cols>
  <sheetData>
    <row r="2" spans="1:16" ht="18" customHeight="1" x14ac:dyDescent="0.35">
      <c r="A2" s="1115" t="s">
        <v>251</v>
      </c>
      <c r="B2" s="1115"/>
      <c r="C2" s="1115"/>
      <c r="D2" s="1115"/>
      <c r="E2" s="1115"/>
      <c r="F2" s="1115"/>
      <c r="G2" s="1115"/>
      <c r="H2" s="1115"/>
      <c r="I2" s="1115"/>
      <c r="J2" s="1115"/>
      <c r="K2" s="599"/>
      <c r="L2" s="599"/>
      <c r="M2" s="599"/>
      <c r="N2" s="599"/>
      <c r="O2" s="599"/>
      <c r="P2" s="599"/>
    </row>
    <row r="3" spans="1:16" ht="18" customHeight="1" x14ac:dyDescent="0.35">
      <c r="A3" s="1115" t="s">
        <v>92</v>
      </c>
      <c r="B3" s="1115"/>
      <c r="C3" s="1115"/>
      <c r="D3" s="1115"/>
      <c r="E3" s="1115"/>
      <c r="F3" s="1115"/>
      <c r="G3" s="1115"/>
      <c r="H3" s="1115"/>
      <c r="I3" s="1115"/>
      <c r="J3" s="1115"/>
      <c r="K3" s="600"/>
      <c r="L3" s="600"/>
      <c r="M3" s="600"/>
      <c r="N3" s="600"/>
      <c r="O3" s="600"/>
      <c r="P3" s="600"/>
    </row>
    <row r="4" spans="1:16" ht="18" customHeight="1" x14ac:dyDescent="0.35">
      <c r="A4" s="1115" t="s">
        <v>487</v>
      </c>
      <c r="B4" s="1115"/>
      <c r="C4" s="1115"/>
      <c r="D4" s="1115"/>
      <c r="E4" s="1115"/>
      <c r="F4" s="1115"/>
      <c r="G4" s="1115"/>
      <c r="H4" s="1115"/>
      <c r="I4" s="1115"/>
      <c r="J4" s="1115"/>
      <c r="K4" s="600"/>
      <c r="L4" s="600"/>
      <c r="M4" s="600"/>
      <c r="N4" s="600"/>
      <c r="O4" s="600"/>
      <c r="P4" s="600"/>
    </row>
    <row r="5" spans="1:16" s="100" customFormat="1" ht="18" customHeight="1" x14ac:dyDescent="0.35">
      <c r="A5" s="1116" t="str">
        <f>'Stmt BG - Page 1'!A6</f>
        <v>Rate Effective Period - Twelve Months Ending December 31, 2021</v>
      </c>
      <c r="B5" s="1116"/>
      <c r="C5" s="1116"/>
      <c r="D5" s="1116"/>
      <c r="E5" s="1116"/>
      <c r="F5" s="1116"/>
      <c r="G5" s="1116"/>
      <c r="H5" s="1116"/>
      <c r="I5" s="1116"/>
      <c r="J5" s="1116"/>
      <c r="K5" s="601"/>
      <c r="L5" s="601"/>
      <c r="M5" s="601"/>
      <c r="N5" s="601"/>
      <c r="O5" s="601"/>
      <c r="P5" s="601"/>
    </row>
    <row r="6" spans="1:16" s="100" customFormat="1" ht="16" thickBot="1" x14ac:dyDescent="0.4">
      <c r="A6" s="602"/>
      <c r="B6" s="602"/>
      <c r="C6" s="602"/>
      <c r="D6" s="602"/>
      <c r="E6" s="602"/>
      <c r="F6" s="602"/>
      <c r="G6" s="602"/>
      <c r="H6" s="602"/>
      <c r="I6" s="602"/>
      <c r="J6" s="602"/>
      <c r="K6" s="603"/>
      <c r="L6" s="603"/>
      <c r="M6" s="603"/>
      <c r="N6" s="603"/>
      <c r="O6" s="603"/>
      <c r="P6" s="603"/>
    </row>
    <row r="7" spans="1:16" s="100" customFormat="1" x14ac:dyDescent="0.35">
      <c r="A7" s="858" t="s">
        <v>93</v>
      </c>
      <c r="B7" s="664"/>
      <c r="C7" s="665" t="s">
        <v>115</v>
      </c>
      <c r="D7" s="665" t="s">
        <v>132</v>
      </c>
      <c r="E7" s="666" t="s">
        <v>229</v>
      </c>
      <c r="F7" s="665" t="s">
        <v>230</v>
      </c>
      <c r="G7" s="665" t="s">
        <v>231</v>
      </c>
      <c r="H7" s="666" t="s">
        <v>232</v>
      </c>
      <c r="I7" s="665" t="s">
        <v>233</v>
      </c>
      <c r="J7" s="859" t="s">
        <v>93</v>
      </c>
    </row>
    <row r="8" spans="1:16" s="100" customFormat="1" ht="16" thickBot="1" x14ac:dyDescent="0.4">
      <c r="A8" s="806" t="s">
        <v>87</v>
      </c>
      <c r="B8" s="269" t="s">
        <v>221</v>
      </c>
      <c r="C8" s="807">
        <f>'Stmt BG - Page 2'!C8</f>
        <v>44197</v>
      </c>
      <c r="D8" s="807">
        <f>'Stmt BG - Page 2'!D8</f>
        <v>44228</v>
      </c>
      <c r="E8" s="807">
        <f>'Stmt BG - Page 2'!E8</f>
        <v>44256</v>
      </c>
      <c r="F8" s="807">
        <f>'Stmt BG - Page 2'!F8</f>
        <v>44287</v>
      </c>
      <c r="G8" s="807">
        <f>'Stmt BG - Page 2'!G8</f>
        <v>44317</v>
      </c>
      <c r="H8" s="807">
        <f>'Stmt BG - Page 2'!H8</f>
        <v>44348</v>
      </c>
      <c r="I8" s="808"/>
      <c r="J8" s="714" t="s">
        <v>87</v>
      </c>
    </row>
    <row r="9" spans="1:16" x14ac:dyDescent="0.35">
      <c r="A9" s="308"/>
      <c r="B9" s="10"/>
      <c r="C9" s="10"/>
      <c r="D9" s="10"/>
      <c r="E9" s="10"/>
      <c r="F9" s="10"/>
      <c r="G9" s="10"/>
      <c r="H9" s="10"/>
      <c r="I9" s="17"/>
      <c r="J9" s="309"/>
    </row>
    <row r="10" spans="1:16" ht="18.5" x14ac:dyDescent="0.35">
      <c r="A10" s="308">
        <v>1</v>
      </c>
      <c r="B10" s="17" t="s">
        <v>321</v>
      </c>
      <c r="C10" s="19">
        <f>'Stmt BH - Page 2'!C33</f>
        <v>-590827.84236000001</v>
      </c>
      <c r="D10" s="19">
        <f>'Stmt BH - Page 2'!D33</f>
        <v>-491247.50832000002</v>
      </c>
      <c r="E10" s="19">
        <f>'Stmt BH - Page 2'!E33</f>
        <v>-456761.35872000002</v>
      </c>
      <c r="F10" s="19">
        <f>'Stmt BH - Page 2'!F33</f>
        <v>-397798.73171999998</v>
      </c>
      <c r="G10" s="19">
        <f>'Stmt BH - Page 2'!G33</f>
        <v>-389140.4376</v>
      </c>
      <c r="H10" s="19">
        <f>'Stmt BH - Page 2'!H33</f>
        <v>-416144.83428000001</v>
      </c>
      <c r="I10" s="17"/>
      <c r="J10" s="309">
        <v>1</v>
      </c>
    </row>
    <row r="11" spans="1:16" x14ac:dyDescent="0.35">
      <c r="A11" s="308">
        <f>A10+1</f>
        <v>2</v>
      </c>
      <c r="B11" s="449"/>
      <c r="C11" s="459"/>
      <c r="D11" s="459"/>
      <c r="E11" s="459"/>
      <c r="F11" s="459"/>
      <c r="G11" s="459"/>
      <c r="H11" s="459"/>
      <c r="I11" s="17"/>
      <c r="J11" s="309">
        <f>J10+1</f>
        <v>2</v>
      </c>
    </row>
    <row r="12" spans="1:16" ht="18.5" x14ac:dyDescent="0.35">
      <c r="A12" s="308">
        <f t="shared" ref="A12:A22" si="0">A11+1</f>
        <v>3</v>
      </c>
      <c r="B12" s="17" t="s">
        <v>322</v>
      </c>
      <c r="C12" s="31">
        <f>'Stmt BH - Page 2'!C35</f>
        <v>-186444.33012</v>
      </c>
      <c r="D12" s="31">
        <f>'Stmt BH - Page 2'!D35</f>
        <v>-179674.01964000001</v>
      </c>
      <c r="E12" s="31">
        <f>'Stmt BH - Page 2'!E35</f>
        <v>-178980.02676000001</v>
      </c>
      <c r="F12" s="31">
        <f>'Stmt BH - Page 2'!F35</f>
        <v>-179604.03564000002</v>
      </c>
      <c r="G12" s="31">
        <f>'Stmt BH - Page 2'!G35</f>
        <v>-182715.00047999999</v>
      </c>
      <c r="H12" s="31">
        <f>'Stmt BH - Page 2'!H35</f>
        <v>-193367.33316000001</v>
      </c>
      <c r="I12" s="17"/>
      <c r="J12" s="309">
        <f t="shared" ref="J12:J22" si="1">J11+1</f>
        <v>3</v>
      </c>
    </row>
    <row r="13" spans="1:16" x14ac:dyDescent="0.35">
      <c r="A13" s="308">
        <f t="shared" si="0"/>
        <v>4</v>
      </c>
      <c r="B13" s="451"/>
      <c r="C13" s="460"/>
      <c r="D13" s="460"/>
      <c r="E13" s="460"/>
      <c r="F13" s="460"/>
      <c r="G13" s="460"/>
      <c r="H13" s="460"/>
      <c r="I13" s="17"/>
      <c r="J13" s="309">
        <f t="shared" si="1"/>
        <v>4</v>
      </c>
    </row>
    <row r="14" spans="1:16" ht="18.5" x14ac:dyDescent="0.35">
      <c r="A14" s="308">
        <f t="shared" si="0"/>
        <v>5</v>
      </c>
      <c r="B14" s="17" t="s">
        <v>323</v>
      </c>
      <c r="C14" s="31">
        <f>'Stmt BH - Page 2'!C37</f>
        <v>-789781.15260000003</v>
      </c>
      <c r="D14" s="31">
        <f>'Stmt BH - Page 2'!D37</f>
        <v>-773342.47907999996</v>
      </c>
      <c r="E14" s="31">
        <f>'Stmt BH - Page 2'!E37</f>
        <v>-763940.44727999996</v>
      </c>
      <c r="F14" s="31">
        <f>'Stmt BH - Page 2'!F37</f>
        <v>-797085.87407999998</v>
      </c>
      <c r="G14" s="31">
        <f>'Stmt BH - Page 2'!G37</f>
        <v>-805812.44579999999</v>
      </c>
      <c r="H14" s="31">
        <f>'Stmt BH - Page 2'!H37</f>
        <v>-849479.60736000002</v>
      </c>
      <c r="I14" s="17"/>
      <c r="J14" s="309">
        <f t="shared" si="1"/>
        <v>5</v>
      </c>
    </row>
    <row r="15" spans="1:16" x14ac:dyDescent="0.35">
      <c r="A15" s="308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309">
        <f t="shared" si="1"/>
        <v>6</v>
      </c>
    </row>
    <row r="16" spans="1:16" ht="18.5" x14ac:dyDescent="0.35">
      <c r="A16" s="308">
        <f t="shared" si="0"/>
        <v>7</v>
      </c>
      <c r="B16" s="62" t="s">
        <v>324</v>
      </c>
      <c r="C16" s="31">
        <f>'Stmt BH - Page 2'!C39</f>
        <v>-6590.8814400000001</v>
      </c>
      <c r="D16" s="31">
        <f>'Stmt BH - Page 2'!D39</f>
        <v>-6923.5441200000005</v>
      </c>
      <c r="E16" s="31">
        <f>'Stmt BH - Page 2'!E39</f>
        <v>-6017.65092</v>
      </c>
      <c r="F16" s="31">
        <f>'Stmt BH - Page 2'!F39</f>
        <v>-7913.9592000000002</v>
      </c>
      <c r="G16" s="31">
        <f>'Stmt BH - Page 2'!G39</f>
        <v>-9079.0459200000005</v>
      </c>
      <c r="H16" s="31">
        <f>'Stmt BH - Page 2'!H39</f>
        <v>-10401.307199999999</v>
      </c>
      <c r="I16" s="17"/>
      <c r="J16" s="309">
        <f t="shared" si="1"/>
        <v>7</v>
      </c>
    </row>
    <row r="17" spans="1:18" x14ac:dyDescent="0.35">
      <c r="A17" s="308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309">
        <f t="shared" si="1"/>
        <v>8</v>
      </c>
    </row>
    <row r="18" spans="1:18" ht="18.5" x14ac:dyDescent="0.35">
      <c r="A18" s="308">
        <f t="shared" si="0"/>
        <v>9</v>
      </c>
      <c r="B18" s="62" t="s">
        <v>240</v>
      </c>
      <c r="C18" s="31">
        <f>'Stmt BH - Page 2'!C41</f>
        <v>-15127.78464</v>
      </c>
      <c r="D18" s="31">
        <f>'Stmt BH - Page 2'!D41</f>
        <v>-15674.100480000001</v>
      </c>
      <c r="E18" s="31">
        <f>'Stmt BH - Page 2'!E41</f>
        <v>-16114.125959999999</v>
      </c>
      <c r="F18" s="31">
        <f>'Stmt BH - Page 2'!F41</f>
        <v>-17945.035920000002</v>
      </c>
      <c r="G18" s="31">
        <f>'Stmt BH - Page 2'!G41</f>
        <v>-19170.528119999999</v>
      </c>
      <c r="H18" s="31">
        <f>'Stmt BH - Page 2'!H41</f>
        <v>-20732.697360000002</v>
      </c>
      <c r="I18" s="17"/>
      <c r="J18" s="309">
        <f t="shared" si="1"/>
        <v>9</v>
      </c>
    </row>
    <row r="19" spans="1:18" x14ac:dyDescent="0.35">
      <c r="A19" s="308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309">
        <f t="shared" si="1"/>
        <v>10</v>
      </c>
    </row>
    <row r="20" spans="1:18" ht="18.5" x14ac:dyDescent="0.35">
      <c r="A20" s="308">
        <f t="shared" si="0"/>
        <v>11</v>
      </c>
      <c r="B20" s="17" t="s">
        <v>241</v>
      </c>
      <c r="C20" s="38">
        <f>'Stmt BH - Page 2'!C43</f>
        <v>-7962.6477599999998</v>
      </c>
      <c r="D20" s="38">
        <f>'Stmt BH - Page 2'!D43</f>
        <v>-7595.8549199999998</v>
      </c>
      <c r="E20" s="38">
        <f>'Stmt BH - Page 2'!E43</f>
        <v>-7621.2025199999998</v>
      </c>
      <c r="F20" s="38">
        <f>'Stmt BH - Page 2'!F43</f>
        <v>-7436.2071599999999</v>
      </c>
      <c r="G20" s="38">
        <f>'Stmt BH - Page 2'!G43</f>
        <v>-7492.6879200000003</v>
      </c>
      <c r="H20" s="38">
        <f>'Stmt BH - Page 2'!H43</f>
        <v>-7721.9254799999999</v>
      </c>
      <c r="I20" s="17"/>
      <c r="J20" s="309">
        <f t="shared" si="1"/>
        <v>11</v>
      </c>
    </row>
    <row r="21" spans="1:18" x14ac:dyDescent="0.35">
      <c r="A21" s="308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309">
        <f t="shared" si="1"/>
        <v>12</v>
      </c>
    </row>
    <row r="22" spans="1:18" x14ac:dyDescent="0.35">
      <c r="A22" s="308">
        <f t="shared" si="0"/>
        <v>13</v>
      </c>
      <c r="B22" s="449" t="s">
        <v>33</v>
      </c>
      <c r="C22" s="605">
        <f t="shared" ref="C22:H22" si="2">SUM(C10:C20)</f>
        <v>-1596734.6389199998</v>
      </c>
      <c r="D22" s="605">
        <f t="shared" si="2"/>
        <v>-1474457.5065600001</v>
      </c>
      <c r="E22" s="605">
        <f t="shared" si="2"/>
        <v>-1429434.8121600002</v>
      </c>
      <c r="F22" s="605">
        <f t="shared" si="2"/>
        <v>-1407783.8437199998</v>
      </c>
      <c r="G22" s="605">
        <f t="shared" si="2"/>
        <v>-1413410.1458399999</v>
      </c>
      <c r="H22" s="605">
        <f t="shared" si="2"/>
        <v>-1497847.70484</v>
      </c>
      <c r="I22" s="12"/>
      <c r="J22" s="309">
        <f t="shared" si="1"/>
        <v>13</v>
      </c>
    </row>
    <row r="23" spans="1:18" ht="16" thickBot="1" x14ac:dyDescent="0.4">
      <c r="A23" s="349"/>
      <c r="B23" s="669"/>
      <c r="C23" s="670"/>
      <c r="D23" s="805"/>
      <c r="E23" s="671"/>
      <c r="F23" s="805"/>
      <c r="G23" s="671"/>
      <c r="H23" s="805"/>
      <c r="I23" s="672"/>
      <c r="J23" s="473"/>
      <c r="R23" s="164"/>
    </row>
    <row r="24" spans="1:18" ht="16" thickBot="1" x14ac:dyDescent="0.4">
      <c r="A24" s="37"/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</row>
    <row r="25" spans="1:18" x14ac:dyDescent="0.35">
      <c r="A25" s="902" t="s">
        <v>93</v>
      </c>
      <c r="B25" s="673"/>
      <c r="C25" s="662" t="str">
        <f t="shared" ref="C25:I25" si="3">C7</f>
        <v>(A)</v>
      </c>
      <c r="D25" s="662" t="str">
        <f t="shared" si="3"/>
        <v>(B)</v>
      </c>
      <c r="E25" s="662" t="str">
        <f t="shared" si="3"/>
        <v>(C)</v>
      </c>
      <c r="F25" s="662" t="str">
        <f t="shared" si="3"/>
        <v>(D)</v>
      </c>
      <c r="G25" s="662" t="str">
        <f t="shared" si="3"/>
        <v>(E)</v>
      </c>
      <c r="H25" s="662" t="str">
        <f t="shared" si="3"/>
        <v>(F)</v>
      </c>
      <c r="I25" s="662" t="str">
        <f t="shared" si="3"/>
        <v>(G)</v>
      </c>
      <c r="J25" s="903" t="s">
        <v>93</v>
      </c>
      <c r="K25" s="462"/>
      <c r="L25" s="462"/>
      <c r="M25" s="462"/>
      <c r="N25" s="462"/>
      <c r="O25" s="462"/>
    </row>
    <row r="26" spans="1:18" ht="16" thickBot="1" x14ac:dyDescent="0.4">
      <c r="A26" s="904" t="s">
        <v>87</v>
      </c>
      <c r="B26" s="269" t="s">
        <v>221</v>
      </c>
      <c r="C26" s="807">
        <f>'Stmt BG - Page 2'!C26</f>
        <v>44378</v>
      </c>
      <c r="D26" s="807">
        <f>'Stmt BG - Page 2'!D26</f>
        <v>44409</v>
      </c>
      <c r="E26" s="807">
        <f>'Stmt BG - Page 2'!E26</f>
        <v>44440</v>
      </c>
      <c r="F26" s="807">
        <f>'Stmt BG - Page 2'!F26</f>
        <v>44470</v>
      </c>
      <c r="G26" s="807">
        <f>'Stmt BG - Page 2'!G26</f>
        <v>44501</v>
      </c>
      <c r="H26" s="807">
        <f>'Stmt BG - Page 2'!H26</f>
        <v>44531</v>
      </c>
      <c r="I26" s="803"/>
      <c r="J26" s="804" t="s">
        <v>87</v>
      </c>
      <c r="K26" s="462"/>
      <c r="L26" s="462"/>
      <c r="M26" s="462"/>
      <c r="N26" s="462"/>
      <c r="O26" s="462"/>
    </row>
    <row r="27" spans="1:18" x14ac:dyDescent="0.35">
      <c r="A27" s="308"/>
      <c r="B27" s="10"/>
      <c r="C27" s="10"/>
      <c r="D27" s="10"/>
      <c r="E27" s="10"/>
      <c r="F27" s="10"/>
      <c r="G27" s="10"/>
      <c r="H27" s="10"/>
      <c r="I27" s="10"/>
      <c r="J27" s="309"/>
      <c r="K27" s="462"/>
      <c r="L27" s="462"/>
      <c r="M27" s="462"/>
      <c r="N27" s="462"/>
      <c r="O27" s="462"/>
    </row>
    <row r="28" spans="1:18" ht="18.5" x14ac:dyDescent="0.35">
      <c r="A28" s="308">
        <f>A22+1</f>
        <v>14</v>
      </c>
      <c r="B28" s="17" t="s">
        <v>321</v>
      </c>
      <c r="C28" s="19">
        <f>'Stmt BH - Page 3'!C33</f>
        <v>-523630.39247999998</v>
      </c>
      <c r="D28" s="19">
        <f>'Stmt BH - Page 3'!D33</f>
        <v>-596268.72251999995</v>
      </c>
      <c r="E28" s="19">
        <f>'Stmt BH - Page 3'!E33</f>
        <v>-641975.16816</v>
      </c>
      <c r="F28" s="19">
        <f>'Stmt BH - Page 3'!F33</f>
        <v>-531532.92744</v>
      </c>
      <c r="G28" s="19">
        <f>'Stmt BH - Page 3'!G33</f>
        <v>-475331.78483999998</v>
      </c>
      <c r="H28" s="19">
        <f>'Stmt BH - Page 3'!H33</f>
        <v>-548248.99464000005</v>
      </c>
      <c r="I28" s="19">
        <f>SUM(C10:H10,C28:H28)</f>
        <v>-6058908.7030799994</v>
      </c>
      <c r="J28" s="309">
        <f>J22+1</f>
        <v>14</v>
      </c>
      <c r="K28" s="462"/>
      <c r="L28" s="462"/>
      <c r="M28" s="462"/>
      <c r="N28" s="462"/>
      <c r="O28" s="462"/>
    </row>
    <row r="29" spans="1:18" x14ac:dyDescent="0.35">
      <c r="A29" s="308">
        <f>A28+1</f>
        <v>15</v>
      </c>
      <c r="B29" s="449"/>
      <c r="C29" s="459"/>
      <c r="D29" s="459"/>
      <c r="E29" s="459"/>
      <c r="F29" s="459"/>
      <c r="G29" s="459"/>
      <c r="H29" s="459"/>
      <c r="I29" s="459"/>
      <c r="J29" s="309">
        <f>J28+1</f>
        <v>15</v>
      </c>
      <c r="K29" s="462"/>
      <c r="L29" s="462"/>
      <c r="M29" s="462"/>
      <c r="N29" s="462"/>
      <c r="O29" s="462"/>
    </row>
    <row r="30" spans="1:18" ht="18.5" x14ac:dyDescent="0.35">
      <c r="A30" s="308">
        <f t="shared" ref="A30:A40" si="4">A29+1</f>
        <v>16</v>
      </c>
      <c r="B30" s="17" t="s">
        <v>322</v>
      </c>
      <c r="C30" s="31">
        <f>'Stmt BH - Page 3'!C35</f>
        <v>-213831.44208000001</v>
      </c>
      <c r="D30" s="31">
        <f>'Stmt BH - Page 3'!D35</f>
        <v>-220845.06036</v>
      </c>
      <c r="E30" s="31">
        <f>'Stmt BH - Page 3'!E35</f>
        <v>-227333.92284000001</v>
      </c>
      <c r="F30" s="31">
        <f>'Stmt BH - Page 3'!F35</f>
        <v>-206864.32968</v>
      </c>
      <c r="G30" s="31">
        <f>'Stmt BH - Page 3'!G35</f>
        <v>-190804.06872000001</v>
      </c>
      <c r="H30" s="31">
        <f>'Stmt BH - Page 3'!H35</f>
        <v>-184404.09132000001</v>
      </c>
      <c r="I30" s="19">
        <f>SUM(C12:H12,C30:H30)</f>
        <v>-2344867.6607999997</v>
      </c>
      <c r="J30" s="309">
        <f t="shared" ref="J30:J40" si="5">J29+1</f>
        <v>16</v>
      </c>
      <c r="K30" s="462"/>
      <c r="L30" s="462"/>
      <c r="M30" s="462"/>
      <c r="N30" s="462"/>
      <c r="O30" s="462"/>
    </row>
    <row r="31" spans="1:18" x14ac:dyDescent="0.35">
      <c r="A31" s="308">
        <f t="shared" si="4"/>
        <v>17</v>
      </c>
      <c r="B31" s="451"/>
      <c r="C31" s="460"/>
      <c r="D31" s="460"/>
      <c r="E31" s="460"/>
      <c r="F31" s="460"/>
      <c r="G31" s="460"/>
      <c r="H31" s="460"/>
      <c r="I31" s="31"/>
      <c r="J31" s="309">
        <f t="shared" si="5"/>
        <v>17</v>
      </c>
      <c r="K31" s="462"/>
      <c r="L31" s="462"/>
      <c r="M31" s="462"/>
      <c r="N31" s="462"/>
      <c r="O31" s="462"/>
    </row>
    <row r="32" spans="1:18" ht="18.5" x14ac:dyDescent="0.35">
      <c r="A32" s="308">
        <f t="shared" si="4"/>
        <v>18</v>
      </c>
      <c r="B32" s="17" t="s">
        <v>323</v>
      </c>
      <c r="C32" s="31">
        <f>'Stmt BH - Page 3'!C37</f>
        <v>-926212.76712000009</v>
      </c>
      <c r="D32" s="31">
        <f>'Stmt BH - Page 3'!D37</f>
        <v>-944200.32912000001</v>
      </c>
      <c r="E32" s="31">
        <f>'Stmt BH - Page 3'!E37</f>
        <v>-988133.66424000019</v>
      </c>
      <c r="F32" s="31">
        <f>'Stmt BH - Page 3'!F37</f>
        <v>-907233.34716</v>
      </c>
      <c r="G32" s="31">
        <f>'Stmt BH - Page 3'!G37</f>
        <v>-859759.07759999996</v>
      </c>
      <c r="H32" s="31">
        <f>'Stmt BH - Page 3'!H37</f>
        <v>-807134.63147999987</v>
      </c>
      <c r="I32" s="19">
        <f>SUM(C14:H14,C32:H32)</f>
        <v>-10212115.822919998</v>
      </c>
      <c r="J32" s="309">
        <f t="shared" si="5"/>
        <v>18</v>
      </c>
      <c r="K32" s="462"/>
      <c r="L32" s="462"/>
      <c r="M32" s="462"/>
      <c r="N32" s="462"/>
      <c r="O32" s="462"/>
    </row>
    <row r="33" spans="1:15" x14ac:dyDescent="0.35">
      <c r="A33" s="308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309">
        <f t="shared" si="5"/>
        <v>19</v>
      </c>
      <c r="K33" s="462"/>
      <c r="L33" s="462"/>
      <c r="M33" s="462"/>
      <c r="N33" s="462"/>
      <c r="O33" s="462"/>
    </row>
    <row r="34" spans="1:15" ht="18.5" x14ac:dyDescent="0.35">
      <c r="A34" s="308">
        <f t="shared" si="4"/>
        <v>20</v>
      </c>
      <c r="B34" s="62" t="s">
        <v>324</v>
      </c>
      <c r="C34" s="31">
        <f>'Stmt BH - Page 3'!C39</f>
        <v>-12071.41056</v>
      </c>
      <c r="D34" s="31">
        <f>'Stmt BH - Page 3'!D39</f>
        <v>-11997.04824</v>
      </c>
      <c r="E34" s="31">
        <f>'Stmt BH - Page 3'!E39</f>
        <v>-12390.069960000001</v>
      </c>
      <c r="F34" s="31">
        <f>'Stmt BH - Page 3'!F39</f>
        <v>-10797.71256</v>
      </c>
      <c r="G34" s="31">
        <f>'Stmt BH - Page 3'!G39</f>
        <v>-9941.4885599999998</v>
      </c>
      <c r="H34" s="31">
        <f>'Stmt BH - Page 3'!H39</f>
        <v>-8038.4831999999997</v>
      </c>
      <c r="I34" s="19">
        <f>SUM(C16:H16,C34:H34)</f>
        <v>-112162.60188</v>
      </c>
      <c r="J34" s="309">
        <f t="shared" si="5"/>
        <v>20</v>
      </c>
      <c r="K34" s="462"/>
      <c r="L34" s="462"/>
      <c r="M34" s="462"/>
      <c r="N34" s="462"/>
      <c r="O34" s="462"/>
    </row>
    <row r="35" spans="1:15" x14ac:dyDescent="0.35">
      <c r="A35" s="308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309">
        <f t="shared" si="5"/>
        <v>21</v>
      </c>
      <c r="K35" s="462"/>
      <c r="L35" s="462"/>
      <c r="M35" s="462"/>
      <c r="N35" s="462"/>
      <c r="O35" s="462"/>
    </row>
    <row r="36" spans="1:15" ht="18.5" x14ac:dyDescent="0.35">
      <c r="A36" s="308">
        <f t="shared" si="4"/>
        <v>22</v>
      </c>
      <c r="B36" s="62" t="s">
        <v>240</v>
      </c>
      <c r="C36" s="31">
        <f>'Stmt BH - Page 3'!C41</f>
        <v>-22747.975200000001</v>
      </c>
      <c r="D36" s="31">
        <f>'Stmt BH - Page 3'!D41</f>
        <v>-21447.615239999999</v>
      </c>
      <c r="E36" s="31">
        <f>'Stmt BH - Page 3'!E41</f>
        <v>-23193.104760000002</v>
      </c>
      <c r="F36" s="31">
        <f>'Stmt BH - Page 3'!F41</f>
        <v>-20646.140760000002</v>
      </c>
      <c r="G36" s="31">
        <f>'Stmt BH - Page 3'!G41</f>
        <v>-19374.86304</v>
      </c>
      <c r="H36" s="31">
        <f>'Stmt BH - Page 3'!H41</f>
        <v>-16782.602760000002</v>
      </c>
      <c r="I36" s="19">
        <f>SUM(C18:H18,C36:H36)</f>
        <v>-228956.57424000002</v>
      </c>
      <c r="J36" s="309">
        <f t="shared" si="5"/>
        <v>22</v>
      </c>
      <c r="K36" s="462"/>
      <c r="L36" s="462"/>
      <c r="M36" s="462"/>
      <c r="N36" s="462"/>
      <c r="O36" s="462"/>
    </row>
    <row r="37" spans="1:15" x14ac:dyDescent="0.35">
      <c r="A37" s="308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309">
        <f t="shared" si="5"/>
        <v>23</v>
      </c>
      <c r="K37" s="462"/>
      <c r="L37" s="462"/>
      <c r="M37" s="462"/>
      <c r="N37" s="462"/>
      <c r="O37" s="462"/>
    </row>
    <row r="38" spans="1:15" ht="18.5" x14ac:dyDescent="0.35">
      <c r="A38" s="308">
        <f t="shared" si="4"/>
        <v>24</v>
      </c>
      <c r="B38" s="17" t="s">
        <v>241</v>
      </c>
      <c r="C38" s="38">
        <f>'Stmt BH - Page 3'!C43</f>
        <v>-7805.5736400000005</v>
      </c>
      <c r="D38" s="38">
        <f>'Stmt BH - Page 3'!D43</f>
        <v>-7421.2146000000002</v>
      </c>
      <c r="E38" s="38">
        <f>'Stmt BH - Page 3'!E43</f>
        <v>-7794.9075599999996</v>
      </c>
      <c r="F38" s="38">
        <f>'Stmt BH - Page 3'!F43</f>
        <v>-7494.3705600000003</v>
      </c>
      <c r="G38" s="38">
        <f>'Stmt BH - Page 3'!G43</f>
        <v>-7565.63976</v>
      </c>
      <c r="H38" s="38">
        <f>'Stmt BH - Page 3'!H43</f>
        <v>-7818.19128</v>
      </c>
      <c r="I38" s="14">
        <f>SUM(C20:H20,C38:H38)</f>
        <v>-91730.423160000006</v>
      </c>
      <c r="J38" s="309">
        <f t="shared" si="5"/>
        <v>24</v>
      </c>
      <c r="K38" s="462"/>
      <c r="L38" s="462"/>
      <c r="M38" s="462"/>
      <c r="N38" s="462"/>
      <c r="O38" s="462"/>
    </row>
    <row r="39" spans="1:15" x14ac:dyDescent="0.35">
      <c r="A39" s="308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309">
        <f t="shared" si="5"/>
        <v>25</v>
      </c>
      <c r="K39" s="462"/>
      <c r="L39" s="462"/>
      <c r="M39" s="462"/>
      <c r="N39" s="462"/>
      <c r="O39" s="462"/>
    </row>
    <row r="40" spans="1:15" x14ac:dyDescent="0.35">
      <c r="A40" s="308">
        <f t="shared" si="4"/>
        <v>26</v>
      </c>
      <c r="B40" s="449" t="s">
        <v>33</v>
      </c>
      <c r="C40" s="605">
        <f t="shared" ref="C40:I40" si="6">SUM(C28:C38)</f>
        <v>-1706299.5610800001</v>
      </c>
      <c r="D40" s="605">
        <f t="shared" si="6"/>
        <v>-1802179.9900799999</v>
      </c>
      <c r="E40" s="605">
        <f t="shared" si="6"/>
        <v>-1900820.8375200003</v>
      </c>
      <c r="F40" s="605">
        <f t="shared" si="6"/>
        <v>-1684568.82816</v>
      </c>
      <c r="G40" s="605">
        <f t="shared" si="6"/>
        <v>-1562776.9225199998</v>
      </c>
      <c r="H40" s="605">
        <f t="shared" si="6"/>
        <v>-1572426.9946799995</v>
      </c>
      <c r="I40" s="605">
        <f t="shared" si="6"/>
        <v>-19048741.786079995</v>
      </c>
      <c r="J40" s="309">
        <f t="shared" si="5"/>
        <v>26</v>
      </c>
      <c r="K40" s="462"/>
      <c r="L40" s="462"/>
      <c r="M40" s="462"/>
      <c r="N40" s="462"/>
      <c r="O40" s="462"/>
    </row>
    <row r="41" spans="1:15" ht="16" thickBot="1" x14ac:dyDescent="0.4">
      <c r="A41" s="349"/>
      <c r="B41" s="669"/>
      <c r="C41" s="671"/>
      <c r="D41" s="671"/>
      <c r="E41" s="671"/>
      <c r="F41" s="671"/>
      <c r="G41" s="671"/>
      <c r="H41" s="671"/>
      <c r="I41" s="306"/>
      <c r="J41" s="473"/>
      <c r="K41" s="462"/>
      <c r="L41" s="462"/>
      <c r="M41" s="462"/>
      <c r="N41" s="462"/>
      <c r="O41" s="462"/>
    </row>
    <row r="42" spans="1:15" x14ac:dyDescent="0.35">
      <c r="A42" s="551"/>
      <c r="B42" s="462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3"/>
    </row>
    <row r="43" spans="1:15" ht="18.5" x14ac:dyDescent="0.35">
      <c r="A43" s="90" t="s">
        <v>36</v>
      </c>
      <c r="B43" s="22" t="s">
        <v>386</v>
      </c>
      <c r="C43" s="426"/>
      <c r="D43" s="426"/>
      <c r="F43" s="606">
        <v>4</v>
      </c>
      <c r="G43" s="22" t="s">
        <v>389</v>
      </c>
    </row>
    <row r="44" spans="1:15" ht="18.5" x14ac:dyDescent="0.35">
      <c r="A44" s="90">
        <v>2</v>
      </c>
      <c r="B44" s="22" t="s">
        <v>387</v>
      </c>
      <c r="C44" s="982"/>
      <c r="D44" s="982"/>
      <c r="F44" s="606">
        <v>5</v>
      </c>
      <c r="G44" s="22" t="s">
        <v>390</v>
      </c>
    </row>
    <row r="45" spans="1:15" ht="18.5" x14ac:dyDescent="0.35">
      <c r="A45" s="90">
        <v>3</v>
      </c>
      <c r="B45" s="22" t="s">
        <v>388</v>
      </c>
      <c r="C45" s="426"/>
      <c r="D45" s="426"/>
      <c r="F45" s="606">
        <v>6</v>
      </c>
      <c r="G45" s="22" t="s">
        <v>339</v>
      </c>
    </row>
    <row r="46" spans="1:15" x14ac:dyDescent="0.35">
      <c r="C46" s="426"/>
      <c r="D46" s="426"/>
    </row>
    <row r="47" spans="1:15" x14ac:dyDescent="0.35">
      <c r="C47" s="426"/>
      <c r="D47" s="426"/>
    </row>
    <row r="48" spans="1:15" x14ac:dyDescent="0.35">
      <c r="C48" s="287"/>
      <c r="D48" s="287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  <row r="53" spans="1:1" x14ac:dyDescent="0.35">
      <c r="A53" s="37"/>
    </row>
    <row r="54" spans="1:1" x14ac:dyDescent="0.35">
      <c r="A54" s="37"/>
    </row>
    <row r="55" spans="1:1" x14ac:dyDescent="0.35">
      <c r="A55" s="37"/>
    </row>
    <row r="56" spans="1:1" x14ac:dyDescent="0.35">
      <c r="A56" s="37"/>
    </row>
    <row r="57" spans="1:1" x14ac:dyDescent="0.35">
      <c r="A57" s="37"/>
    </row>
    <row r="58" spans="1:1" x14ac:dyDescent="0.35">
      <c r="A58" s="37"/>
    </row>
    <row r="59" spans="1:1" x14ac:dyDescent="0.35">
      <c r="A59" s="37"/>
    </row>
    <row r="60" spans="1:1" x14ac:dyDescent="0.35">
      <c r="A60" s="37"/>
    </row>
    <row r="61" spans="1:1" x14ac:dyDescent="0.35">
      <c r="A61" s="37"/>
    </row>
    <row r="62" spans="1:1" x14ac:dyDescent="0.35">
      <c r="A62" s="37"/>
    </row>
    <row r="63" spans="1:1" x14ac:dyDescent="0.35">
      <c r="A63" s="37"/>
    </row>
    <row r="64" spans="1:1" x14ac:dyDescent="0.35">
      <c r="A64" s="37"/>
    </row>
    <row r="65" spans="1:1" x14ac:dyDescent="0.35">
      <c r="A65" s="37"/>
    </row>
    <row r="66" spans="1:1" x14ac:dyDescent="0.35">
      <c r="A66" s="37"/>
    </row>
    <row r="67" spans="1:1" x14ac:dyDescent="0.35">
      <c r="A67" s="37"/>
    </row>
    <row r="68" spans="1:1" x14ac:dyDescent="0.35">
      <c r="A68" s="37"/>
    </row>
    <row r="69" spans="1:1" x14ac:dyDescent="0.35">
      <c r="A69" s="37"/>
    </row>
    <row r="70" spans="1:1" x14ac:dyDescent="0.35">
      <c r="A70" s="37"/>
    </row>
    <row r="71" spans="1:1" x14ac:dyDescent="0.35">
      <c r="A71" s="37"/>
    </row>
    <row r="72" spans="1:1" x14ac:dyDescent="0.35">
      <c r="A72" s="37"/>
    </row>
    <row r="73" spans="1:1" x14ac:dyDescent="0.35">
      <c r="A73" s="37"/>
    </row>
    <row r="74" spans="1:1" x14ac:dyDescent="0.35">
      <c r="A74" s="37"/>
    </row>
    <row r="75" spans="1:1" x14ac:dyDescent="0.35">
      <c r="A75" s="37"/>
    </row>
    <row r="76" spans="1:1" x14ac:dyDescent="0.35">
      <c r="A76" s="37"/>
    </row>
    <row r="77" spans="1:1" x14ac:dyDescent="0.35">
      <c r="A77" s="37"/>
    </row>
    <row r="78" spans="1:1" x14ac:dyDescent="0.35">
      <c r="A78" s="37"/>
    </row>
    <row r="79" spans="1:1" x14ac:dyDescent="0.35">
      <c r="A79" s="37"/>
    </row>
    <row r="80" spans="1:1" x14ac:dyDescent="0.35">
      <c r="A80" s="37"/>
    </row>
    <row r="81" spans="1:1" x14ac:dyDescent="0.35">
      <c r="A81" s="37"/>
    </row>
    <row r="82" spans="1:1" x14ac:dyDescent="0.35">
      <c r="A82" s="37"/>
    </row>
    <row r="83" spans="1:1" x14ac:dyDescent="0.35">
      <c r="A83" s="37"/>
    </row>
    <row r="84" spans="1:1" x14ac:dyDescent="0.35">
      <c r="A84" s="37"/>
    </row>
    <row r="85" spans="1:1" x14ac:dyDescent="0.35">
      <c r="A85" s="37"/>
    </row>
    <row r="86" spans="1:1" x14ac:dyDescent="0.35">
      <c r="A86" s="37"/>
    </row>
    <row r="87" spans="1:1" x14ac:dyDescent="0.35">
      <c r="A87" s="37"/>
    </row>
    <row r="88" spans="1:1" x14ac:dyDescent="0.35">
      <c r="A88" s="37"/>
    </row>
    <row r="89" spans="1:1" x14ac:dyDescent="0.35">
      <c r="A89" s="37"/>
    </row>
    <row r="90" spans="1:1" x14ac:dyDescent="0.35">
      <c r="A90" s="37"/>
    </row>
    <row r="91" spans="1:1" x14ac:dyDescent="0.35">
      <c r="A91" s="37"/>
    </row>
    <row r="92" spans="1:1" x14ac:dyDescent="0.35">
      <c r="A92" s="37"/>
    </row>
    <row r="93" spans="1:1" x14ac:dyDescent="0.35">
      <c r="A93" s="37"/>
    </row>
    <row r="94" spans="1:1" x14ac:dyDescent="0.35">
      <c r="A94" s="37"/>
    </row>
    <row r="95" spans="1:1" x14ac:dyDescent="0.35">
      <c r="A95" s="37"/>
    </row>
    <row r="96" spans="1:1" x14ac:dyDescent="0.35">
      <c r="A96" s="37"/>
    </row>
    <row r="97" spans="1:1" x14ac:dyDescent="0.35">
      <c r="A97" s="37"/>
    </row>
    <row r="98" spans="1:1" x14ac:dyDescent="0.35">
      <c r="A98" s="37"/>
    </row>
    <row r="99" spans="1:1" x14ac:dyDescent="0.35">
      <c r="A99" s="37"/>
    </row>
    <row r="100" spans="1:1" x14ac:dyDescent="0.35">
      <c r="A100" s="37"/>
    </row>
    <row r="101" spans="1:1" x14ac:dyDescent="0.35">
      <c r="A101" s="37"/>
    </row>
    <row r="102" spans="1:1" x14ac:dyDescent="0.35">
      <c r="A102" s="37"/>
    </row>
    <row r="103" spans="1:1" x14ac:dyDescent="0.35">
      <c r="A103" s="37"/>
    </row>
    <row r="104" spans="1:1" x14ac:dyDescent="0.35">
      <c r="A104" s="37"/>
    </row>
    <row r="105" spans="1:1" x14ac:dyDescent="0.35">
      <c r="A105" s="37"/>
    </row>
    <row r="106" spans="1:1" x14ac:dyDescent="0.35">
      <c r="A106" s="37"/>
    </row>
    <row r="107" spans="1:1" x14ac:dyDescent="0.35">
      <c r="A107" s="37"/>
    </row>
    <row r="108" spans="1:1" x14ac:dyDescent="0.35">
      <c r="A108" s="37"/>
    </row>
    <row r="109" spans="1:1" x14ac:dyDescent="0.35">
      <c r="A109" s="37"/>
    </row>
    <row r="110" spans="1:1" x14ac:dyDescent="0.35">
      <c r="A110" s="37"/>
    </row>
    <row r="111" spans="1:1" x14ac:dyDescent="0.35">
      <c r="A111" s="37"/>
    </row>
    <row r="112" spans="1:1" x14ac:dyDescent="0.35">
      <c r="A112" s="37"/>
    </row>
    <row r="113" spans="1:1" x14ac:dyDescent="0.35">
      <c r="A113" s="37"/>
    </row>
    <row r="114" spans="1:1" x14ac:dyDescent="0.35">
      <c r="A114" s="37"/>
    </row>
    <row r="115" spans="1:1" x14ac:dyDescent="0.35">
      <c r="A115" s="37"/>
    </row>
    <row r="116" spans="1:1" x14ac:dyDescent="0.35">
      <c r="A116" s="37"/>
    </row>
    <row r="117" spans="1:1" x14ac:dyDescent="0.35">
      <c r="A117" s="37"/>
    </row>
    <row r="118" spans="1:1" x14ac:dyDescent="0.35">
      <c r="A118" s="37"/>
    </row>
    <row r="119" spans="1:1" x14ac:dyDescent="0.35">
      <c r="A119" s="37"/>
    </row>
    <row r="120" spans="1:1" x14ac:dyDescent="0.35">
      <c r="A120" s="37"/>
    </row>
    <row r="121" spans="1:1" x14ac:dyDescent="0.35">
      <c r="A121" s="37"/>
    </row>
    <row r="122" spans="1:1" x14ac:dyDescent="0.35">
      <c r="A122" s="37"/>
    </row>
    <row r="123" spans="1:1" x14ac:dyDescent="0.35">
      <c r="A123" s="37"/>
    </row>
    <row r="124" spans="1:1" x14ac:dyDescent="0.35">
      <c r="A124" s="37"/>
    </row>
    <row r="125" spans="1:1" x14ac:dyDescent="0.35">
      <c r="A125" s="37"/>
    </row>
    <row r="126" spans="1:1" x14ac:dyDescent="0.35">
      <c r="A126" s="37"/>
    </row>
    <row r="127" spans="1:1" x14ac:dyDescent="0.35">
      <c r="A127" s="37"/>
    </row>
    <row r="128" spans="1:1" x14ac:dyDescent="0.35">
      <c r="A128" s="37"/>
    </row>
    <row r="129" spans="1:1" x14ac:dyDescent="0.35">
      <c r="A129" s="37"/>
    </row>
    <row r="130" spans="1:1" x14ac:dyDescent="0.35">
      <c r="A130" s="37"/>
    </row>
    <row r="131" spans="1:1" x14ac:dyDescent="0.35">
      <c r="A131" s="37"/>
    </row>
    <row r="132" spans="1:1" x14ac:dyDescent="0.35">
      <c r="A132" s="37"/>
    </row>
    <row r="133" spans="1:1" x14ac:dyDescent="0.35">
      <c r="A133" s="37"/>
    </row>
    <row r="134" spans="1:1" x14ac:dyDescent="0.35">
      <c r="A134" s="37"/>
    </row>
    <row r="135" spans="1:1" x14ac:dyDescent="0.35">
      <c r="A135" s="37"/>
    </row>
    <row r="136" spans="1:1" x14ac:dyDescent="0.35">
      <c r="A136" s="37"/>
    </row>
    <row r="137" spans="1:1" x14ac:dyDescent="0.35">
      <c r="A137" s="37"/>
    </row>
    <row r="138" spans="1:1" x14ac:dyDescent="0.35">
      <c r="A138" s="37"/>
    </row>
    <row r="139" spans="1:1" x14ac:dyDescent="0.35">
      <c r="A139" s="37"/>
    </row>
    <row r="140" spans="1:1" x14ac:dyDescent="0.35">
      <c r="A140" s="37"/>
    </row>
    <row r="141" spans="1:1" x14ac:dyDescent="0.35">
      <c r="A141" s="37"/>
    </row>
    <row r="142" spans="1:1" x14ac:dyDescent="0.35">
      <c r="A142" s="37"/>
    </row>
    <row r="143" spans="1:1" x14ac:dyDescent="0.3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75" orientation="landscape" r:id="rId1"/>
  <headerFooter alignWithMargins="0">
    <oddFooter>&amp;L&amp;"Times New Roman,Regular"&amp;14&amp;F&amp;C&amp;"Times New Roman,Regular"&amp;14Page 1 of 3&amp;R&amp;"Times New Roman,Regular"&amp;14Stmt BH - Page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122"/>
  <sheetViews>
    <sheetView zoomScale="80" zoomScaleNormal="80" workbookViewId="0"/>
  </sheetViews>
  <sheetFormatPr defaultColWidth="9.1796875" defaultRowHeight="12.5" x14ac:dyDescent="0.25"/>
  <cols>
    <col min="1" max="1" width="5.54296875" style="287" customWidth="1"/>
    <col min="2" max="2" width="45.54296875" style="287" customWidth="1"/>
    <col min="3" max="8" width="15.54296875" style="287" customWidth="1"/>
    <col min="9" max="9" width="40.54296875" style="287" customWidth="1"/>
    <col min="10" max="10" width="5.54296875" style="287" customWidth="1"/>
    <col min="11" max="16384" width="9.1796875" style="287"/>
  </cols>
  <sheetData>
    <row r="2" spans="1:10" ht="15.5" x14ac:dyDescent="0.25">
      <c r="A2" s="5" t="s">
        <v>251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5" x14ac:dyDescent="0.25">
      <c r="A3" s="487" t="s">
        <v>228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5" x14ac:dyDescent="0.25">
      <c r="A4" s="5" t="str">
        <f>'Stmt BH - Page 1'!A4:J4</f>
        <v>Transmission Revenue Balancing Account Adjustment (TRBAA) Revenue Data To Reflect Present Rates per ER20-524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.5" x14ac:dyDescent="0.25">
      <c r="A5" s="487" t="str">
        <f>'Stmt BH - Page 1'!A5</f>
        <v>Rate Effective Period - Twelve Months Ending December 31, 2021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" thickBot="1" x14ac:dyDescent="0.4">
      <c r="A6" s="474"/>
      <c r="B6" s="87"/>
      <c r="C6" s="87"/>
      <c r="D6" s="87"/>
      <c r="E6" s="87"/>
      <c r="F6" s="87"/>
      <c r="G6" s="87"/>
      <c r="H6" s="87"/>
      <c r="I6" s="87"/>
      <c r="J6" s="87"/>
    </row>
    <row r="7" spans="1:10" ht="15" x14ac:dyDescent="0.3">
      <c r="A7" s="82"/>
      <c r="B7" s="82"/>
      <c r="C7" s="682" t="s">
        <v>115</v>
      </c>
      <c r="D7" s="682" t="s">
        <v>132</v>
      </c>
      <c r="E7" s="682" t="s">
        <v>229</v>
      </c>
      <c r="F7" s="682" t="s">
        <v>230</v>
      </c>
      <c r="G7" s="682" t="s">
        <v>231</v>
      </c>
      <c r="H7" s="682" t="s">
        <v>232</v>
      </c>
      <c r="I7" s="682" t="s">
        <v>232</v>
      </c>
      <c r="J7" s="82"/>
    </row>
    <row r="8" spans="1:10" ht="15" x14ac:dyDescent="0.3">
      <c r="A8" s="82" t="s">
        <v>93</v>
      </c>
      <c r="B8" s="82"/>
      <c r="C8" s="683">
        <f>'Stmt BH - Page 1'!C8</f>
        <v>44197</v>
      </c>
      <c r="D8" s="683">
        <f>'Stmt BH - Page 1'!D8</f>
        <v>44228</v>
      </c>
      <c r="E8" s="683">
        <f>'Stmt BH - Page 1'!E8</f>
        <v>44256</v>
      </c>
      <c r="F8" s="683">
        <f>'Stmt BH - Page 1'!F8</f>
        <v>44287</v>
      </c>
      <c r="G8" s="683">
        <f>'Stmt BH - Page 1'!G8</f>
        <v>44317</v>
      </c>
      <c r="H8" s="683">
        <f>'Stmt BH - Page 1'!H8</f>
        <v>44348</v>
      </c>
      <c r="I8" s="677"/>
      <c r="J8" s="82" t="s">
        <v>93</v>
      </c>
    </row>
    <row r="9" spans="1:10" ht="15.5" thickBot="1" x14ac:dyDescent="0.35">
      <c r="A9" s="174" t="s">
        <v>87</v>
      </c>
      <c r="B9" s="174" t="s">
        <v>221</v>
      </c>
      <c r="C9" s="174" t="s">
        <v>242</v>
      </c>
      <c r="D9" s="174" t="s">
        <v>242</v>
      </c>
      <c r="E9" s="174" t="s">
        <v>242</v>
      </c>
      <c r="F9" s="174" t="s">
        <v>242</v>
      </c>
      <c r="G9" s="174" t="s">
        <v>242</v>
      </c>
      <c r="H9" s="174" t="s">
        <v>242</v>
      </c>
      <c r="I9" s="174" t="s">
        <v>91</v>
      </c>
      <c r="J9" s="174" t="s">
        <v>87</v>
      </c>
    </row>
    <row r="10" spans="1:10" ht="15.5" x14ac:dyDescent="0.35">
      <c r="A10" s="10"/>
      <c r="B10" s="10"/>
      <c r="C10" s="81"/>
      <c r="D10" s="10"/>
      <c r="E10" s="10"/>
      <c r="F10" s="10"/>
      <c r="G10" s="10"/>
      <c r="H10" s="10"/>
      <c r="I10" s="10"/>
      <c r="J10" s="10"/>
    </row>
    <row r="11" spans="1:10" ht="15.5" x14ac:dyDescent="0.35">
      <c r="A11" s="10">
        <v>1</v>
      </c>
      <c r="B11" s="11" t="s">
        <v>223</v>
      </c>
      <c r="C11" s="31">
        <f>'WP 1.2 Forecast Sales'!C6*1000</f>
        <v>547062817</v>
      </c>
      <c r="D11" s="31">
        <f>'WP 1.2 Forecast Sales'!D6*1000</f>
        <v>454858804</v>
      </c>
      <c r="E11" s="31">
        <f>'WP 1.2 Forecast Sales'!E6*1000</f>
        <v>422927184</v>
      </c>
      <c r="F11" s="31">
        <f>'WP 1.2 Forecast Sales'!F6*1000</f>
        <v>368332159</v>
      </c>
      <c r="G11" s="31">
        <f>'WP 1.2 Forecast Sales'!G6*1000</f>
        <v>360315220</v>
      </c>
      <c r="H11" s="31">
        <f>'WP 1.2 Forecast Sales'!H6*1000</f>
        <v>385319291</v>
      </c>
      <c r="I11" s="285" t="s">
        <v>265</v>
      </c>
      <c r="J11" s="10">
        <v>1</v>
      </c>
    </row>
    <row r="12" spans="1:10" ht="15.5" x14ac:dyDescent="0.35">
      <c r="A12" s="10">
        <f>A11+1</f>
        <v>2</v>
      </c>
      <c r="B12" s="449"/>
      <c r="C12" s="465"/>
      <c r="D12" s="465"/>
      <c r="E12" s="465"/>
      <c r="F12" s="465"/>
      <c r="G12" s="465"/>
      <c r="H12" s="465"/>
      <c r="I12" s="466"/>
      <c r="J12" s="10">
        <f>J11+1</f>
        <v>2</v>
      </c>
    </row>
    <row r="13" spans="1:10" ht="15.5" x14ac:dyDescent="0.35">
      <c r="A13" s="10">
        <f t="shared" ref="A13:A45" si="0">A12+1</f>
        <v>3</v>
      </c>
      <c r="B13" s="11" t="s">
        <v>243</v>
      </c>
      <c r="C13" s="31">
        <f>'WP 1.2 Forecast Sales'!C7*1000</f>
        <v>172633639</v>
      </c>
      <c r="D13" s="31">
        <f>'WP 1.2 Forecast Sales'!D7*1000</f>
        <v>166364833</v>
      </c>
      <c r="E13" s="31">
        <f>'WP 1.2 Forecast Sales'!E7*1000</f>
        <v>165722247</v>
      </c>
      <c r="F13" s="31">
        <f>'WP 1.2 Forecast Sales'!F7*1000</f>
        <v>166300033</v>
      </c>
      <c r="G13" s="31">
        <f>'WP 1.2 Forecast Sales'!G7*1000</f>
        <v>169180556</v>
      </c>
      <c r="H13" s="31">
        <f>'WP 1.2 Forecast Sales'!H7*1000</f>
        <v>179043827</v>
      </c>
      <c r="I13" s="285" t="s">
        <v>266</v>
      </c>
      <c r="J13" s="10">
        <f t="shared" ref="J13:J45" si="1">J12+1</f>
        <v>3</v>
      </c>
    </row>
    <row r="14" spans="1:10" ht="15.5" x14ac:dyDescent="0.35">
      <c r="A14" s="10">
        <f t="shared" si="0"/>
        <v>4</v>
      </c>
      <c r="B14" s="451"/>
      <c r="C14" s="460"/>
      <c r="D14" s="460"/>
      <c r="E14" s="460"/>
      <c r="F14" s="460"/>
      <c r="G14" s="460"/>
      <c r="H14" s="460"/>
      <c r="I14" s="467"/>
      <c r="J14" s="10">
        <f t="shared" si="1"/>
        <v>4</v>
      </c>
    </row>
    <row r="15" spans="1:10" ht="15.5" x14ac:dyDescent="0.35">
      <c r="A15" s="10">
        <f t="shared" si="0"/>
        <v>5</v>
      </c>
      <c r="B15" s="17" t="s">
        <v>326</v>
      </c>
      <c r="C15" s="31">
        <f>'WP 1.2 Forecast Sales'!C8*1000</f>
        <v>731278845</v>
      </c>
      <c r="D15" s="31">
        <f>'WP 1.2 Forecast Sales'!D8*1000</f>
        <v>716057851</v>
      </c>
      <c r="E15" s="31">
        <f>'WP 1.2 Forecast Sales'!E8*1000</f>
        <v>707352266</v>
      </c>
      <c r="F15" s="31">
        <f>'WP 1.2 Forecast Sales'!F8*1000</f>
        <v>738042476</v>
      </c>
      <c r="G15" s="31">
        <f>'WP 1.2 Forecast Sales'!G8*1000</f>
        <v>746122635</v>
      </c>
      <c r="H15" s="31">
        <f>'WP 1.2 Forecast Sales'!H8*1000</f>
        <v>786555192</v>
      </c>
      <c r="I15" s="285" t="s">
        <v>267</v>
      </c>
      <c r="J15" s="10">
        <f t="shared" si="1"/>
        <v>5</v>
      </c>
    </row>
    <row r="16" spans="1:10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468"/>
      <c r="J16" s="10">
        <f t="shared" si="1"/>
        <v>6</v>
      </c>
    </row>
    <row r="17" spans="1:10" ht="15.5" x14ac:dyDescent="0.35">
      <c r="A17" s="10">
        <f t="shared" si="0"/>
        <v>7</v>
      </c>
      <c r="B17" s="11" t="s">
        <v>177</v>
      </c>
      <c r="C17" s="31">
        <f>'WP 1.2 Forecast Sales'!C9*1000</f>
        <v>6102668</v>
      </c>
      <c r="D17" s="31">
        <f>'WP 1.2 Forecast Sales'!D9*1000</f>
        <v>6410689</v>
      </c>
      <c r="E17" s="31">
        <f>'WP 1.2 Forecast Sales'!E9*1000</f>
        <v>5571899</v>
      </c>
      <c r="F17" s="31">
        <f>'WP 1.2 Forecast Sales'!F9*1000</f>
        <v>7327740</v>
      </c>
      <c r="G17" s="31">
        <f>'WP 1.2 Forecast Sales'!G9*1000</f>
        <v>8406524</v>
      </c>
      <c r="H17" s="31">
        <f>'WP 1.2 Forecast Sales'!H9*1000</f>
        <v>9630840</v>
      </c>
      <c r="I17" s="285" t="s">
        <v>268</v>
      </c>
      <c r="J17" s="10">
        <f t="shared" si="1"/>
        <v>7</v>
      </c>
    </row>
    <row r="18" spans="1:10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468"/>
      <c r="J18" s="10">
        <f t="shared" si="1"/>
        <v>8</v>
      </c>
    </row>
    <row r="19" spans="1:10" ht="15.5" x14ac:dyDescent="0.35">
      <c r="A19" s="10">
        <f t="shared" si="0"/>
        <v>9</v>
      </c>
      <c r="B19" s="11" t="s">
        <v>176</v>
      </c>
      <c r="C19" s="31">
        <f>'WP 1.2 Forecast Sales'!C10*1000</f>
        <v>14007208</v>
      </c>
      <c r="D19" s="31">
        <f>'WP 1.2 Forecast Sales'!D10*1000</f>
        <v>14513056</v>
      </c>
      <c r="E19" s="31">
        <f>'WP 1.2 Forecast Sales'!E10*1000</f>
        <v>14920487</v>
      </c>
      <c r="F19" s="31">
        <f>'WP 1.2 Forecast Sales'!F10*1000</f>
        <v>16615774.000000002</v>
      </c>
      <c r="G19" s="31">
        <f>'WP 1.2 Forecast Sales'!G10*1000</f>
        <v>17750489</v>
      </c>
      <c r="H19" s="31">
        <f>'WP 1.2 Forecast Sales'!H10*1000</f>
        <v>19196942</v>
      </c>
      <c r="I19" s="285" t="s">
        <v>269</v>
      </c>
      <c r="J19" s="10">
        <f t="shared" si="1"/>
        <v>9</v>
      </c>
    </row>
    <row r="20" spans="1:10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468"/>
      <c r="J20" s="10">
        <f t="shared" si="1"/>
        <v>10</v>
      </c>
    </row>
    <row r="21" spans="1:10" ht="15.5" x14ac:dyDescent="0.35">
      <c r="A21" s="10">
        <f t="shared" si="0"/>
        <v>11</v>
      </c>
      <c r="B21" s="11" t="s">
        <v>244</v>
      </c>
      <c r="C21" s="38">
        <f>'WP 1.2 Forecast Sales'!C11*1000</f>
        <v>7372822</v>
      </c>
      <c r="D21" s="38">
        <f>'WP 1.2 Forecast Sales'!D11*1000</f>
        <v>7033199</v>
      </c>
      <c r="E21" s="38">
        <f>'WP 1.2 Forecast Sales'!E11*1000</f>
        <v>7056669</v>
      </c>
      <c r="F21" s="38">
        <f>'WP 1.2 Forecast Sales'!F11*1000</f>
        <v>6885377</v>
      </c>
      <c r="G21" s="38">
        <f>'WP 1.2 Forecast Sales'!G11*1000</f>
        <v>6937674</v>
      </c>
      <c r="H21" s="38">
        <f>'WP 1.2 Forecast Sales'!H11*1000</f>
        <v>7149931</v>
      </c>
      <c r="I21" s="285" t="s">
        <v>270</v>
      </c>
      <c r="J21" s="10">
        <f t="shared" si="1"/>
        <v>11</v>
      </c>
    </row>
    <row r="22" spans="1:10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184"/>
      <c r="J22" s="10">
        <f t="shared" si="1"/>
        <v>12</v>
      </c>
    </row>
    <row r="23" spans="1:10" ht="16" thickBot="1" x14ac:dyDescent="0.4">
      <c r="A23" s="10">
        <f t="shared" si="0"/>
        <v>13</v>
      </c>
      <c r="B23" s="449" t="s">
        <v>33</v>
      </c>
      <c r="C23" s="552">
        <f>SUM(C11:C21)</f>
        <v>1478457999</v>
      </c>
      <c r="D23" s="552">
        <f t="shared" ref="D23:H23" si="2">SUM(D11:D21)</f>
        <v>1365238432</v>
      </c>
      <c r="E23" s="552">
        <f t="shared" si="2"/>
        <v>1323550752</v>
      </c>
      <c r="F23" s="552">
        <f t="shared" si="2"/>
        <v>1303503559</v>
      </c>
      <c r="G23" s="552">
        <f t="shared" si="2"/>
        <v>1308713098</v>
      </c>
      <c r="H23" s="552">
        <f t="shared" si="2"/>
        <v>1386896023</v>
      </c>
      <c r="I23" s="466" t="s">
        <v>245</v>
      </c>
      <c r="J23" s="10">
        <f t="shared" si="1"/>
        <v>13</v>
      </c>
    </row>
    <row r="24" spans="1:10" ht="16.5" thickTop="1" thickBot="1" x14ac:dyDescent="0.4">
      <c r="A24" s="63">
        <f t="shared" si="0"/>
        <v>14</v>
      </c>
      <c r="B24" s="488"/>
      <c r="C24" s="980"/>
      <c r="D24" s="64"/>
      <c r="E24" s="64"/>
      <c r="F24" s="64"/>
      <c r="G24" s="64"/>
      <c r="H24" s="64"/>
      <c r="I24" s="64"/>
      <c r="J24" s="63">
        <f t="shared" si="1"/>
        <v>14</v>
      </c>
    </row>
    <row r="25" spans="1:10" ht="15.5" x14ac:dyDescent="0.35">
      <c r="A25" s="10">
        <f t="shared" si="0"/>
        <v>15</v>
      </c>
      <c r="B25" s="489"/>
      <c r="C25" s="476"/>
      <c r="D25" s="476"/>
      <c r="E25" s="476"/>
      <c r="F25" s="476"/>
      <c r="G25" s="476"/>
      <c r="H25" s="476"/>
      <c r="I25" s="17"/>
      <c r="J25" s="10">
        <f t="shared" si="1"/>
        <v>15</v>
      </c>
    </row>
    <row r="26" spans="1:10" ht="16" thickBot="1" x14ac:dyDescent="0.4">
      <c r="A26" s="63">
        <f>A25+1</f>
        <v>16</v>
      </c>
      <c r="B26" s="488"/>
      <c r="C26" s="63" t="s">
        <v>246</v>
      </c>
      <c r="D26" s="63" t="s">
        <v>246</v>
      </c>
      <c r="E26" s="63" t="s">
        <v>246</v>
      </c>
      <c r="F26" s="63" t="s">
        <v>246</v>
      </c>
      <c r="G26" s="63" t="s">
        <v>246</v>
      </c>
      <c r="H26" s="63" t="s">
        <v>246</v>
      </c>
      <c r="I26" s="63"/>
      <c r="J26" s="63">
        <f>J25+1</f>
        <v>16</v>
      </c>
    </row>
    <row r="27" spans="1:10" ht="15.5" x14ac:dyDescent="0.35">
      <c r="A27" s="10">
        <f t="shared" si="0"/>
        <v>17</v>
      </c>
      <c r="B27" s="518"/>
      <c r="C27" s="82"/>
      <c r="D27" s="10"/>
      <c r="E27" s="10"/>
      <c r="F27" s="10"/>
      <c r="G27" s="10"/>
      <c r="H27" s="10"/>
      <c r="I27" s="477" t="s">
        <v>483</v>
      </c>
      <c r="J27" s="10">
        <f t="shared" si="1"/>
        <v>17</v>
      </c>
    </row>
    <row r="28" spans="1:10" ht="15.5" x14ac:dyDescent="0.35">
      <c r="A28" s="10">
        <f t="shared" si="0"/>
        <v>18</v>
      </c>
      <c r="B28" s="11" t="s">
        <v>391</v>
      </c>
      <c r="C28" s="450">
        <v>-1.08E-3</v>
      </c>
      <c r="D28" s="450">
        <f>$C28</f>
        <v>-1.08E-3</v>
      </c>
      <c r="E28" s="450">
        <f>$C28</f>
        <v>-1.08E-3</v>
      </c>
      <c r="F28" s="450">
        <f>$C28</f>
        <v>-1.08E-3</v>
      </c>
      <c r="G28" s="450">
        <f>$C28</f>
        <v>-1.08E-3</v>
      </c>
      <c r="H28" s="450">
        <f>$C28</f>
        <v>-1.08E-3</v>
      </c>
      <c r="I28" s="466" t="s">
        <v>488</v>
      </c>
      <c r="J28" s="10">
        <f t="shared" si="1"/>
        <v>18</v>
      </c>
    </row>
    <row r="29" spans="1:10" ht="16" thickBot="1" x14ac:dyDescent="0.4">
      <c r="A29" s="63">
        <f>A28+1</f>
        <v>19</v>
      </c>
      <c r="B29" s="488"/>
      <c r="C29" s="64"/>
      <c r="D29" s="64"/>
      <c r="E29" s="64"/>
      <c r="F29" s="64"/>
      <c r="G29" s="64"/>
      <c r="H29" s="64"/>
      <c r="I29" s="478"/>
      <c r="J29" s="63">
        <f>J28+1</f>
        <v>19</v>
      </c>
    </row>
    <row r="30" spans="1:10" ht="15.5" x14ac:dyDescent="0.3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0">
        <f t="shared" si="1"/>
        <v>20</v>
      </c>
    </row>
    <row r="31" spans="1:10" ht="31.5" thickBot="1" x14ac:dyDescent="0.4">
      <c r="A31" s="63">
        <f t="shared" si="0"/>
        <v>21</v>
      </c>
      <c r="B31" s="488"/>
      <c r="C31" s="470" t="s">
        <v>252</v>
      </c>
      <c r="D31" s="470" t="s">
        <v>252</v>
      </c>
      <c r="E31" s="470" t="s">
        <v>252</v>
      </c>
      <c r="F31" s="470" t="s">
        <v>252</v>
      </c>
      <c r="G31" s="470" t="s">
        <v>252</v>
      </c>
      <c r="H31" s="470" t="s">
        <v>252</v>
      </c>
      <c r="I31" s="63"/>
      <c r="J31" s="63">
        <f t="shared" si="1"/>
        <v>21</v>
      </c>
    </row>
    <row r="32" spans="1:10" ht="15.5" x14ac:dyDescent="0.3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81"/>
      <c r="J32" s="10">
        <f t="shared" si="1"/>
        <v>22</v>
      </c>
    </row>
    <row r="33" spans="1:10" ht="15.5" x14ac:dyDescent="0.35">
      <c r="A33" s="10">
        <f t="shared" si="0"/>
        <v>23</v>
      </c>
      <c r="B33" s="11" t="s">
        <v>223</v>
      </c>
      <c r="C33" s="162">
        <f>C11*C$28</f>
        <v>-590827.84236000001</v>
      </c>
      <c r="D33" s="162">
        <f t="shared" ref="D33:H33" si="3">D11*D$28</f>
        <v>-491247.50832000002</v>
      </c>
      <c r="E33" s="162">
        <f t="shared" si="3"/>
        <v>-456761.35872000002</v>
      </c>
      <c r="F33" s="162">
        <f t="shared" si="3"/>
        <v>-397798.73171999998</v>
      </c>
      <c r="G33" s="162">
        <f t="shared" si="3"/>
        <v>-389140.4376</v>
      </c>
      <c r="H33" s="162">
        <f t="shared" si="3"/>
        <v>-416144.83428000001</v>
      </c>
      <c r="I33" s="26" t="s">
        <v>256</v>
      </c>
      <c r="J33" s="10">
        <f t="shared" si="1"/>
        <v>23</v>
      </c>
    </row>
    <row r="34" spans="1:10" ht="15.5" x14ac:dyDescent="0.35">
      <c r="A34" s="10">
        <f t="shared" si="0"/>
        <v>24</v>
      </c>
      <c r="B34" s="449"/>
      <c r="C34" s="465"/>
      <c r="D34" s="465"/>
      <c r="E34" s="465"/>
      <c r="F34" s="465"/>
      <c r="G34" s="465"/>
      <c r="H34" s="465"/>
      <c r="I34" s="471"/>
      <c r="J34" s="10">
        <f t="shared" si="1"/>
        <v>24</v>
      </c>
    </row>
    <row r="35" spans="1:10" ht="15.5" x14ac:dyDescent="0.35">
      <c r="A35" s="10">
        <f t="shared" si="0"/>
        <v>25</v>
      </c>
      <c r="B35" s="11" t="s">
        <v>243</v>
      </c>
      <c r="C35" s="46">
        <f>C13*C$28</f>
        <v>-186444.33012</v>
      </c>
      <c r="D35" s="46">
        <f t="shared" ref="D35:H35" si="4">D13*D$28</f>
        <v>-179674.01964000001</v>
      </c>
      <c r="E35" s="46">
        <f t="shared" si="4"/>
        <v>-178980.02676000001</v>
      </c>
      <c r="F35" s="46">
        <f t="shared" si="4"/>
        <v>-179604.03564000002</v>
      </c>
      <c r="G35" s="46">
        <f t="shared" si="4"/>
        <v>-182715.00047999999</v>
      </c>
      <c r="H35" s="46">
        <f t="shared" si="4"/>
        <v>-193367.33316000001</v>
      </c>
      <c r="I35" s="26" t="s">
        <v>380</v>
      </c>
      <c r="J35" s="10">
        <f t="shared" si="1"/>
        <v>25</v>
      </c>
    </row>
    <row r="36" spans="1:10" ht="15.5" x14ac:dyDescent="0.35">
      <c r="A36" s="10">
        <f t="shared" si="0"/>
        <v>26</v>
      </c>
      <c r="B36" s="451"/>
      <c r="C36" s="460"/>
      <c r="D36" s="460"/>
      <c r="E36" s="460"/>
      <c r="F36" s="460"/>
      <c r="G36" s="460"/>
      <c r="H36" s="460"/>
      <c r="I36" s="26"/>
      <c r="J36" s="10">
        <f t="shared" si="1"/>
        <v>26</v>
      </c>
    </row>
    <row r="37" spans="1:10" ht="15.5" x14ac:dyDescent="0.35">
      <c r="A37" s="10">
        <f t="shared" si="0"/>
        <v>27</v>
      </c>
      <c r="B37" s="17" t="s">
        <v>326</v>
      </c>
      <c r="C37" s="46">
        <f>C15*C$28</f>
        <v>-789781.15260000003</v>
      </c>
      <c r="D37" s="46">
        <f t="shared" ref="D37:H37" si="5">D15*D$28</f>
        <v>-773342.47907999996</v>
      </c>
      <c r="E37" s="46">
        <f t="shared" si="5"/>
        <v>-763940.44727999996</v>
      </c>
      <c r="F37" s="46">
        <f t="shared" si="5"/>
        <v>-797085.87407999998</v>
      </c>
      <c r="G37" s="46">
        <f t="shared" si="5"/>
        <v>-805812.44579999999</v>
      </c>
      <c r="H37" s="46">
        <f t="shared" si="5"/>
        <v>-849479.60736000002</v>
      </c>
      <c r="I37" s="26" t="s">
        <v>381</v>
      </c>
      <c r="J37" s="10">
        <f t="shared" si="1"/>
        <v>27</v>
      </c>
    </row>
    <row r="38" spans="1:10" ht="15.5" x14ac:dyDescent="0.35">
      <c r="A38" s="10">
        <f t="shared" si="0"/>
        <v>28</v>
      </c>
      <c r="B38" s="11"/>
      <c r="C38" s="46"/>
      <c r="D38" s="46"/>
      <c r="E38" s="46"/>
      <c r="F38" s="46"/>
      <c r="G38" s="46"/>
      <c r="H38" s="46"/>
      <c r="I38" s="26"/>
      <c r="J38" s="10">
        <f t="shared" si="1"/>
        <v>28</v>
      </c>
    </row>
    <row r="39" spans="1:10" ht="15.5" x14ac:dyDescent="0.35">
      <c r="A39" s="10">
        <f t="shared" si="0"/>
        <v>29</v>
      </c>
      <c r="B39" s="11" t="s">
        <v>177</v>
      </c>
      <c r="C39" s="46">
        <f>C17*C$28</f>
        <v>-6590.8814400000001</v>
      </c>
      <c r="D39" s="46">
        <f t="shared" ref="D39:H39" si="6">D17*D$28</f>
        <v>-6923.5441200000005</v>
      </c>
      <c r="E39" s="46">
        <f t="shared" si="6"/>
        <v>-6017.65092</v>
      </c>
      <c r="F39" s="46">
        <f t="shared" si="6"/>
        <v>-7913.9592000000002</v>
      </c>
      <c r="G39" s="46">
        <f t="shared" si="6"/>
        <v>-9079.0459200000005</v>
      </c>
      <c r="H39" s="46">
        <f t="shared" si="6"/>
        <v>-10401.307199999999</v>
      </c>
      <c r="I39" s="26" t="s">
        <v>382</v>
      </c>
      <c r="J39" s="10">
        <f t="shared" si="1"/>
        <v>29</v>
      </c>
    </row>
    <row r="40" spans="1:10" ht="15.5" x14ac:dyDescent="0.35">
      <c r="A40" s="10">
        <f t="shared" si="0"/>
        <v>30</v>
      </c>
      <c r="B40" s="11"/>
      <c r="C40" s="46"/>
      <c r="D40" s="46"/>
      <c r="E40" s="46"/>
      <c r="F40" s="46"/>
      <c r="G40" s="46"/>
      <c r="H40" s="46"/>
      <c r="I40" s="26"/>
      <c r="J40" s="10">
        <f t="shared" si="1"/>
        <v>30</v>
      </c>
    </row>
    <row r="41" spans="1:10" ht="15.5" x14ac:dyDescent="0.35">
      <c r="A41" s="10">
        <f t="shared" si="0"/>
        <v>31</v>
      </c>
      <c r="B41" s="11" t="s">
        <v>176</v>
      </c>
      <c r="C41" s="46">
        <f>C19*C$28</f>
        <v>-15127.78464</v>
      </c>
      <c r="D41" s="46">
        <f t="shared" ref="D41:H41" si="7">D19*D$28</f>
        <v>-15674.100480000001</v>
      </c>
      <c r="E41" s="46">
        <f t="shared" si="7"/>
        <v>-16114.125959999999</v>
      </c>
      <c r="F41" s="46">
        <f t="shared" si="7"/>
        <v>-17945.035920000002</v>
      </c>
      <c r="G41" s="46">
        <f t="shared" si="7"/>
        <v>-19170.528119999999</v>
      </c>
      <c r="H41" s="46">
        <f t="shared" si="7"/>
        <v>-20732.697360000002</v>
      </c>
      <c r="I41" s="26" t="s">
        <v>383</v>
      </c>
      <c r="J41" s="10">
        <f t="shared" si="1"/>
        <v>31</v>
      </c>
    </row>
    <row r="42" spans="1:10" ht="15.5" x14ac:dyDescent="0.35">
      <c r="A42" s="10">
        <f t="shared" si="0"/>
        <v>32</v>
      </c>
      <c r="B42" s="11"/>
      <c r="C42" s="46"/>
      <c r="D42" s="46"/>
      <c r="E42" s="46"/>
      <c r="F42" s="46"/>
      <c r="G42" s="46"/>
      <c r="H42" s="46"/>
      <c r="I42" s="26"/>
      <c r="J42" s="10">
        <f t="shared" si="1"/>
        <v>32</v>
      </c>
    </row>
    <row r="43" spans="1:10" ht="15.5" x14ac:dyDescent="0.35">
      <c r="A43" s="10">
        <f t="shared" si="0"/>
        <v>33</v>
      </c>
      <c r="B43" s="11" t="s">
        <v>244</v>
      </c>
      <c r="C43" s="55">
        <f>C21*C$28</f>
        <v>-7962.6477599999998</v>
      </c>
      <c r="D43" s="55">
        <f t="shared" ref="D43:H43" si="8">D21*D$28</f>
        <v>-7595.8549199999998</v>
      </c>
      <c r="E43" s="55">
        <f t="shared" si="8"/>
        <v>-7621.2025199999998</v>
      </c>
      <c r="F43" s="55">
        <f t="shared" si="8"/>
        <v>-7436.2071599999999</v>
      </c>
      <c r="G43" s="55">
        <f t="shared" si="8"/>
        <v>-7492.6879200000003</v>
      </c>
      <c r="H43" s="55">
        <f t="shared" si="8"/>
        <v>-7721.9254799999999</v>
      </c>
      <c r="I43" s="26" t="s">
        <v>384</v>
      </c>
      <c r="J43" s="10">
        <f t="shared" si="1"/>
        <v>33</v>
      </c>
    </row>
    <row r="44" spans="1:10" ht="15.5" x14ac:dyDescent="0.35">
      <c r="A44" s="10">
        <f t="shared" si="0"/>
        <v>34</v>
      </c>
      <c r="B44" s="11"/>
      <c r="C44" s="157"/>
      <c r="D44" s="157"/>
      <c r="E44" s="157"/>
      <c r="F44" s="157"/>
      <c r="G44" s="157"/>
      <c r="H44" s="157"/>
      <c r="I44" s="26"/>
      <c r="J44" s="10">
        <f t="shared" si="1"/>
        <v>34</v>
      </c>
    </row>
    <row r="45" spans="1:10" ht="16" thickBot="1" x14ac:dyDescent="0.4">
      <c r="A45" s="10">
        <f t="shared" si="0"/>
        <v>35</v>
      </c>
      <c r="B45" s="449" t="s">
        <v>33</v>
      </c>
      <c r="C45" s="461">
        <f>SUM(C33:C43)</f>
        <v>-1596734.6389199998</v>
      </c>
      <c r="D45" s="461">
        <f t="shared" ref="D45:H45" si="9">SUM(D33:D43)</f>
        <v>-1474457.5065600001</v>
      </c>
      <c r="E45" s="461">
        <f t="shared" si="9"/>
        <v>-1429434.8121600002</v>
      </c>
      <c r="F45" s="461">
        <f t="shared" si="9"/>
        <v>-1407783.8437199998</v>
      </c>
      <c r="G45" s="461">
        <f t="shared" si="9"/>
        <v>-1413410.1458399999</v>
      </c>
      <c r="H45" s="461">
        <f t="shared" si="9"/>
        <v>-1497847.70484</v>
      </c>
      <c r="I45" s="472" t="s">
        <v>385</v>
      </c>
      <c r="J45" s="10">
        <f t="shared" si="1"/>
        <v>35</v>
      </c>
    </row>
    <row r="46" spans="1:10" ht="16.5" thickTop="1" thickBot="1" x14ac:dyDescent="0.4">
      <c r="A46" s="63"/>
      <c r="B46" s="63"/>
      <c r="C46" s="980"/>
      <c r="D46" s="64"/>
      <c r="E46" s="64"/>
      <c r="F46" s="64"/>
      <c r="G46" s="64"/>
      <c r="H46" s="64"/>
      <c r="I46" s="64"/>
      <c r="J46" s="63"/>
    </row>
    <row r="47" spans="1:10" ht="15.5" x14ac:dyDescent="0.35">
      <c r="A47" s="37"/>
      <c r="B47" s="456"/>
      <c r="C47" s="22"/>
      <c r="D47" s="22"/>
      <c r="E47" s="22"/>
      <c r="F47" s="22"/>
      <c r="G47" s="22"/>
      <c r="H47" s="22"/>
      <c r="I47" s="22"/>
      <c r="J47" s="22"/>
    </row>
    <row r="48" spans="1:10" ht="18.5" x14ac:dyDescent="0.35">
      <c r="A48" s="75"/>
      <c r="B48" s="22"/>
      <c r="C48" s="464"/>
      <c r="D48" s="22"/>
      <c r="E48" s="22"/>
      <c r="F48" s="22"/>
      <c r="G48" s="22"/>
      <c r="H48" s="22"/>
      <c r="I48" s="22"/>
      <c r="J48" s="22"/>
    </row>
    <row r="49" spans="1:10" ht="15.5" x14ac:dyDescent="0.35">
      <c r="A49" s="981"/>
      <c r="B49" s="22"/>
      <c r="D49" s="22"/>
      <c r="E49" s="22"/>
      <c r="F49" s="22"/>
      <c r="G49" s="22"/>
      <c r="H49" s="22"/>
      <c r="I49" s="22"/>
      <c r="J49" s="22"/>
    </row>
    <row r="50" spans="1:10" ht="15.5" x14ac:dyDescent="0.35">
      <c r="A50" s="981"/>
      <c r="B50" s="161"/>
      <c r="C50" s="982"/>
      <c r="D50" s="22"/>
      <c r="E50" s="22"/>
      <c r="F50" s="22"/>
      <c r="G50" s="22"/>
      <c r="H50" s="22"/>
      <c r="I50" s="22"/>
      <c r="J50" s="22"/>
    </row>
    <row r="51" spans="1:10" ht="15.5" x14ac:dyDescent="0.35">
      <c r="A51" s="981"/>
      <c r="D51" s="22"/>
      <c r="E51" s="22"/>
      <c r="F51" s="22"/>
      <c r="G51" s="22"/>
      <c r="H51" s="22"/>
      <c r="I51" s="22"/>
      <c r="J51" s="22"/>
    </row>
    <row r="52" spans="1:10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981"/>
    </row>
    <row r="80" spans="1:10" x14ac:dyDescent="0.25">
      <c r="A80" s="981"/>
    </row>
    <row r="81" spans="1:1" x14ac:dyDescent="0.25">
      <c r="A81" s="981"/>
    </row>
    <row r="82" spans="1:1" x14ac:dyDescent="0.25">
      <c r="A82" s="981"/>
    </row>
    <row r="83" spans="1:1" x14ac:dyDescent="0.25">
      <c r="A83" s="981"/>
    </row>
    <row r="84" spans="1:1" x14ac:dyDescent="0.25">
      <c r="A84" s="981"/>
    </row>
    <row r="85" spans="1:1" x14ac:dyDescent="0.25">
      <c r="A85" s="981"/>
    </row>
    <row r="86" spans="1:1" x14ac:dyDescent="0.25">
      <c r="A86" s="981"/>
    </row>
    <row r="87" spans="1:1" x14ac:dyDescent="0.25">
      <c r="A87" s="981"/>
    </row>
    <row r="88" spans="1:1" x14ac:dyDescent="0.25">
      <c r="A88" s="981"/>
    </row>
    <row r="89" spans="1:1" x14ac:dyDescent="0.25">
      <c r="A89" s="981"/>
    </row>
    <row r="90" spans="1:1" x14ac:dyDescent="0.25">
      <c r="A90" s="981"/>
    </row>
    <row r="91" spans="1:1" x14ac:dyDescent="0.25">
      <c r="A91" s="981"/>
    </row>
    <row r="92" spans="1:1" x14ac:dyDescent="0.25">
      <c r="A92" s="981"/>
    </row>
    <row r="93" spans="1:1" x14ac:dyDescent="0.25">
      <c r="A93" s="981"/>
    </row>
    <row r="94" spans="1:1" x14ac:dyDescent="0.25">
      <c r="A94" s="981"/>
    </row>
    <row r="95" spans="1:1" x14ac:dyDescent="0.25">
      <c r="A95" s="981"/>
    </row>
    <row r="96" spans="1:1" x14ac:dyDescent="0.25">
      <c r="A96" s="981"/>
    </row>
    <row r="97" spans="1:1" x14ac:dyDescent="0.25">
      <c r="A97" s="981"/>
    </row>
    <row r="98" spans="1:1" x14ac:dyDescent="0.25">
      <c r="A98" s="981"/>
    </row>
    <row r="99" spans="1:1" x14ac:dyDescent="0.25">
      <c r="A99" s="981"/>
    </row>
    <row r="100" spans="1:1" x14ac:dyDescent="0.25">
      <c r="A100" s="981"/>
    </row>
    <row r="101" spans="1:1" x14ac:dyDescent="0.25">
      <c r="A101" s="981"/>
    </row>
    <row r="102" spans="1:1" x14ac:dyDescent="0.25">
      <c r="A102" s="981"/>
    </row>
    <row r="103" spans="1:1" x14ac:dyDescent="0.25">
      <c r="A103" s="981"/>
    </row>
    <row r="104" spans="1:1" x14ac:dyDescent="0.25">
      <c r="A104" s="981"/>
    </row>
    <row r="105" spans="1:1" x14ac:dyDescent="0.25">
      <c r="A105" s="981"/>
    </row>
    <row r="106" spans="1:1" x14ac:dyDescent="0.25">
      <c r="A106" s="981"/>
    </row>
    <row r="107" spans="1:1" x14ac:dyDescent="0.25">
      <c r="A107" s="981"/>
    </row>
    <row r="108" spans="1:1" x14ac:dyDescent="0.25">
      <c r="A108" s="981"/>
    </row>
    <row r="109" spans="1:1" x14ac:dyDescent="0.25">
      <c r="A109" s="981"/>
    </row>
    <row r="110" spans="1:1" x14ac:dyDescent="0.25">
      <c r="A110" s="981"/>
    </row>
    <row r="111" spans="1:1" x14ac:dyDescent="0.25">
      <c r="A111" s="981"/>
    </row>
    <row r="112" spans="1:1" x14ac:dyDescent="0.25">
      <c r="A112" s="981"/>
    </row>
    <row r="113" spans="1:1" x14ac:dyDescent="0.25">
      <c r="A113" s="981"/>
    </row>
    <row r="114" spans="1:1" x14ac:dyDescent="0.25">
      <c r="A114" s="981"/>
    </row>
    <row r="115" spans="1:1" x14ac:dyDescent="0.25">
      <c r="A115" s="981"/>
    </row>
    <row r="116" spans="1:1" x14ac:dyDescent="0.25">
      <c r="A116" s="981"/>
    </row>
    <row r="117" spans="1:1" x14ac:dyDescent="0.25">
      <c r="A117" s="981"/>
    </row>
    <row r="118" spans="1:1" x14ac:dyDescent="0.25">
      <c r="A118" s="981"/>
    </row>
    <row r="119" spans="1:1" x14ac:dyDescent="0.25">
      <c r="A119" s="981"/>
    </row>
    <row r="120" spans="1:1" x14ac:dyDescent="0.25">
      <c r="A120" s="981"/>
    </row>
    <row r="121" spans="1:1" x14ac:dyDescent="0.25">
      <c r="A121" s="981"/>
    </row>
    <row r="122" spans="1:1" x14ac:dyDescent="0.25">
      <c r="A122" s="981"/>
    </row>
  </sheetData>
  <printOptions horizontalCentered="1"/>
  <pageMargins left="0.25" right="0.25" top="0.5" bottom="0.5" header="0.25" footer="0.25"/>
  <pageSetup scale="71" orientation="landscape" r:id="rId1"/>
  <headerFooter alignWithMargins="0">
    <oddFooter>&amp;L&amp;"Times New Roman,Regular"&amp;14&amp;F&amp;C&amp;"Times New Roman,Regular"&amp;14Page 2 of 3&amp;R&amp;"Times New Roman,Regular"&amp;14&amp;A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K122"/>
  <sheetViews>
    <sheetView zoomScale="80" zoomScaleNormal="80" workbookViewId="0"/>
  </sheetViews>
  <sheetFormatPr defaultColWidth="9.1796875" defaultRowHeight="12.5" x14ac:dyDescent="0.25"/>
  <cols>
    <col min="1" max="1" width="5.54296875" style="287" customWidth="1"/>
    <col min="2" max="2" width="45.54296875" style="287" customWidth="1"/>
    <col min="3" max="8" width="15.54296875" style="287" customWidth="1"/>
    <col min="9" max="9" width="17.54296875" style="287" customWidth="1"/>
    <col min="10" max="10" width="40.54296875" style="287" customWidth="1"/>
    <col min="11" max="11" width="5.54296875" style="287" customWidth="1"/>
    <col min="12" max="16384" width="9.1796875" style="287"/>
  </cols>
  <sheetData>
    <row r="2" spans="1:11" ht="15.5" x14ac:dyDescent="0.25">
      <c r="A2" s="5" t="s">
        <v>251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5" x14ac:dyDescent="0.25">
      <c r="A3" s="5" t="s">
        <v>228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5" x14ac:dyDescent="0.25">
      <c r="A4" s="5" t="str">
        <f>'Stmt BH - Page 1'!A4:J4</f>
        <v>Transmission Revenue Balancing Account Adjustment (TRBAA) Revenue Data To Reflect Present Rates per ER20-524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.5" x14ac:dyDescent="0.25">
      <c r="A5" s="487" t="str">
        <f>'Stmt BH - Page 1'!A5</f>
        <v>Rate Effective Period - Twelve Months Ending December 31, 2021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" thickBot="1" x14ac:dyDescent="0.4">
      <c r="A6" s="474"/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5" x14ac:dyDescent="0.3">
      <c r="A7" s="82"/>
      <c r="B7" s="82"/>
      <c r="C7" s="684" t="s">
        <v>233</v>
      </c>
      <c r="D7" s="684" t="s">
        <v>234</v>
      </c>
      <c r="E7" s="684" t="s">
        <v>235</v>
      </c>
      <c r="F7" s="684" t="s">
        <v>236</v>
      </c>
      <c r="G7" s="684" t="s">
        <v>237</v>
      </c>
      <c r="H7" s="684" t="s">
        <v>238</v>
      </c>
      <c r="I7" s="684" t="s">
        <v>239</v>
      </c>
      <c r="J7" s="684" t="s">
        <v>239</v>
      </c>
      <c r="K7" s="82"/>
    </row>
    <row r="8" spans="1:11" ht="15" x14ac:dyDescent="0.3">
      <c r="A8" s="82" t="s">
        <v>93</v>
      </c>
      <c r="B8" s="82"/>
      <c r="C8" s="676">
        <f>'Stmt BH - Page 1'!C26</f>
        <v>44378</v>
      </c>
      <c r="D8" s="676">
        <f>'Stmt BH - Page 1'!D26</f>
        <v>44409</v>
      </c>
      <c r="E8" s="676">
        <f>'Stmt BH - Page 1'!E26</f>
        <v>44440</v>
      </c>
      <c r="F8" s="676">
        <f>'Stmt BH - Page 1'!F26</f>
        <v>44470</v>
      </c>
      <c r="G8" s="676">
        <f>'Stmt BH - Page 1'!G26</f>
        <v>44501</v>
      </c>
      <c r="H8" s="676">
        <f>'Stmt BH - Page 1'!H26</f>
        <v>44531</v>
      </c>
      <c r="I8" s="676" t="s">
        <v>88</v>
      </c>
      <c r="J8" s="677"/>
      <c r="K8" s="82" t="s">
        <v>93</v>
      </c>
    </row>
    <row r="9" spans="1:11" ht="15.5" thickBot="1" x14ac:dyDescent="0.35">
      <c r="A9" s="174" t="s">
        <v>87</v>
      </c>
      <c r="B9" s="174" t="s">
        <v>221</v>
      </c>
      <c r="C9" s="174" t="s">
        <v>242</v>
      </c>
      <c r="D9" s="174" t="s">
        <v>242</v>
      </c>
      <c r="E9" s="174" t="s">
        <v>242</v>
      </c>
      <c r="F9" s="174" t="s">
        <v>242</v>
      </c>
      <c r="G9" s="174" t="s">
        <v>242</v>
      </c>
      <c r="H9" s="174" t="s">
        <v>242</v>
      </c>
      <c r="I9" s="174" t="s">
        <v>242</v>
      </c>
      <c r="J9" s="174" t="s">
        <v>91</v>
      </c>
      <c r="K9" s="174" t="s">
        <v>87</v>
      </c>
    </row>
    <row r="10" spans="1:11" ht="15.5" x14ac:dyDescent="0.35">
      <c r="A10" s="10"/>
      <c r="B10" s="10"/>
      <c r="C10" s="81"/>
      <c r="D10" s="10"/>
      <c r="E10" s="10"/>
      <c r="F10" s="10"/>
      <c r="G10" s="10"/>
      <c r="H10" s="10"/>
      <c r="I10" s="10"/>
      <c r="J10" s="10"/>
      <c r="K10" s="10"/>
    </row>
    <row r="11" spans="1:11" ht="15.5" x14ac:dyDescent="0.35">
      <c r="A11" s="10">
        <v>1</v>
      </c>
      <c r="B11" s="11" t="s">
        <v>223</v>
      </c>
      <c r="C11" s="31">
        <f>'WP 1.2 Forecast Sales'!I6*1000</f>
        <v>484842956</v>
      </c>
      <c r="D11" s="31">
        <f>'WP 1.2 Forecast Sales'!J6*1000</f>
        <v>552100669</v>
      </c>
      <c r="E11" s="31">
        <f>'WP 1.2 Forecast Sales'!K6*1000</f>
        <v>594421452</v>
      </c>
      <c r="F11" s="31">
        <f>'WP 1.2 Forecast Sales'!L6*1000</f>
        <v>492160118</v>
      </c>
      <c r="G11" s="31">
        <f>'WP 1.2 Forecast Sales'!M6*1000</f>
        <v>440122023</v>
      </c>
      <c r="H11" s="31">
        <f>'WP 1.2 Forecast Sales'!N6*1000</f>
        <v>507637958</v>
      </c>
      <c r="I11" s="31">
        <f>SUM(C11:H11)+SUM('Stmt BH - Page 2'!C11:H11)</f>
        <v>5610100651</v>
      </c>
      <c r="J11" s="285" t="s">
        <v>265</v>
      </c>
      <c r="K11" s="10">
        <v>1</v>
      </c>
    </row>
    <row r="12" spans="1:11" ht="15.5" x14ac:dyDescent="0.35">
      <c r="A12" s="10">
        <f>A11+1</f>
        <v>2</v>
      </c>
      <c r="B12" s="449"/>
      <c r="C12" s="465"/>
      <c r="D12" s="465"/>
      <c r="E12" s="465"/>
      <c r="F12" s="465"/>
      <c r="G12" s="465"/>
      <c r="H12" s="465"/>
      <c r="I12" s="465"/>
      <c r="J12" s="466"/>
      <c r="K12" s="10">
        <f>K11+1</f>
        <v>2</v>
      </c>
    </row>
    <row r="13" spans="1:11" ht="15.5" x14ac:dyDescent="0.35">
      <c r="A13" s="10">
        <f t="shared" ref="A13:A25" si="0">A12+1</f>
        <v>3</v>
      </c>
      <c r="B13" s="11" t="s">
        <v>243</v>
      </c>
      <c r="C13" s="31">
        <f>'WP 1.2 Forecast Sales'!I7*1000</f>
        <v>197992076</v>
      </c>
      <c r="D13" s="31">
        <f>'WP 1.2 Forecast Sales'!J7*1000</f>
        <v>204486167</v>
      </c>
      <c r="E13" s="31">
        <f>'WP 1.2 Forecast Sales'!K7*1000</f>
        <v>210494373</v>
      </c>
      <c r="F13" s="31">
        <f>'WP 1.2 Forecast Sales'!L7*1000</f>
        <v>191541046</v>
      </c>
      <c r="G13" s="31">
        <f>'WP 1.2 Forecast Sales'!M7*1000</f>
        <v>176670434</v>
      </c>
      <c r="H13" s="31">
        <f>'WP 1.2 Forecast Sales'!N7*1000</f>
        <v>170744529</v>
      </c>
      <c r="I13" s="31">
        <f>SUM(C13:H13)+SUM('Stmt BH - Page 2'!C13:H13)</f>
        <v>2171173760</v>
      </c>
      <c r="J13" s="285" t="s">
        <v>266</v>
      </c>
      <c r="K13" s="10">
        <f t="shared" ref="K13:K25" si="1">K12+1</f>
        <v>3</v>
      </c>
    </row>
    <row r="14" spans="1:11" ht="15.5" x14ac:dyDescent="0.35">
      <c r="A14" s="10">
        <f t="shared" si="0"/>
        <v>4</v>
      </c>
      <c r="B14" s="451"/>
      <c r="C14" s="460"/>
      <c r="D14" s="460"/>
      <c r="E14" s="460"/>
      <c r="F14" s="460"/>
      <c r="G14" s="460"/>
      <c r="H14" s="460"/>
      <c r="I14" s="31"/>
      <c r="J14" s="467"/>
      <c r="K14" s="10">
        <f t="shared" si="1"/>
        <v>4</v>
      </c>
    </row>
    <row r="15" spans="1:11" ht="15.5" x14ac:dyDescent="0.35">
      <c r="A15" s="10">
        <f t="shared" si="0"/>
        <v>5</v>
      </c>
      <c r="B15" s="17" t="s">
        <v>326</v>
      </c>
      <c r="C15" s="31">
        <f>'WP 1.2 Forecast Sales'!I8*1000</f>
        <v>857604414.00000012</v>
      </c>
      <c r="D15" s="31">
        <f>'WP 1.2 Forecast Sales'!J8*1000</f>
        <v>874259564</v>
      </c>
      <c r="E15" s="31">
        <f>'WP 1.2 Forecast Sales'!K8*1000</f>
        <v>914938578.00000012</v>
      </c>
      <c r="F15" s="31">
        <f>'WP 1.2 Forecast Sales'!L8*1000</f>
        <v>840030877</v>
      </c>
      <c r="G15" s="31">
        <f>'WP 1.2 Forecast Sales'!M8*1000</f>
        <v>796073220</v>
      </c>
      <c r="H15" s="31">
        <f>'WP 1.2 Forecast Sales'!N8*1000</f>
        <v>747346880.99999988</v>
      </c>
      <c r="I15" s="31">
        <f>SUM(C15:H15)+SUM('Stmt BH - Page 2'!C15:H15)</f>
        <v>9455662799</v>
      </c>
      <c r="J15" s="285" t="s">
        <v>267</v>
      </c>
      <c r="K15" s="10">
        <f t="shared" si="1"/>
        <v>5</v>
      </c>
    </row>
    <row r="16" spans="1:11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468"/>
      <c r="K16" s="10">
        <f t="shared" si="1"/>
        <v>6</v>
      </c>
    </row>
    <row r="17" spans="1:11" ht="15.5" x14ac:dyDescent="0.35">
      <c r="A17" s="10">
        <f t="shared" si="0"/>
        <v>7</v>
      </c>
      <c r="B17" s="11" t="s">
        <v>177</v>
      </c>
      <c r="C17" s="31">
        <f>'WP 1.2 Forecast Sales'!I9*1000</f>
        <v>11177232</v>
      </c>
      <c r="D17" s="31">
        <f>'WP 1.2 Forecast Sales'!J9*1000</f>
        <v>11108378</v>
      </c>
      <c r="E17" s="31">
        <f>'WP 1.2 Forecast Sales'!K9*1000</f>
        <v>11472287</v>
      </c>
      <c r="F17" s="31">
        <f>'WP 1.2 Forecast Sales'!L9*1000</f>
        <v>9997882</v>
      </c>
      <c r="G17" s="31">
        <f>'WP 1.2 Forecast Sales'!M9*1000</f>
        <v>9205082</v>
      </c>
      <c r="H17" s="31">
        <f>'WP 1.2 Forecast Sales'!N9*1000</f>
        <v>7443040</v>
      </c>
      <c r="I17" s="31">
        <f>SUM(C17:H17)+SUM('Stmt BH - Page 2'!C17:H17)</f>
        <v>103854261</v>
      </c>
      <c r="J17" s="285" t="s">
        <v>268</v>
      </c>
      <c r="K17" s="10">
        <f t="shared" si="1"/>
        <v>7</v>
      </c>
    </row>
    <row r="18" spans="1:11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468"/>
      <c r="K18" s="10">
        <f t="shared" si="1"/>
        <v>8</v>
      </c>
    </row>
    <row r="19" spans="1:11" ht="15.5" x14ac:dyDescent="0.35">
      <c r="A19" s="10">
        <f t="shared" si="0"/>
        <v>9</v>
      </c>
      <c r="B19" s="11" t="s">
        <v>176</v>
      </c>
      <c r="C19" s="31">
        <f>'WP 1.2 Forecast Sales'!I10*1000</f>
        <v>21062940</v>
      </c>
      <c r="D19" s="31">
        <f>'WP 1.2 Forecast Sales'!J10*1000</f>
        <v>19858903</v>
      </c>
      <c r="E19" s="31">
        <f>'WP 1.2 Forecast Sales'!K10*1000</f>
        <v>21475097</v>
      </c>
      <c r="F19" s="31">
        <f>'WP 1.2 Forecast Sales'!L10*1000</f>
        <v>19116797</v>
      </c>
      <c r="G19" s="31">
        <f>'WP 1.2 Forecast Sales'!M10*1000</f>
        <v>17939688</v>
      </c>
      <c r="H19" s="31">
        <f>'WP 1.2 Forecast Sales'!N10*1000</f>
        <v>15539447</v>
      </c>
      <c r="I19" s="31">
        <f>SUM(C19:H19)+SUM('Stmt BH - Page 2'!C19:H19)</f>
        <v>211996828</v>
      </c>
      <c r="J19" s="285" t="s">
        <v>269</v>
      </c>
      <c r="K19" s="10">
        <f t="shared" si="1"/>
        <v>9</v>
      </c>
    </row>
    <row r="20" spans="1:11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468"/>
      <c r="K20" s="10">
        <f t="shared" si="1"/>
        <v>10</v>
      </c>
    </row>
    <row r="21" spans="1:11" ht="15.5" x14ac:dyDescent="0.35">
      <c r="A21" s="10">
        <f t="shared" si="0"/>
        <v>11</v>
      </c>
      <c r="B21" s="11" t="s">
        <v>244</v>
      </c>
      <c r="C21" s="38">
        <f>'WP 1.2 Forecast Sales'!I11*1000</f>
        <v>7227383</v>
      </c>
      <c r="D21" s="38">
        <f>'WP 1.2 Forecast Sales'!J11*1000</f>
        <v>6871495</v>
      </c>
      <c r="E21" s="38">
        <f>'WP 1.2 Forecast Sales'!K11*1000</f>
        <v>7217507</v>
      </c>
      <c r="F21" s="38">
        <f>'WP 1.2 Forecast Sales'!L11*1000</f>
        <v>6939232</v>
      </c>
      <c r="G21" s="38">
        <f>'WP 1.2 Forecast Sales'!M11*1000</f>
        <v>7005222</v>
      </c>
      <c r="H21" s="38">
        <f>'WP 1.2 Forecast Sales'!N11*1000</f>
        <v>7239066</v>
      </c>
      <c r="I21" s="38">
        <f>SUM(C21:H21)+SUM('Stmt BH - Page 2'!C21:H21)</f>
        <v>84935577</v>
      </c>
      <c r="J21" s="285" t="s">
        <v>270</v>
      </c>
      <c r="K21" s="10">
        <f t="shared" si="1"/>
        <v>11</v>
      </c>
    </row>
    <row r="22" spans="1:11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31"/>
      <c r="K22" s="10">
        <f t="shared" si="1"/>
        <v>12</v>
      </c>
    </row>
    <row r="23" spans="1:11" ht="16" thickBot="1" x14ac:dyDescent="0.4">
      <c r="A23" s="10">
        <f t="shared" si="0"/>
        <v>13</v>
      </c>
      <c r="B23" s="449" t="s">
        <v>33</v>
      </c>
      <c r="C23" s="552">
        <f>SUM(C11:C21)</f>
        <v>1579907001</v>
      </c>
      <c r="D23" s="552">
        <f t="shared" ref="D23:I23" si="2">SUM(D11:D21)</f>
        <v>1668685176</v>
      </c>
      <c r="E23" s="552">
        <f t="shared" si="2"/>
        <v>1760019294</v>
      </c>
      <c r="F23" s="552">
        <f t="shared" si="2"/>
        <v>1559785952</v>
      </c>
      <c r="G23" s="552">
        <f t="shared" si="2"/>
        <v>1447015669</v>
      </c>
      <c r="H23" s="552">
        <f t="shared" si="2"/>
        <v>1455950921</v>
      </c>
      <c r="I23" s="552">
        <f t="shared" si="2"/>
        <v>17637723876</v>
      </c>
      <c r="J23" s="471" t="s">
        <v>245</v>
      </c>
      <c r="K23" s="10">
        <f t="shared" si="1"/>
        <v>13</v>
      </c>
    </row>
    <row r="24" spans="1:11" ht="16.5" thickTop="1" thickBot="1" x14ac:dyDescent="0.4">
      <c r="A24" s="63">
        <f t="shared" si="0"/>
        <v>14</v>
      </c>
      <c r="B24" s="488"/>
      <c r="C24" s="980"/>
      <c r="D24" s="64"/>
      <c r="E24" s="64"/>
      <c r="F24" s="64"/>
      <c r="G24" s="64"/>
      <c r="H24" s="64"/>
      <c r="I24" s="64"/>
      <c r="J24" s="64"/>
      <c r="K24" s="63">
        <f t="shared" si="1"/>
        <v>14</v>
      </c>
    </row>
    <row r="25" spans="1:11" ht="15.5" x14ac:dyDescent="0.35">
      <c r="A25" s="10">
        <f t="shared" si="0"/>
        <v>15</v>
      </c>
      <c r="B25" s="489"/>
      <c r="C25" s="476"/>
      <c r="D25" s="476"/>
      <c r="E25" s="476"/>
      <c r="F25" s="476"/>
      <c r="G25" s="476"/>
      <c r="H25" s="476"/>
      <c r="I25" s="17"/>
      <c r="J25" s="17"/>
      <c r="K25" s="10">
        <f t="shared" si="1"/>
        <v>15</v>
      </c>
    </row>
    <row r="26" spans="1:11" ht="16" thickBot="1" x14ac:dyDescent="0.4">
      <c r="A26" s="63">
        <f>A25+1</f>
        <v>16</v>
      </c>
      <c r="B26" s="488"/>
      <c r="C26" s="63" t="s">
        <v>246</v>
      </c>
      <c r="D26" s="63" t="s">
        <v>246</v>
      </c>
      <c r="E26" s="63" t="s">
        <v>246</v>
      </c>
      <c r="F26" s="63" t="s">
        <v>246</v>
      </c>
      <c r="G26" s="63" t="s">
        <v>246</v>
      </c>
      <c r="H26" s="63" t="s">
        <v>246</v>
      </c>
      <c r="I26" s="63"/>
      <c r="J26" s="63"/>
      <c r="K26" s="63">
        <f>K25+1</f>
        <v>16</v>
      </c>
    </row>
    <row r="27" spans="1:11" ht="15.5" x14ac:dyDescent="0.35">
      <c r="A27" s="9">
        <f>A26+1</f>
        <v>17</v>
      </c>
      <c r="B27" s="8"/>
      <c r="C27" s="82"/>
      <c r="D27" s="9"/>
      <c r="E27" s="9"/>
      <c r="F27" s="9"/>
      <c r="G27" s="9"/>
      <c r="H27" s="9"/>
      <c r="I27" s="9"/>
      <c r="J27" s="477" t="str">
        <f>'Stmt BH - Page 2'!I27</f>
        <v>Statement BL (Retail); Page 1; Line 27</v>
      </c>
      <c r="K27" s="9">
        <f>K26+1</f>
        <v>17</v>
      </c>
    </row>
    <row r="28" spans="1:11" ht="15.5" x14ac:dyDescent="0.35">
      <c r="A28" s="10">
        <f>A27+1</f>
        <v>18</v>
      </c>
      <c r="B28" s="11" t="str">
        <f>'Stmt BH - Page 2'!B28</f>
        <v>Retail TRBAA Rate ($/kWh) @ Present Rate</v>
      </c>
      <c r="C28" s="450">
        <f>'Stmt BH - Page 2'!C28</f>
        <v>-1.08E-3</v>
      </c>
      <c r="D28" s="450">
        <f>$C28</f>
        <v>-1.08E-3</v>
      </c>
      <c r="E28" s="450">
        <f>$C28</f>
        <v>-1.08E-3</v>
      </c>
      <c r="F28" s="450">
        <f>$C28</f>
        <v>-1.08E-3</v>
      </c>
      <c r="G28" s="450">
        <f>$C28</f>
        <v>-1.08E-3</v>
      </c>
      <c r="H28" s="450">
        <f>$C28</f>
        <v>-1.08E-3</v>
      </c>
      <c r="I28" s="31"/>
      <c r="J28" s="466" t="str">
        <f>'Stmt BH - Page 2'!I28</f>
        <v>FERC Docket No. ER20-524-000</v>
      </c>
      <c r="K28" s="10">
        <f>K27+1</f>
        <v>18</v>
      </c>
    </row>
    <row r="29" spans="1:11" ht="16" thickBot="1" x14ac:dyDescent="0.4">
      <c r="A29" s="63">
        <f>A28+1</f>
        <v>19</v>
      </c>
      <c r="B29" s="488"/>
      <c r="C29" s="64"/>
      <c r="D29" s="64"/>
      <c r="E29" s="64"/>
      <c r="F29" s="64"/>
      <c r="G29" s="64"/>
      <c r="H29" s="64"/>
      <c r="I29" s="64"/>
      <c r="J29" s="478"/>
      <c r="K29" s="63">
        <f>K28+1</f>
        <v>19</v>
      </c>
    </row>
    <row r="30" spans="1:11" ht="15.5" x14ac:dyDescent="0.35">
      <c r="A30" s="10">
        <f t="shared" ref="A30:A45" si="3">A29+1</f>
        <v>20</v>
      </c>
      <c r="B30" s="11"/>
      <c r="C30" s="292"/>
      <c r="D30" s="292"/>
      <c r="E30" s="292"/>
      <c r="F30" s="292"/>
      <c r="G30" s="292"/>
      <c r="H30" s="292"/>
      <c r="I30" s="31"/>
      <c r="J30" s="17"/>
      <c r="K30" s="10">
        <f t="shared" ref="K30:K45" si="4">K29+1</f>
        <v>20</v>
      </c>
    </row>
    <row r="31" spans="1:11" ht="31.5" thickBot="1" x14ac:dyDescent="0.4">
      <c r="A31" s="63">
        <f t="shared" si="3"/>
        <v>21</v>
      </c>
      <c r="B31" s="488"/>
      <c r="C31" s="479" t="s">
        <v>252</v>
      </c>
      <c r="D31" s="479" t="s">
        <v>252</v>
      </c>
      <c r="E31" s="479" t="s">
        <v>252</v>
      </c>
      <c r="F31" s="479" t="s">
        <v>252</v>
      </c>
      <c r="G31" s="479" t="s">
        <v>252</v>
      </c>
      <c r="H31" s="479" t="s">
        <v>252</v>
      </c>
      <c r="I31" s="479" t="s">
        <v>252</v>
      </c>
      <c r="J31" s="63"/>
      <c r="K31" s="63">
        <f t="shared" si="4"/>
        <v>21</v>
      </c>
    </row>
    <row r="32" spans="1:11" ht="15.5" x14ac:dyDescent="0.35">
      <c r="A32" s="10">
        <f t="shared" si="3"/>
        <v>22</v>
      </c>
      <c r="B32" s="11"/>
      <c r="C32" s="10"/>
      <c r="D32" s="10"/>
      <c r="E32" s="10"/>
      <c r="F32" s="10"/>
      <c r="G32" s="10"/>
      <c r="H32" s="10"/>
      <c r="I32" s="10"/>
      <c r="J32" s="81"/>
      <c r="K32" s="10">
        <f t="shared" si="4"/>
        <v>22</v>
      </c>
    </row>
    <row r="33" spans="1:11" ht="15.5" x14ac:dyDescent="0.35">
      <c r="A33" s="10">
        <f t="shared" si="3"/>
        <v>23</v>
      </c>
      <c r="B33" s="11" t="s">
        <v>223</v>
      </c>
      <c r="C33" s="162">
        <f>C11*C$28</f>
        <v>-523630.39247999998</v>
      </c>
      <c r="D33" s="162">
        <f t="shared" ref="D33:H33" si="5">D11*D$28</f>
        <v>-596268.72251999995</v>
      </c>
      <c r="E33" s="162">
        <f t="shared" si="5"/>
        <v>-641975.16816</v>
      </c>
      <c r="F33" s="162">
        <f t="shared" si="5"/>
        <v>-531532.92744</v>
      </c>
      <c r="G33" s="162">
        <f t="shared" si="5"/>
        <v>-475331.78483999998</v>
      </c>
      <c r="H33" s="162">
        <f t="shared" si="5"/>
        <v>-548248.99464000005</v>
      </c>
      <c r="I33" s="162">
        <f>SUM('Stmt BH - Page 2'!C33:H33)+SUM('Stmt BH - Page 3'!C33:H33)</f>
        <v>-6058908.7030800004</v>
      </c>
      <c r="J33" s="26" t="s">
        <v>256</v>
      </c>
      <c r="K33" s="10">
        <f t="shared" si="4"/>
        <v>23</v>
      </c>
    </row>
    <row r="34" spans="1:11" ht="15.5" x14ac:dyDescent="0.35">
      <c r="A34" s="10">
        <f t="shared" si="3"/>
        <v>24</v>
      </c>
      <c r="B34" s="449"/>
      <c r="C34" s="465"/>
      <c r="D34" s="465"/>
      <c r="E34" s="465"/>
      <c r="F34" s="465"/>
      <c r="G34" s="465"/>
      <c r="H34" s="465"/>
      <c r="I34" s="465"/>
      <c r="J34" s="471"/>
      <c r="K34" s="10">
        <f t="shared" si="4"/>
        <v>24</v>
      </c>
    </row>
    <row r="35" spans="1:11" ht="15.5" x14ac:dyDescent="0.35">
      <c r="A35" s="10">
        <f t="shared" si="3"/>
        <v>25</v>
      </c>
      <c r="B35" s="11" t="s">
        <v>243</v>
      </c>
      <c r="C35" s="46">
        <f>C13*C$28</f>
        <v>-213831.44208000001</v>
      </c>
      <c r="D35" s="46">
        <f t="shared" ref="D35:H35" si="6">D13*D$28</f>
        <v>-220845.06036</v>
      </c>
      <c r="E35" s="46">
        <f t="shared" si="6"/>
        <v>-227333.92284000001</v>
      </c>
      <c r="F35" s="46">
        <f t="shared" si="6"/>
        <v>-206864.32968</v>
      </c>
      <c r="G35" s="46">
        <f t="shared" si="6"/>
        <v>-190804.06872000001</v>
      </c>
      <c r="H35" s="46">
        <f t="shared" si="6"/>
        <v>-184404.09132000001</v>
      </c>
      <c r="I35" s="46">
        <f>SUM('Stmt BH - Page 2'!C35:H35)+SUM('Stmt BH - Page 3'!C35:H35)</f>
        <v>-2344867.6607999997</v>
      </c>
      <c r="J35" s="26" t="s">
        <v>380</v>
      </c>
      <c r="K35" s="10">
        <f t="shared" si="4"/>
        <v>25</v>
      </c>
    </row>
    <row r="36" spans="1:11" ht="15.5" x14ac:dyDescent="0.35">
      <c r="A36" s="10">
        <f t="shared" si="3"/>
        <v>26</v>
      </c>
      <c r="B36" s="451"/>
      <c r="C36" s="460"/>
      <c r="D36" s="460"/>
      <c r="E36" s="460"/>
      <c r="F36" s="460"/>
      <c r="G36" s="460"/>
      <c r="H36" s="460"/>
      <c r="I36" s="46"/>
      <c r="J36" s="26"/>
      <c r="K36" s="10">
        <f t="shared" si="4"/>
        <v>26</v>
      </c>
    </row>
    <row r="37" spans="1:11" ht="15.5" x14ac:dyDescent="0.35">
      <c r="A37" s="10">
        <f t="shared" si="3"/>
        <v>27</v>
      </c>
      <c r="B37" s="17" t="s">
        <v>326</v>
      </c>
      <c r="C37" s="46">
        <f>C15*C$28</f>
        <v>-926212.76712000009</v>
      </c>
      <c r="D37" s="46">
        <f t="shared" ref="D37:H37" si="7">D15*D$28</f>
        <v>-944200.32912000001</v>
      </c>
      <c r="E37" s="46">
        <f t="shared" si="7"/>
        <v>-988133.66424000019</v>
      </c>
      <c r="F37" s="46">
        <f t="shared" si="7"/>
        <v>-907233.34716</v>
      </c>
      <c r="G37" s="46">
        <f t="shared" si="7"/>
        <v>-859759.07759999996</v>
      </c>
      <c r="H37" s="46">
        <f t="shared" si="7"/>
        <v>-807134.63147999987</v>
      </c>
      <c r="I37" s="46">
        <f>SUM('Stmt BH - Page 2'!C37:H37)+SUM('Stmt BH - Page 3'!C37:H37)</f>
        <v>-10212115.82292</v>
      </c>
      <c r="J37" s="26" t="s">
        <v>381</v>
      </c>
      <c r="K37" s="10">
        <f t="shared" si="4"/>
        <v>27</v>
      </c>
    </row>
    <row r="38" spans="1:11" ht="15.5" x14ac:dyDescent="0.35">
      <c r="A38" s="10">
        <f t="shared" si="3"/>
        <v>28</v>
      </c>
      <c r="B38" s="11"/>
      <c r="C38" s="46"/>
      <c r="D38" s="46"/>
      <c r="E38" s="46"/>
      <c r="F38" s="46"/>
      <c r="G38" s="46"/>
      <c r="H38" s="46"/>
      <c r="I38" s="46"/>
      <c r="J38" s="26"/>
      <c r="K38" s="10">
        <f t="shared" si="4"/>
        <v>28</v>
      </c>
    </row>
    <row r="39" spans="1:11" ht="15.5" x14ac:dyDescent="0.35">
      <c r="A39" s="10">
        <f t="shared" si="3"/>
        <v>29</v>
      </c>
      <c r="B39" s="11" t="s">
        <v>177</v>
      </c>
      <c r="C39" s="46">
        <f>C17*C$28</f>
        <v>-12071.41056</v>
      </c>
      <c r="D39" s="46">
        <f t="shared" ref="D39:H39" si="8">D17*D$28</f>
        <v>-11997.04824</v>
      </c>
      <c r="E39" s="46">
        <f t="shared" si="8"/>
        <v>-12390.069960000001</v>
      </c>
      <c r="F39" s="46">
        <f t="shared" si="8"/>
        <v>-10797.71256</v>
      </c>
      <c r="G39" s="46">
        <f t="shared" si="8"/>
        <v>-9941.4885599999998</v>
      </c>
      <c r="H39" s="46">
        <f t="shared" si="8"/>
        <v>-8038.4831999999997</v>
      </c>
      <c r="I39" s="46">
        <f>SUM('Stmt BH - Page 2'!C39:H39)+SUM('Stmt BH - Page 3'!C39:H39)</f>
        <v>-112162.60188</v>
      </c>
      <c r="J39" s="26" t="s">
        <v>382</v>
      </c>
      <c r="K39" s="10">
        <f t="shared" si="4"/>
        <v>29</v>
      </c>
    </row>
    <row r="40" spans="1:11" ht="15.5" x14ac:dyDescent="0.35">
      <c r="A40" s="10">
        <f t="shared" si="3"/>
        <v>30</v>
      </c>
      <c r="B40" s="11"/>
      <c r="C40" s="46"/>
      <c r="D40" s="46"/>
      <c r="E40" s="46"/>
      <c r="F40" s="46"/>
      <c r="G40" s="46"/>
      <c r="H40" s="46"/>
      <c r="I40" s="46"/>
      <c r="J40" s="26"/>
      <c r="K40" s="10">
        <f t="shared" si="4"/>
        <v>30</v>
      </c>
    </row>
    <row r="41" spans="1:11" ht="15.5" x14ac:dyDescent="0.35">
      <c r="A41" s="10">
        <f t="shared" si="3"/>
        <v>31</v>
      </c>
      <c r="B41" s="11" t="s">
        <v>176</v>
      </c>
      <c r="C41" s="46">
        <f>C19*C$28</f>
        <v>-22747.975200000001</v>
      </c>
      <c r="D41" s="46">
        <f t="shared" ref="D41:H41" si="9">D19*D$28</f>
        <v>-21447.615239999999</v>
      </c>
      <c r="E41" s="46">
        <f t="shared" si="9"/>
        <v>-23193.104760000002</v>
      </c>
      <c r="F41" s="46">
        <f t="shared" si="9"/>
        <v>-20646.140760000002</v>
      </c>
      <c r="G41" s="46">
        <f t="shared" si="9"/>
        <v>-19374.86304</v>
      </c>
      <c r="H41" s="46">
        <f t="shared" si="9"/>
        <v>-16782.602760000002</v>
      </c>
      <c r="I41" s="46">
        <f>SUM('Stmt BH - Page 2'!C41:H41)+SUM('Stmt BH - Page 3'!C41:H41)</f>
        <v>-228956.57423999999</v>
      </c>
      <c r="J41" s="26" t="s">
        <v>383</v>
      </c>
      <c r="K41" s="10">
        <f t="shared" si="4"/>
        <v>31</v>
      </c>
    </row>
    <row r="42" spans="1:11" ht="15.5" x14ac:dyDescent="0.35">
      <c r="A42" s="10">
        <f t="shared" si="3"/>
        <v>32</v>
      </c>
      <c r="B42" s="11"/>
      <c r="C42" s="46"/>
      <c r="D42" s="46"/>
      <c r="E42" s="46"/>
      <c r="F42" s="46"/>
      <c r="G42" s="46"/>
      <c r="H42" s="46"/>
      <c r="I42" s="46"/>
      <c r="J42" s="26"/>
      <c r="K42" s="10">
        <f t="shared" si="4"/>
        <v>32</v>
      </c>
    </row>
    <row r="43" spans="1:11" ht="15.5" x14ac:dyDescent="0.35">
      <c r="A43" s="10">
        <f t="shared" si="3"/>
        <v>33</v>
      </c>
      <c r="B43" s="11" t="s">
        <v>244</v>
      </c>
      <c r="C43" s="55">
        <f>C21*C$28</f>
        <v>-7805.5736400000005</v>
      </c>
      <c r="D43" s="55">
        <f t="shared" ref="D43:H43" si="10">D21*D$28</f>
        <v>-7421.2146000000002</v>
      </c>
      <c r="E43" s="55">
        <f t="shared" si="10"/>
        <v>-7794.9075599999996</v>
      </c>
      <c r="F43" s="55">
        <f t="shared" si="10"/>
        <v>-7494.3705600000003</v>
      </c>
      <c r="G43" s="55">
        <f t="shared" si="10"/>
        <v>-7565.63976</v>
      </c>
      <c r="H43" s="55">
        <f t="shared" si="10"/>
        <v>-7818.19128</v>
      </c>
      <c r="I43" s="46">
        <f>SUM('Stmt BH - Page 2'!C43:H43)+SUM('Stmt BH - Page 3'!C43:H43)</f>
        <v>-91730.423160000006</v>
      </c>
      <c r="J43" s="26" t="s">
        <v>384</v>
      </c>
      <c r="K43" s="10">
        <f t="shared" si="4"/>
        <v>33</v>
      </c>
    </row>
    <row r="44" spans="1:11" ht="15.5" x14ac:dyDescent="0.35">
      <c r="A44" s="10">
        <f t="shared" si="3"/>
        <v>34</v>
      </c>
      <c r="B44" s="11"/>
      <c r="C44" s="157"/>
      <c r="D44" s="157"/>
      <c r="E44" s="157"/>
      <c r="F44" s="157"/>
      <c r="G44" s="157"/>
      <c r="H44" s="157"/>
      <c r="I44" s="157"/>
      <c r="J44" s="26"/>
      <c r="K44" s="10">
        <f t="shared" si="4"/>
        <v>34</v>
      </c>
    </row>
    <row r="45" spans="1:11" ht="16" thickBot="1" x14ac:dyDescent="0.4">
      <c r="A45" s="10">
        <f t="shared" si="3"/>
        <v>35</v>
      </c>
      <c r="B45" s="449" t="s">
        <v>33</v>
      </c>
      <c r="C45" s="461">
        <f>SUM(C33:C43)</f>
        <v>-1706299.5610800001</v>
      </c>
      <c r="D45" s="461">
        <f t="shared" ref="D45:I45" si="11">SUM(D33:D43)</f>
        <v>-1802179.9900799999</v>
      </c>
      <c r="E45" s="461">
        <f t="shared" si="11"/>
        <v>-1900820.8375200003</v>
      </c>
      <c r="F45" s="461">
        <f t="shared" si="11"/>
        <v>-1684568.82816</v>
      </c>
      <c r="G45" s="461">
        <f t="shared" si="11"/>
        <v>-1562776.9225199998</v>
      </c>
      <c r="H45" s="461">
        <f t="shared" si="11"/>
        <v>-1572426.9946799995</v>
      </c>
      <c r="I45" s="461">
        <f t="shared" si="11"/>
        <v>-19048741.786080003</v>
      </c>
      <c r="J45" s="472" t="s">
        <v>385</v>
      </c>
      <c r="K45" s="10">
        <f t="shared" si="4"/>
        <v>35</v>
      </c>
    </row>
    <row r="46" spans="1:11" ht="16.5" thickTop="1" thickBot="1" x14ac:dyDescent="0.4">
      <c r="A46" s="63"/>
      <c r="B46" s="88"/>
      <c r="C46" s="980"/>
      <c r="D46" s="64"/>
      <c r="E46" s="64"/>
      <c r="F46" s="64"/>
      <c r="G46" s="64"/>
      <c r="H46" s="64"/>
      <c r="I46" s="64"/>
      <c r="J46" s="64"/>
      <c r="K46" s="63"/>
    </row>
    <row r="47" spans="1:11" ht="15.5" x14ac:dyDescent="0.35">
      <c r="A47" s="37"/>
      <c r="B47" s="456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5" x14ac:dyDescent="0.35">
      <c r="A48" s="75"/>
      <c r="B48" s="22"/>
      <c r="C48" s="464"/>
      <c r="D48" s="22"/>
      <c r="E48" s="22"/>
      <c r="F48" s="22"/>
      <c r="G48" s="22"/>
      <c r="H48" s="22"/>
      <c r="I48" s="22"/>
      <c r="J48" s="22"/>
      <c r="K48" s="22"/>
    </row>
    <row r="49" spans="1:11" ht="15.5" x14ac:dyDescent="0.35">
      <c r="A49" s="981"/>
      <c r="B49" s="22"/>
      <c r="D49" s="22"/>
      <c r="E49" s="22"/>
      <c r="F49" s="22"/>
      <c r="G49" s="22"/>
      <c r="H49" s="22"/>
      <c r="I49" s="22"/>
      <c r="J49" s="22"/>
      <c r="K49" s="22"/>
    </row>
    <row r="50" spans="1:11" ht="15.5" x14ac:dyDescent="0.35">
      <c r="A50" s="981"/>
      <c r="B50" s="161"/>
      <c r="C50" s="982"/>
      <c r="D50" s="22"/>
      <c r="E50" s="22"/>
      <c r="F50" s="22"/>
      <c r="G50" s="22"/>
      <c r="H50" s="22"/>
      <c r="I50" s="22"/>
      <c r="J50" s="22"/>
      <c r="K50" s="22"/>
    </row>
    <row r="51" spans="1:11" ht="15.5" x14ac:dyDescent="0.35">
      <c r="A51" s="981"/>
      <c r="D51" s="22"/>
      <c r="E51" s="22"/>
      <c r="F51" s="22"/>
      <c r="G51" s="22"/>
      <c r="H51" s="22"/>
      <c r="I51" s="22"/>
      <c r="J51" s="22"/>
      <c r="K51" s="22"/>
    </row>
    <row r="52" spans="1:11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5" x14ac:dyDescent="0.3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5" x14ac:dyDescent="0.3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5" x14ac:dyDescent="0.3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5" x14ac:dyDescent="0.3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5" x14ac:dyDescent="0.3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5" x14ac:dyDescent="0.3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5" x14ac:dyDescent="0.3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5" x14ac:dyDescent="0.3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5" x14ac:dyDescent="0.3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5" x14ac:dyDescent="0.3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5" x14ac:dyDescent="0.3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5" x14ac:dyDescent="0.3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5" x14ac:dyDescent="0.3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5" x14ac:dyDescent="0.3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5" x14ac:dyDescent="0.3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5" x14ac:dyDescent="0.3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5" x14ac:dyDescent="0.3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5" x14ac:dyDescent="0.3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5" x14ac:dyDescent="0.3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5" x14ac:dyDescent="0.3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5" x14ac:dyDescent="0.3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5" x14ac:dyDescent="0.3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5" x14ac:dyDescent="0.3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5" x14ac:dyDescent="0.3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5" x14ac:dyDescent="0.3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5" x14ac:dyDescent="0.3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5" x14ac:dyDescent="0.3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5" x14ac:dyDescent="0.3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5" x14ac:dyDescent="0.3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5" x14ac:dyDescent="0.3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5" x14ac:dyDescent="0.3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5" x14ac:dyDescent="0.3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5" x14ac:dyDescent="0.3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5">
      <c r="A112" s="981"/>
    </row>
    <row r="113" spans="1:1" x14ac:dyDescent="0.25">
      <c r="A113" s="981"/>
    </row>
    <row r="114" spans="1:1" x14ac:dyDescent="0.25">
      <c r="A114" s="981"/>
    </row>
    <row r="115" spans="1:1" x14ac:dyDescent="0.25">
      <c r="A115" s="981"/>
    </row>
    <row r="116" spans="1:1" x14ac:dyDescent="0.25">
      <c r="A116" s="981"/>
    </row>
    <row r="117" spans="1:1" x14ac:dyDescent="0.25">
      <c r="A117" s="981"/>
    </row>
    <row r="118" spans="1:1" x14ac:dyDescent="0.25">
      <c r="A118" s="981"/>
    </row>
    <row r="119" spans="1:1" x14ac:dyDescent="0.25">
      <c r="A119" s="981"/>
    </row>
    <row r="120" spans="1:1" x14ac:dyDescent="0.25">
      <c r="A120" s="981"/>
    </row>
    <row r="121" spans="1:1" x14ac:dyDescent="0.25">
      <c r="A121" s="981"/>
    </row>
    <row r="122" spans="1:1" x14ac:dyDescent="0.25">
      <c r="A122" s="981"/>
    </row>
  </sheetData>
  <printOptions horizontalCentered="1"/>
  <pageMargins left="0.25" right="0.25" top="0.5" bottom="0.5" header="0.25" footer="0.25"/>
  <pageSetup scale="65" orientation="landscape" r:id="rId1"/>
  <headerFooter alignWithMargins="0">
    <oddFooter>&amp;L&amp;"Times New Roman,Regular"&amp;14&amp;F&amp;C&amp;"Times New Roman,Regular"&amp;14Page 3 of 3&amp;R&amp;"Times New Roman,Regular"&amp;14&amp;A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E34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3" width="20.54296875" style="2" customWidth="1"/>
    <col min="4" max="4" width="40.54296875" style="1" customWidth="1"/>
    <col min="5" max="5" width="5.54296875" style="1" customWidth="1"/>
    <col min="6" max="7" width="15.54296875" style="1" customWidth="1"/>
    <col min="8" max="16384" width="8.54296875" style="1"/>
  </cols>
  <sheetData>
    <row r="2" spans="1:5" ht="15" x14ac:dyDescent="0.3">
      <c r="B2" s="5" t="s">
        <v>120</v>
      </c>
      <c r="C2" s="5"/>
      <c r="D2" s="6"/>
    </row>
    <row r="3" spans="1:5" ht="15" x14ac:dyDescent="0.3">
      <c r="B3" s="5" t="s">
        <v>108</v>
      </c>
      <c r="C3" s="5"/>
      <c r="D3" s="6"/>
    </row>
    <row r="4" spans="1:5" ht="15" x14ac:dyDescent="0.3">
      <c r="B4" s="5" t="str">
        <f>'Stmnt BD - Recorded KWH'!A4</f>
        <v>2021 - TRBAA Rate Filing</v>
      </c>
      <c r="C4" s="5"/>
      <c r="D4" s="6"/>
    </row>
    <row r="5" spans="1:5" ht="15" x14ac:dyDescent="0.3">
      <c r="B5" s="5" t="s">
        <v>123</v>
      </c>
      <c r="C5" s="5"/>
      <c r="D5" s="6"/>
    </row>
    <row r="6" spans="1:5" ht="15.5" thickBot="1" x14ac:dyDescent="0.35">
      <c r="A6" s="59"/>
      <c r="B6" s="690"/>
      <c r="C6" s="690"/>
      <c r="D6" s="691"/>
      <c r="E6" s="59"/>
    </row>
    <row r="7" spans="1:5" ht="15.5" x14ac:dyDescent="0.35">
      <c r="A7" s="655" t="s">
        <v>93</v>
      </c>
      <c r="B7" s="82"/>
      <c r="C7" s="687" t="s">
        <v>88</v>
      </c>
      <c r="D7" s="33"/>
      <c r="E7" s="656" t="s">
        <v>93</v>
      </c>
    </row>
    <row r="8" spans="1:5" ht="15.5" thickBot="1" x14ac:dyDescent="0.35">
      <c r="A8" s="678" t="s">
        <v>87</v>
      </c>
      <c r="B8" s="174" t="s">
        <v>99</v>
      </c>
      <c r="C8" s="692" t="s">
        <v>107</v>
      </c>
      <c r="D8" s="693" t="s">
        <v>91</v>
      </c>
      <c r="E8" s="679" t="s">
        <v>87</v>
      </c>
    </row>
    <row r="9" spans="1:5" ht="15.5" x14ac:dyDescent="0.35">
      <c r="A9" s="388"/>
      <c r="B9" s="11"/>
      <c r="C9" s="979"/>
      <c r="D9" s="99"/>
      <c r="E9" s="405"/>
    </row>
    <row r="10" spans="1:5" ht="15.5" x14ac:dyDescent="0.35">
      <c r="A10" s="308">
        <v>1</v>
      </c>
      <c r="B10" s="18" t="s">
        <v>490</v>
      </c>
      <c r="C10" s="509">
        <f>'WP 4 Monthly TRBAA '!O38</f>
        <v>-5041423.9391464861</v>
      </c>
      <c r="D10" s="67" t="s">
        <v>284</v>
      </c>
      <c r="E10" s="309">
        <v>1</v>
      </c>
    </row>
    <row r="11" spans="1:5" ht="15.5" x14ac:dyDescent="0.35">
      <c r="A11" s="308">
        <f>A10+1</f>
        <v>2</v>
      </c>
      <c r="B11" s="17"/>
      <c r="C11" s="99"/>
      <c r="D11" s="33"/>
      <c r="E11" s="309">
        <f>E10+1</f>
        <v>2</v>
      </c>
    </row>
    <row r="12" spans="1:5" ht="15.5" x14ac:dyDescent="0.35">
      <c r="A12" s="308">
        <f t="shared" ref="A12:A32" si="0">A11+1</f>
        <v>3</v>
      </c>
      <c r="B12" s="20" t="s">
        <v>101</v>
      </c>
      <c r="C12" s="281"/>
      <c r="D12" s="67"/>
      <c r="E12" s="309">
        <f t="shared" ref="E12:E32" si="1">E11+1</f>
        <v>3</v>
      </c>
    </row>
    <row r="13" spans="1:5" ht="15.5" x14ac:dyDescent="0.35">
      <c r="A13" s="308">
        <f t="shared" si="0"/>
        <v>4</v>
      </c>
      <c r="B13" s="17"/>
      <c r="C13" s="511"/>
      <c r="D13" s="33"/>
      <c r="E13" s="309">
        <f t="shared" si="1"/>
        <v>4</v>
      </c>
    </row>
    <row r="14" spans="1:5" ht="15.5" x14ac:dyDescent="0.35">
      <c r="A14" s="308">
        <f t="shared" si="0"/>
        <v>5</v>
      </c>
      <c r="B14" s="18" t="s">
        <v>85</v>
      </c>
      <c r="C14" s="282">
        <f>'WP 7 Wheeling Revenues'!E37</f>
        <v>-16245100.029999999</v>
      </c>
      <c r="D14" s="67" t="s">
        <v>425</v>
      </c>
      <c r="E14" s="309">
        <f t="shared" si="1"/>
        <v>5</v>
      </c>
    </row>
    <row r="15" spans="1:5" ht="15.5" x14ac:dyDescent="0.35">
      <c r="A15" s="308">
        <f t="shared" si="0"/>
        <v>6</v>
      </c>
      <c r="B15" s="17"/>
      <c r="C15" s="975"/>
      <c r="D15" s="33"/>
      <c r="E15" s="309">
        <f t="shared" si="1"/>
        <v>6</v>
      </c>
    </row>
    <row r="16" spans="1:5" ht="15.5" x14ac:dyDescent="0.35">
      <c r="A16" s="308">
        <f t="shared" si="0"/>
        <v>7</v>
      </c>
      <c r="B16" s="18" t="s">
        <v>86</v>
      </c>
      <c r="C16" s="282">
        <f>'WP 8 CT4575'!C34</f>
        <v>12000</v>
      </c>
      <c r="D16" s="67" t="s">
        <v>426</v>
      </c>
      <c r="E16" s="309">
        <f t="shared" si="1"/>
        <v>7</v>
      </c>
    </row>
    <row r="17" spans="1:5" ht="15.5" x14ac:dyDescent="0.35">
      <c r="A17" s="308">
        <f t="shared" si="0"/>
        <v>8</v>
      </c>
      <c r="B17" s="17"/>
      <c r="C17" s="975"/>
      <c r="D17" s="33"/>
      <c r="E17" s="309">
        <f t="shared" si="1"/>
        <v>8</v>
      </c>
    </row>
    <row r="18" spans="1:5" ht="15.5" x14ac:dyDescent="0.35">
      <c r="A18" s="308">
        <f t="shared" si="0"/>
        <v>9</v>
      </c>
      <c r="B18" s="18" t="s">
        <v>207</v>
      </c>
      <c r="C18" s="282">
        <f>'WP 9 ETC Cost Diffs'!C34</f>
        <v>772854.75999999989</v>
      </c>
      <c r="D18" s="67" t="s">
        <v>427</v>
      </c>
      <c r="E18" s="309">
        <f t="shared" si="1"/>
        <v>9</v>
      </c>
    </row>
    <row r="19" spans="1:5" ht="15.5" x14ac:dyDescent="0.35">
      <c r="A19" s="308">
        <f t="shared" si="0"/>
        <v>10</v>
      </c>
      <c r="B19" s="17"/>
      <c r="C19" s="975"/>
      <c r="D19" s="33"/>
      <c r="E19" s="309">
        <f t="shared" si="1"/>
        <v>10</v>
      </c>
    </row>
    <row r="20" spans="1:5" ht="15.5" x14ac:dyDescent="0.35">
      <c r="A20" s="308">
        <f t="shared" si="0"/>
        <v>11</v>
      </c>
      <c r="B20" s="18" t="s">
        <v>213</v>
      </c>
      <c r="C20" s="510">
        <f>'WP 11 Other PTO Forecast'!C34</f>
        <v>-908703.00999999989</v>
      </c>
      <c r="D20" s="67" t="s">
        <v>428</v>
      </c>
      <c r="E20" s="309">
        <f t="shared" si="1"/>
        <v>11</v>
      </c>
    </row>
    <row r="21" spans="1:5" ht="15.5" x14ac:dyDescent="0.35">
      <c r="A21" s="308">
        <f t="shared" si="0"/>
        <v>12</v>
      </c>
      <c r="B21" s="17"/>
      <c r="C21" s="283"/>
      <c r="D21" s="33"/>
      <c r="E21" s="309">
        <f t="shared" si="1"/>
        <v>12</v>
      </c>
    </row>
    <row r="22" spans="1:5" ht="15.5" x14ac:dyDescent="0.35">
      <c r="A22" s="308">
        <f t="shared" si="0"/>
        <v>13</v>
      </c>
      <c r="B22" s="555" t="s">
        <v>103</v>
      </c>
      <c r="C22" s="300">
        <f>SUM(C14:C20)</f>
        <v>-16368948.279999999</v>
      </c>
      <c r="D22" s="67" t="s">
        <v>201</v>
      </c>
      <c r="E22" s="309">
        <f t="shared" si="1"/>
        <v>13</v>
      </c>
    </row>
    <row r="23" spans="1:5" ht="15.5" x14ac:dyDescent="0.35">
      <c r="A23" s="308">
        <f t="shared" si="0"/>
        <v>14</v>
      </c>
      <c r="B23" s="18"/>
      <c r="C23" s="283"/>
      <c r="D23" s="67"/>
      <c r="E23" s="309">
        <f t="shared" si="1"/>
        <v>14</v>
      </c>
    </row>
    <row r="24" spans="1:5" ht="15.5" x14ac:dyDescent="0.35">
      <c r="A24" s="308">
        <f t="shared" si="0"/>
        <v>15</v>
      </c>
      <c r="B24" s="11" t="s">
        <v>165</v>
      </c>
      <c r="C24" s="300">
        <f>C10+C22</f>
        <v>-21410372.219146486</v>
      </c>
      <c r="D24" s="67" t="s">
        <v>202</v>
      </c>
      <c r="E24" s="309">
        <f t="shared" si="1"/>
        <v>15</v>
      </c>
    </row>
    <row r="25" spans="1:5" ht="15.5" x14ac:dyDescent="0.35">
      <c r="A25" s="308">
        <f t="shared" si="0"/>
        <v>16</v>
      </c>
      <c r="B25" s="11"/>
      <c r="C25" s="283"/>
      <c r="D25" s="68"/>
      <c r="E25" s="309">
        <f t="shared" si="1"/>
        <v>16</v>
      </c>
    </row>
    <row r="26" spans="1:5" ht="15.5" x14ac:dyDescent="0.35">
      <c r="A26" s="308">
        <f t="shared" si="0"/>
        <v>17</v>
      </c>
      <c r="B26" s="11" t="s">
        <v>480</v>
      </c>
      <c r="C26" s="283">
        <f>C24*0.010275</f>
        <v>-219991.57455173013</v>
      </c>
      <c r="D26" s="67" t="s">
        <v>481</v>
      </c>
      <c r="E26" s="309">
        <f t="shared" si="1"/>
        <v>17</v>
      </c>
    </row>
    <row r="27" spans="1:5" ht="15.5" x14ac:dyDescent="0.35">
      <c r="A27" s="308">
        <f t="shared" si="0"/>
        <v>18</v>
      </c>
      <c r="B27" s="11"/>
      <c r="C27" s="283"/>
      <c r="D27" s="68"/>
      <c r="E27" s="309">
        <f t="shared" si="1"/>
        <v>18</v>
      </c>
    </row>
    <row r="28" spans="1:5" ht="15.5" x14ac:dyDescent="0.35">
      <c r="A28" s="308">
        <f t="shared" si="0"/>
        <v>19</v>
      </c>
      <c r="B28" s="11" t="s">
        <v>543</v>
      </c>
      <c r="C28" s="298">
        <f>C24*0.00169</f>
        <v>-36183.529050357567</v>
      </c>
      <c r="D28" s="67" t="s">
        <v>542</v>
      </c>
      <c r="E28" s="309">
        <f t="shared" si="1"/>
        <v>19</v>
      </c>
    </row>
    <row r="29" spans="1:5" ht="15.5" x14ac:dyDescent="0.35">
      <c r="A29" s="308">
        <f t="shared" si="0"/>
        <v>20</v>
      </c>
      <c r="B29" s="11"/>
      <c r="C29" s="283"/>
      <c r="D29" s="68"/>
      <c r="E29" s="309">
        <f t="shared" si="1"/>
        <v>20</v>
      </c>
    </row>
    <row r="30" spans="1:5" ht="15.5" x14ac:dyDescent="0.35">
      <c r="A30" s="308">
        <f t="shared" si="0"/>
        <v>21</v>
      </c>
      <c r="B30" s="11" t="s">
        <v>261</v>
      </c>
      <c r="C30" s="298">
        <f>SUM(C26:C28)</f>
        <v>-256175.10360208771</v>
      </c>
      <c r="D30" s="67" t="s">
        <v>204</v>
      </c>
      <c r="E30" s="309">
        <f t="shared" si="1"/>
        <v>21</v>
      </c>
    </row>
    <row r="31" spans="1:5" ht="15.5" x14ac:dyDescent="0.35">
      <c r="A31" s="308">
        <f t="shared" si="0"/>
        <v>22</v>
      </c>
      <c r="B31" s="11"/>
      <c r="C31" s="283"/>
      <c r="D31" s="68"/>
      <c r="E31" s="309">
        <f t="shared" si="1"/>
        <v>22</v>
      </c>
    </row>
    <row r="32" spans="1:5" ht="16" thickBot="1" x14ac:dyDescent="0.4">
      <c r="A32" s="308">
        <f t="shared" si="0"/>
        <v>23</v>
      </c>
      <c r="B32" s="11" t="s">
        <v>349</v>
      </c>
      <c r="C32" s="482">
        <f>C24+C30</f>
        <v>-21666547.322748575</v>
      </c>
      <c r="D32" s="67" t="s">
        <v>262</v>
      </c>
      <c r="E32" s="309">
        <f t="shared" si="1"/>
        <v>23</v>
      </c>
    </row>
    <row r="33" spans="1:5" ht="16.5" thickTop="1" thickBot="1" x14ac:dyDescent="0.4">
      <c r="A33" s="685"/>
      <c r="B33" s="88"/>
      <c r="C33" s="660"/>
      <c r="D33" s="686"/>
      <c r="E33" s="473"/>
    </row>
    <row r="34" spans="1:5" ht="15.5" x14ac:dyDescent="0.35">
      <c r="A34" s="22"/>
      <c r="B34" s="22"/>
      <c r="C34" s="22"/>
      <c r="D34" s="37"/>
      <c r="E34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1&amp;R&amp;"Times New Roman,Regular"&amp;12&amp;A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G89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4" width="22.54296875" style="1" bestFit="1" customWidth="1"/>
    <col min="5" max="5" width="20.54296875" style="1" customWidth="1"/>
    <col min="6" max="6" width="50.54296875" style="1" customWidth="1"/>
    <col min="7" max="7" width="5.54296875" style="1" customWidth="1"/>
    <col min="8" max="9" width="15.54296875" style="1" customWidth="1"/>
    <col min="10" max="16384" width="8.54296875" style="1"/>
  </cols>
  <sheetData>
    <row r="2" spans="1:7" ht="15" x14ac:dyDescent="0.3">
      <c r="B2" s="5" t="s">
        <v>22</v>
      </c>
      <c r="C2" s="6"/>
      <c r="D2" s="6"/>
      <c r="E2" s="6"/>
      <c r="F2" s="6"/>
    </row>
    <row r="3" spans="1:7" ht="15" x14ac:dyDescent="0.3">
      <c r="B3" s="5" t="s">
        <v>108</v>
      </c>
      <c r="C3" s="6"/>
      <c r="D3" s="6"/>
      <c r="E3" s="6"/>
      <c r="F3" s="6"/>
    </row>
    <row r="4" spans="1:7" ht="15" x14ac:dyDescent="0.3">
      <c r="B4" s="5" t="str">
        <f>'Stmnt BK1 - TRBAA'!B4</f>
        <v>2021 - TRBAA Rate Filing</v>
      </c>
      <c r="C4" s="6"/>
      <c r="D4" s="6"/>
      <c r="E4" s="6"/>
      <c r="F4" s="6"/>
    </row>
    <row r="5" spans="1:7" ht="15" x14ac:dyDescent="0.3">
      <c r="B5" s="5" t="s">
        <v>109</v>
      </c>
      <c r="C5" s="6"/>
      <c r="D5" s="6"/>
      <c r="E5" s="6"/>
      <c r="F5" s="6"/>
    </row>
    <row r="6" spans="1:7" ht="15.5" thickBot="1" x14ac:dyDescent="0.35">
      <c r="B6" s="5"/>
      <c r="C6" s="6"/>
      <c r="D6" s="6"/>
      <c r="E6" s="6"/>
      <c r="F6" s="6"/>
    </row>
    <row r="7" spans="1:7" ht="15" x14ac:dyDescent="0.3">
      <c r="A7" s="334"/>
      <c r="B7" s="698"/>
      <c r="C7" s="699" t="s">
        <v>115</v>
      </c>
      <c r="D7" s="700" t="s">
        <v>132</v>
      </c>
      <c r="E7" s="700" t="s">
        <v>258</v>
      </c>
      <c r="F7" s="701"/>
      <c r="G7" s="652"/>
    </row>
    <row r="8" spans="1:7" ht="15.5" x14ac:dyDescent="0.35">
      <c r="A8" s="653"/>
      <c r="B8" s="81"/>
      <c r="C8" s="687" t="s">
        <v>88</v>
      </c>
      <c r="D8" s="82" t="s">
        <v>88</v>
      </c>
      <c r="E8" s="82" t="s">
        <v>88</v>
      </c>
      <c r="F8" s="33"/>
      <c r="G8" s="654"/>
    </row>
    <row r="9" spans="1:7" ht="15.5" x14ac:dyDescent="0.35">
      <c r="A9" s="655"/>
      <c r="B9" s="81"/>
      <c r="C9" s="694" t="s">
        <v>160</v>
      </c>
      <c r="D9" s="695" t="s">
        <v>162</v>
      </c>
      <c r="E9" s="695" t="s">
        <v>163</v>
      </c>
      <c r="F9" s="33"/>
      <c r="G9" s="656"/>
    </row>
    <row r="10" spans="1:7" ht="15.5" x14ac:dyDescent="0.35">
      <c r="A10" s="655" t="s">
        <v>93</v>
      </c>
      <c r="B10" s="82"/>
      <c r="C10" s="688" t="s">
        <v>187</v>
      </c>
      <c r="D10" s="696" t="s">
        <v>187</v>
      </c>
      <c r="E10" s="696" t="s">
        <v>164</v>
      </c>
      <c r="F10" s="33"/>
      <c r="G10" s="656" t="s">
        <v>93</v>
      </c>
    </row>
    <row r="11" spans="1:7" ht="15.5" thickBot="1" x14ac:dyDescent="0.35">
      <c r="A11" s="678" t="s">
        <v>87</v>
      </c>
      <c r="B11" s="174" t="s">
        <v>99</v>
      </c>
      <c r="C11" s="693" t="s">
        <v>161</v>
      </c>
      <c r="D11" s="702" t="s">
        <v>161</v>
      </c>
      <c r="E11" s="702" t="s">
        <v>161</v>
      </c>
      <c r="F11" s="693" t="s">
        <v>91</v>
      </c>
      <c r="G11" s="679" t="s">
        <v>87</v>
      </c>
    </row>
    <row r="12" spans="1:7" ht="15.5" x14ac:dyDescent="0.35">
      <c r="A12" s="388"/>
      <c r="B12" s="11"/>
      <c r="C12" s="975"/>
      <c r="D12" s="17"/>
      <c r="E12" s="17"/>
      <c r="F12" s="99"/>
      <c r="G12" s="405"/>
    </row>
    <row r="13" spans="1:7" ht="18.5" x14ac:dyDescent="0.35">
      <c r="A13" s="308">
        <v>1</v>
      </c>
      <c r="B13" s="11" t="s">
        <v>186</v>
      </c>
      <c r="C13" s="305">
        <v>575136094.36972773</v>
      </c>
      <c r="D13" s="112">
        <v>457544223.99300361</v>
      </c>
      <c r="E13" s="112">
        <f>C13+D13</f>
        <v>1032680318.3627313</v>
      </c>
      <c r="F13" s="67" t="s">
        <v>35</v>
      </c>
      <c r="G13" s="309">
        <v>1</v>
      </c>
    </row>
    <row r="14" spans="1:7" ht="15.5" x14ac:dyDescent="0.35">
      <c r="A14" s="308">
        <f>A13+1</f>
        <v>2</v>
      </c>
      <c r="B14" s="11"/>
      <c r="C14" s="976"/>
      <c r="D14" s="16"/>
      <c r="E14" s="16"/>
      <c r="F14" s="33"/>
      <c r="G14" s="309">
        <f>G13+1</f>
        <v>2</v>
      </c>
    </row>
    <row r="15" spans="1:7" ht="15.5" x14ac:dyDescent="0.35">
      <c r="A15" s="308">
        <f t="shared" ref="A15:A37" si="0">A14+1</f>
        <v>3</v>
      </c>
      <c r="B15" s="18" t="str">
        <f>'Stmnt BK1 - TRBAA'!B10</f>
        <v>Beginning TRBAA Balance @ 9/30/2020</v>
      </c>
      <c r="C15" s="298">
        <f>'WP 2 Allocation of TRBAA'!D24</f>
        <v>-5241387.5980435209</v>
      </c>
      <c r="D15" s="38">
        <f>'WP 2 Allocation of TRBAA'!E24</f>
        <v>199963.6588970352</v>
      </c>
      <c r="E15" s="38">
        <f>C15+D15</f>
        <v>-5041423.9391464861</v>
      </c>
      <c r="F15" s="67" t="s">
        <v>292</v>
      </c>
      <c r="G15" s="309">
        <f>G14+1</f>
        <v>3</v>
      </c>
    </row>
    <row r="16" spans="1:7" ht="15.5" x14ac:dyDescent="0.35">
      <c r="A16" s="308">
        <f t="shared" si="0"/>
        <v>4</v>
      </c>
      <c r="B16" s="17"/>
      <c r="C16" s="283"/>
      <c r="D16" s="31"/>
      <c r="E16" s="31"/>
      <c r="F16" s="33"/>
      <c r="G16" s="309">
        <f>G15+1</f>
        <v>4</v>
      </c>
    </row>
    <row r="17" spans="1:7" ht="15.5" x14ac:dyDescent="0.35">
      <c r="A17" s="308">
        <f t="shared" si="0"/>
        <v>5</v>
      </c>
      <c r="B17" s="20" t="s">
        <v>101</v>
      </c>
      <c r="C17" s="283"/>
      <c r="D17" s="31"/>
      <c r="E17" s="31"/>
      <c r="F17" s="67"/>
      <c r="G17" s="309">
        <f>G16+1</f>
        <v>5</v>
      </c>
    </row>
    <row r="18" spans="1:7" ht="15.5" x14ac:dyDescent="0.35">
      <c r="A18" s="308">
        <f t="shared" si="0"/>
        <v>6</v>
      </c>
      <c r="B18" s="17"/>
      <c r="C18" s="283"/>
      <c r="D18" s="31"/>
      <c r="E18" s="31"/>
      <c r="F18" s="33"/>
      <c r="G18" s="309">
        <f t="shared" ref="G18:G37" si="1">G17+1</f>
        <v>6</v>
      </c>
    </row>
    <row r="19" spans="1:7" ht="15.5" x14ac:dyDescent="0.35">
      <c r="A19" s="308">
        <f t="shared" si="0"/>
        <v>7</v>
      </c>
      <c r="B19" s="18" t="s">
        <v>102</v>
      </c>
      <c r="C19" s="283">
        <f>'WP 6 HV LV Alloc Summary'!C26</f>
        <v>-16245100.029999999</v>
      </c>
      <c r="D19" s="283">
        <f>'WP 6 HV LV Alloc Summary'!D26</f>
        <v>0</v>
      </c>
      <c r="E19" s="31">
        <f>C19+D19</f>
        <v>-16245100.029999999</v>
      </c>
      <c r="F19" s="67" t="s">
        <v>429</v>
      </c>
      <c r="G19" s="309">
        <f t="shared" si="1"/>
        <v>7</v>
      </c>
    </row>
    <row r="20" spans="1:7" ht="15.5" x14ac:dyDescent="0.35">
      <c r="A20" s="308">
        <f t="shared" si="0"/>
        <v>8</v>
      </c>
      <c r="B20" s="17"/>
      <c r="C20" s="283"/>
      <c r="D20" s="31"/>
      <c r="E20" s="31"/>
      <c r="F20" s="33"/>
      <c r="G20" s="309">
        <f t="shared" si="1"/>
        <v>8</v>
      </c>
    </row>
    <row r="21" spans="1:7" ht="15.5" x14ac:dyDescent="0.35">
      <c r="A21" s="308">
        <f t="shared" si="0"/>
        <v>9</v>
      </c>
      <c r="B21" s="18" t="s">
        <v>79</v>
      </c>
      <c r="C21" s="283">
        <f>'WP 6 HV LV Alloc Summary'!C33</f>
        <v>6688.9967756617143</v>
      </c>
      <c r="D21" s="283">
        <f>'WP 6 HV LV Alloc Summary'!D33</f>
        <v>5311.0032243382857</v>
      </c>
      <c r="E21" s="31">
        <f>C21+D21</f>
        <v>12000</v>
      </c>
      <c r="F21" s="67" t="s">
        <v>430</v>
      </c>
      <c r="G21" s="309">
        <f t="shared" si="1"/>
        <v>9</v>
      </c>
    </row>
    <row r="22" spans="1:7" ht="15.5" x14ac:dyDescent="0.35">
      <c r="A22" s="308">
        <f t="shared" si="0"/>
        <v>10</v>
      </c>
      <c r="B22" s="17"/>
      <c r="C22" s="283"/>
      <c r="D22" s="31"/>
      <c r="E22" s="31"/>
      <c r="F22" s="33"/>
      <c r="G22" s="309">
        <f t="shared" si="1"/>
        <v>10</v>
      </c>
    </row>
    <row r="23" spans="1:7" ht="15.5" x14ac:dyDescent="0.35">
      <c r="A23" s="308">
        <f t="shared" si="0"/>
        <v>11</v>
      </c>
      <c r="B23" s="18" t="s">
        <v>197</v>
      </c>
      <c r="C23" s="283">
        <f>'WP 6 HV LV Alloc Summary'!C39</f>
        <v>430801.91647456726</v>
      </c>
      <c r="D23" s="283">
        <f>'WP 6 HV LV Alloc Summary'!D39</f>
        <v>342052.84352543263</v>
      </c>
      <c r="E23" s="31">
        <f>C23+D23</f>
        <v>772854.75999999989</v>
      </c>
      <c r="F23" s="67" t="s">
        <v>431</v>
      </c>
      <c r="G23" s="309">
        <f t="shared" si="1"/>
        <v>11</v>
      </c>
    </row>
    <row r="24" spans="1:7" ht="15.5" x14ac:dyDescent="0.35">
      <c r="A24" s="308">
        <f t="shared" si="0"/>
        <v>12</v>
      </c>
      <c r="B24" s="17"/>
      <c r="C24" s="283"/>
      <c r="D24" s="31"/>
      <c r="E24" s="31"/>
      <c r="F24" s="33"/>
      <c r="G24" s="309">
        <f t="shared" si="1"/>
        <v>12</v>
      </c>
    </row>
    <row r="25" spans="1:7" ht="15.5" x14ac:dyDescent="0.35">
      <c r="A25" s="308">
        <f t="shared" si="0"/>
        <v>13</v>
      </c>
      <c r="B25" s="18" t="s">
        <v>213</v>
      </c>
      <c r="C25" s="298">
        <f>'WP 6 HV LV Alloc Summary'!C49</f>
        <v>-1210599.1401684335</v>
      </c>
      <c r="D25" s="298">
        <f>'WP 6 HV LV Alloc Summary'!D49</f>
        <v>301896.13016843348</v>
      </c>
      <c r="E25" s="38">
        <f>C25+D25</f>
        <v>-908703.01</v>
      </c>
      <c r="F25" s="67" t="s">
        <v>440</v>
      </c>
      <c r="G25" s="309">
        <f t="shared" si="1"/>
        <v>13</v>
      </c>
    </row>
    <row r="26" spans="1:7" ht="15.5" x14ac:dyDescent="0.35">
      <c r="A26" s="308">
        <f t="shared" si="0"/>
        <v>14</v>
      </c>
      <c r="B26" s="17"/>
      <c r="C26" s="283"/>
      <c r="D26" s="31"/>
      <c r="E26" s="31"/>
      <c r="F26" s="33"/>
      <c r="G26" s="309">
        <f t="shared" si="1"/>
        <v>14</v>
      </c>
    </row>
    <row r="27" spans="1:7" ht="15.5" x14ac:dyDescent="0.35">
      <c r="A27" s="308">
        <f t="shared" si="0"/>
        <v>15</v>
      </c>
      <c r="B27" s="648" t="s">
        <v>103</v>
      </c>
      <c r="C27" s="38">
        <f>SUM(C19:C25)</f>
        <v>-17018208.256918203</v>
      </c>
      <c r="D27" s="387">
        <f>SUM(D19:D25)</f>
        <v>649259.97691820445</v>
      </c>
      <c r="E27" s="38">
        <f>SUM(E19:E25)</f>
        <v>-16368948.279999999</v>
      </c>
      <c r="F27" s="67" t="s">
        <v>203</v>
      </c>
      <c r="G27" s="309">
        <f t="shared" si="1"/>
        <v>15</v>
      </c>
    </row>
    <row r="28" spans="1:7" ht="15.5" x14ac:dyDescent="0.35">
      <c r="A28" s="308">
        <f t="shared" si="0"/>
        <v>16</v>
      </c>
      <c r="B28" s="555"/>
      <c r="C28" s="283"/>
      <c r="D28" s="31"/>
      <c r="E28" s="31"/>
      <c r="F28" s="67"/>
      <c r="G28" s="309">
        <f t="shared" si="1"/>
        <v>16</v>
      </c>
    </row>
    <row r="29" spans="1:7" ht="15.5" x14ac:dyDescent="0.35">
      <c r="A29" s="308">
        <f t="shared" si="0"/>
        <v>17</v>
      </c>
      <c r="B29" s="18" t="s">
        <v>159</v>
      </c>
      <c r="C29" s="283">
        <f>C15+C27</f>
        <v>-22259595.854961723</v>
      </c>
      <c r="D29" s="283">
        <f>D15+D27</f>
        <v>849223.63581523963</v>
      </c>
      <c r="E29" s="283">
        <f t="shared" ref="E29" si="2">E15+E27</f>
        <v>-21410372.219146486</v>
      </c>
      <c r="F29" s="67" t="s">
        <v>445</v>
      </c>
      <c r="G29" s="309">
        <f t="shared" si="1"/>
        <v>17</v>
      </c>
    </row>
    <row r="30" spans="1:7" ht="15.5" x14ac:dyDescent="0.35">
      <c r="A30" s="308">
        <f t="shared" si="0"/>
        <v>18</v>
      </c>
      <c r="B30" s="555"/>
      <c r="C30" s="283"/>
      <c r="D30" s="31"/>
      <c r="E30" s="31"/>
      <c r="F30" s="67"/>
      <c r="G30" s="309">
        <f t="shared" si="1"/>
        <v>18</v>
      </c>
    </row>
    <row r="31" spans="1:7" ht="15.5" x14ac:dyDescent="0.35">
      <c r="A31" s="308">
        <f t="shared" si="0"/>
        <v>19</v>
      </c>
      <c r="B31" s="556" t="s">
        <v>480</v>
      </c>
      <c r="C31" s="298">
        <f>C29*0.010275</f>
        <v>-228717.34740973168</v>
      </c>
      <c r="D31" s="38">
        <f>D29*0.010275</f>
        <v>8725.7728580015864</v>
      </c>
      <c r="E31" s="38">
        <f>C31+D31</f>
        <v>-219991.5745517301</v>
      </c>
      <c r="F31" s="67" t="s">
        <v>482</v>
      </c>
      <c r="G31" s="309">
        <f t="shared" si="1"/>
        <v>19</v>
      </c>
    </row>
    <row r="32" spans="1:7" ht="15.5" x14ac:dyDescent="0.35">
      <c r="A32" s="308">
        <f t="shared" si="0"/>
        <v>20</v>
      </c>
      <c r="B32" s="556"/>
      <c r="C32" s="283"/>
      <c r="D32" s="31"/>
      <c r="E32" s="31"/>
      <c r="F32" s="67"/>
      <c r="G32" s="309">
        <f t="shared" si="1"/>
        <v>20</v>
      </c>
    </row>
    <row r="33" spans="1:7" ht="15.5" x14ac:dyDescent="0.35">
      <c r="A33" s="308">
        <f t="shared" si="0"/>
        <v>21</v>
      </c>
      <c r="B33" s="62" t="s">
        <v>350</v>
      </c>
      <c r="C33" s="55">
        <f>C29+C31</f>
        <v>-22488313.202371456</v>
      </c>
      <c r="D33" s="55">
        <f>D29+D31</f>
        <v>857949.40867324127</v>
      </c>
      <c r="E33" s="55">
        <f>E29+E31</f>
        <v>-21630363.793698218</v>
      </c>
      <c r="F33" s="67" t="s">
        <v>204</v>
      </c>
      <c r="G33" s="309">
        <f t="shared" si="1"/>
        <v>21</v>
      </c>
    </row>
    <row r="34" spans="1:7" ht="15.5" x14ac:dyDescent="0.35">
      <c r="A34" s="308">
        <f t="shared" si="0"/>
        <v>22</v>
      </c>
      <c r="B34" s="11"/>
      <c r="C34" s="620"/>
      <c r="D34" s="46"/>
      <c r="E34" s="46"/>
      <c r="F34" s="68"/>
      <c r="G34" s="309">
        <f t="shared" si="1"/>
        <v>22</v>
      </c>
    </row>
    <row r="35" spans="1:7" ht="18.5" x14ac:dyDescent="0.35">
      <c r="A35" s="308">
        <f t="shared" si="0"/>
        <v>23</v>
      </c>
      <c r="B35" s="11" t="s">
        <v>444</v>
      </c>
      <c r="C35" s="515">
        <f>'WP 3 Standby Revenues'!C15</f>
        <v>-9099355.510754399</v>
      </c>
      <c r="D35" s="55">
        <f>'WP 3 Standby Revenues'!D15</f>
        <v>-7238908.4892456029</v>
      </c>
      <c r="E35" s="55">
        <f>C35+D35</f>
        <v>-16338264.000000002</v>
      </c>
      <c r="F35" s="67" t="s">
        <v>319</v>
      </c>
      <c r="G35" s="309">
        <f t="shared" si="1"/>
        <v>23</v>
      </c>
    </row>
    <row r="36" spans="1:7" ht="15.5" x14ac:dyDescent="0.35">
      <c r="A36" s="308">
        <f t="shared" si="0"/>
        <v>24</v>
      </c>
      <c r="B36" s="17"/>
      <c r="C36" s="977"/>
      <c r="D36" s="554"/>
      <c r="E36" s="554"/>
      <c r="F36" s="67"/>
      <c r="G36" s="309">
        <f t="shared" si="1"/>
        <v>24</v>
      </c>
    </row>
    <row r="37" spans="1:7" ht="16" thickBot="1" x14ac:dyDescent="0.4">
      <c r="A37" s="308">
        <f t="shared" si="0"/>
        <v>25</v>
      </c>
      <c r="B37" s="11" t="s">
        <v>130</v>
      </c>
      <c r="C37" s="589">
        <f>C13+C33+C35</f>
        <v>543548425.65660191</v>
      </c>
      <c r="D37" s="275">
        <f>D13+D33+D35</f>
        <v>451163264.91243124</v>
      </c>
      <c r="E37" s="275">
        <f>E13+E33+E35</f>
        <v>994711690.56903315</v>
      </c>
      <c r="F37" s="67" t="s">
        <v>456</v>
      </c>
      <c r="G37" s="309">
        <f t="shared" si="1"/>
        <v>25</v>
      </c>
    </row>
    <row r="38" spans="1:7" ht="16.5" thickTop="1" thickBot="1" x14ac:dyDescent="0.4">
      <c r="A38" s="685"/>
      <c r="B38" s="88"/>
      <c r="C38" s="978"/>
      <c r="D38" s="88"/>
      <c r="E38" s="88"/>
      <c r="F38" s="660"/>
      <c r="G38" s="473"/>
    </row>
    <row r="39" spans="1:7" ht="15.5" x14ac:dyDescent="0.35">
      <c r="A39" s="22"/>
      <c r="B39" s="22"/>
      <c r="C39" s="164"/>
      <c r="D39" s="164"/>
      <c r="E39" s="22"/>
      <c r="F39" s="22"/>
      <c r="G39" s="22"/>
    </row>
    <row r="40" spans="1:7" ht="18.5" x14ac:dyDescent="0.35">
      <c r="A40" s="222" t="s">
        <v>36</v>
      </c>
      <c r="B40" s="551" t="s">
        <v>491</v>
      </c>
      <c r="C40" s="100"/>
      <c r="D40" s="100"/>
      <c r="E40" s="100"/>
      <c r="F40" s="100"/>
      <c r="G40" s="100"/>
    </row>
    <row r="41" spans="1:7" ht="18.5" x14ac:dyDescent="0.35">
      <c r="A41" s="222">
        <v>2</v>
      </c>
      <c r="B41" s="551" t="s">
        <v>530</v>
      </c>
      <c r="C41" s="100"/>
      <c r="D41" s="100"/>
      <c r="E41" s="100"/>
      <c r="F41" s="100"/>
      <c r="G41" s="100"/>
    </row>
    <row r="42" spans="1:7" ht="18.5" x14ac:dyDescent="0.35">
      <c r="A42" s="223"/>
      <c r="B42" s="220"/>
      <c r="C42" s="100"/>
      <c r="D42" s="100"/>
      <c r="E42" s="100"/>
      <c r="F42" s="100"/>
      <c r="G42" s="100"/>
    </row>
    <row r="43" spans="1:7" ht="15.5" x14ac:dyDescent="0.35">
      <c r="A43" s="22"/>
      <c r="B43" s="551"/>
      <c r="C43" s="22"/>
      <c r="D43" s="22"/>
      <c r="E43" s="22"/>
      <c r="F43" s="22"/>
      <c r="G43" s="22"/>
    </row>
    <row r="44" spans="1:7" ht="15.5" x14ac:dyDescent="0.35">
      <c r="A44" s="22"/>
      <c r="B44" s="551"/>
      <c r="C44" s="22"/>
      <c r="D44" s="22"/>
      <c r="E44" s="22"/>
      <c r="F44" s="22"/>
      <c r="G44" s="22"/>
    </row>
    <row r="45" spans="1:7" ht="15.5" x14ac:dyDescent="0.35">
      <c r="A45" s="22"/>
      <c r="B45" s="551"/>
      <c r="C45" s="22"/>
      <c r="D45" s="22"/>
      <c r="E45" s="22"/>
      <c r="F45" s="22"/>
      <c r="G45" s="22"/>
    </row>
    <row r="46" spans="1:7" ht="15.5" x14ac:dyDescent="0.35">
      <c r="A46" s="22"/>
      <c r="B46" s="551"/>
      <c r="C46" s="22"/>
      <c r="D46" s="22"/>
      <c r="E46" s="22"/>
      <c r="F46" s="22"/>
      <c r="G46" s="22"/>
    </row>
    <row r="47" spans="1:7" ht="15.5" x14ac:dyDescent="0.35">
      <c r="A47" s="22"/>
      <c r="B47" s="551"/>
      <c r="C47" s="22"/>
      <c r="D47" s="22"/>
      <c r="E47" s="22"/>
      <c r="F47" s="22"/>
      <c r="G47" s="22"/>
    </row>
    <row r="48" spans="1:7" ht="15.5" x14ac:dyDescent="0.35">
      <c r="A48" s="22"/>
      <c r="B48" s="551"/>
      <c r="C48" s="22"/>
      <c r="D48" s="22"/>
      <c r="E48" s="22"/>
      <c r="F48" s="22"/>
      <c r="G48" s="22"/>
    </row>
    <row r="49" spans="1:7" ht="15.5" x14ac:dyDescent="0.35">
      <c r="A49" s="22"/>
      <c r="B49" s="551"/>
      <c r="C49" s="22"/>
      <c r="D49" s="22"/>
      <c r="E49" s="22"/>
      <c r="F49" s="22"/>
      <c r="G49" s="22"/>
    </row>
    <row r="50" spans="1:7" ht="15.5" x14ac:dyDescent="0.35">
      <c r="A50" s="22"/>
      <c r="B50" s="551"/>
      <c r="C50" s="22"/>
      <c r="D50" s="22"/>
      <c r="E50" s="22"/>
      <c r="F50" s="22"/>
      <c r="G50" s="22"/>
    </row>
    <row r="51" spans="1:7" ht="15.5" x14ac:dyDescent="0.35">
      <c r="A51" s="22"/>
      <c r="B51" s="551"/>
      <c r="C51" s="22"/>
      <c r="D51" s="22"/>
      <c r="E51" s="22"/>
      <c r="F51" s="22"/>
      <c r="G51" s="22"/>
    </row>
    <row r="52" spans="1:7" ht="15.5" x14ac:dyDescent="0.35">
      <c r="A52" s="22"/>
      <c r="B52" s="551"/>
      <c r="C52" s="22"/>
      <c r="D52" s="22"/>
      <c r="E52" s="22"/>
      <c r="F52" s="22"/>
      <c r="G52" s="22"/>
    </row>
    <row r="53" spans="1:7" ht="15.5" x14ac:dyDescent="0.35">
      <c r="A53" s="22"/>
      <c r="B53" s="551"/>
      <c r="C53" s="22"/>
      <c r="D53" s="22"/>
      <c r="E53" s="22"/>
      <c r="F53" s="22"/>
      <c r="G53" s="22"/>
    </row>
    <row r="54" spans="1:7" ht="15.5" x14ac:dyDescent="0.35">
      <c r="A54" s="22"/>
      <c r="B54" s="551"/>
      <c r="C54" s="22"/>
      <c r="D54" s="22"/>
      <c r="E54" s="22"/>
      <c r="F54" s="22"/>
      <c r="G54" s="22"/>
    </row>
    <row r="55" spans="1:7" ht="15.5" x14ac:dyDescent="0.35">
      <c r="A55" s="22"/>
      <c r="B55" s="551"/>
      <c r="C55" s="22"/>
      <c r="D55" s="22"/>
      <c r="E55" s="22"/>
      <c r="F55" s="22"/>
      <c r="G55" s="22"/>
    </row>
    <row r="56" spans="1:7" ht="15.5" x14ac:dyDescent="0.35">
      <c r="A56" s="22"/>
      <c r="B56" s="551"/>
      <c r="C56" s="22"/>
      <c r="D56" s="22"/>
      <c r="E56" s="22"/>
      <c r="F56" s="22"/>
      <c r="G56" s="22"/>
    </row>
    <row r="57" spans="1:7" ht="15.5" x14ac:dyDescent="0.35">
      <c r="A57" s="22"/>
      <c r="B57" s="551"/>
      <c r="C57" s="22"/>
      <c r="D57" s="22"/>
      <c r="E57" s="22"/>
      <c r="F57" s="22"/>
      <c r="G57" s="22"/>
    </row>
    <row r="58" spans="1:7" ht="15.5" x14ac:dyDescent="0.35">
      <c r="A58" s="22"/>
      <c r="B58" s="551"/>
      <c r="C58" s="22"/>
      <c r="D58" s="22"/>
      <c r="E58" s="22"/>
      <c r="F58" s="22"/>
      <c r="G58" s="22"/>
    </row>
    <row r="59" spans="1:7" ht="15.5" x14ac:dyDescent="0.35">
      <c r="A59" s="22"/>
      <c r="B59" s="551"/>
      <c r="C59" s="22"/>
      <c r="D59" s="22"/>
      <c r="E59" s="22"/>
      <c r="F59" s="22"/>
      <c r="G59" s="22"/>
    </row>
    <row r="60" spans="1:7" ht="15.5" x14ac:dyDescent="0.35">
      <c r="A60" s="22"/>
      <c r="B60" s="551"/>
      <c r="C60" s="22"/>
      <c r="D60" s="22"/>
      <c r="E60" s="22"/>
      <c r="F60" s="22"/>
      <c r="G60" s="22"/>
    </row>
    <row r="61" spans="1:7" ht="15.5" x14ac:dyDescent="0.35">
      <c r="A61" s="22"/>
      <c r="B61" s="551"/>
      <c r="C61" s="22"/>
      <c r="D61" s="22"/>
      <c r="E61" s="22"/>
      <c r="F61" s="22"/>
      <c r="G61" s="22"/>
    </row>
    <row r="62" spans="1:7" ht="15.5" x14ac:dyDescent="0.35">
      <c r="A62" s="22"/>
      <c r="B62" s="551"/>
      <c r="C62" s="22"/>
      <c r="D62" s="22"/>
      <c r="E62" s="22"/>
      <c r="F62" s="22"/>
      <c r="G62" s="22"/>
    </row>
    <row r="63" spans="1:7" ht="15.5" x14ac:dyDescent="0.35">
      <c r="A63" s="22"/>
      <c r="B63" s="551"/>
      <c r="C63" s="22"/>
      <c r="D63" s="22"/>
      <c r="E63" s="22"/>
      <c r="F63" s="22"/>
      <c r="G63" s="22"/>
    </row>
    <row r="64" spans="1:7" ht="15.5" x14ac:dyDescent="0.35">
      <c r="A64" s="22"/>
      <c r="B64" s="551"/>
      <c r="C64" s="22"/>
      <c r="D64" s="22"/>
      <c r="E64" s="22"/>
      <c r="F64" s="22"/>
      <c r="G64" s="22"/>
    </row>
    <row r="65" spans="1:7" ht="15.5" x14ac:dyDescent="0.35">
      <c r="A65" s="22"/>
      <c r="B65" s="551"/>
      <c r="C65" s="22"/>
      <c r="D65" s="22"/>
      <c r="E65" s="22"/>
      <c r="F65" s="22"/>
      <c r="G65" s="22"/>
    </row>
    <row r="66" spans="1:7" ht="15.5" x14ac:dyDescent="0.35">
      <c r="A66" s="22"/>
      <c r="B66" s="551"/>
      <c r="C66" s="22"/>
      <c r="D66" s="22"/>
      <c r="E66" s="22"/>
      <c r="F66" s="22"/>
      <c r="G66" s="22"/>
    </row>
    <row r="67" spans="1:7" ht="15.5" x14ac:dyDescent="0.35">
      <c r="A67" s="22"/>
      <c r="B67" s="551"/>
      <c r="C67" s="22"/>
      <c r="D67" s="22"/>
      <c r="E67" s="22"/>
      <c r="F67" s="22"/>
      <c r="G67" s="22"/>
    </row>
    <row r="68" spans="1:7" ht="15.5" x14ac:dyDescent="0.35">
      <c r="A68" s="22"/>
      <c r="B68" s="551"/>
      <c r="C68" s="22"/>
      <c r="D68" s="22"/>
      <c r="E68" s="22"/>
      <c r="F68" s="22"/>
      <c r="G68" s="22"/>
    </row>
    <row r="69" spans="1:7" ht="15.5" x14ac:dyDescent="0.35">
      <c r="A69" s="22"/>
      <c r="B69" s="551"/>
      <c r="C69" s="22"/>
      <c r="D69" s="22"/>
      <c r="E69" s="22"/>
      <c r="F69" s="22"/>
      <c r="G69" s="22"/>
    </row>
    <row r="70" spans="1:7" ht="15.5" x14ac:dyDescent="0.35">
      <c r="A70" s="22"/>
      <c r="B70" s="551"/>
      <c r="C70" s="22"/>
      <c r="D70" s="22"/>
      <c r="E70" s="22"/>
      <c r="F70" s="22"/>
      <c r="G70" s="22"/>
    </row>
    <row r="71" spans="1:7" ht="15.5" x14ac:dyDescent="0.35">
      <c r="A71" s="22"/>
      <c r="B71" s="551"/>
      <c r="C71" s="22"/>
      <c r="D71" s="22"/>
      <c r="E71" s="22"/>
      <c r="F71" s="22"/>
      <c r="G71" s="22"/>
    </row>
    <row r="72" spans="1:7" ht="15.5" x14ac:dyDescent="0.35">
      <c r="A72" s="22"/>
      <c r="B72" s="551"/>
      <c r="C72" s="22"/>
      <c r="D72" s="22"/>
      <c r="E72" s="22"/>
      <c r="F72" s="22"/>
      <c r="G72" s="22"/>
    </row>
    <row r="73" spans="1:7" ht="15.5" x14ac:dyDescent="0.35">
      <c r="A73" s="22"/>
      <c r="B73" s="551"/>
      <c r="C73" s="22"/>
      <c r="D73" s="22"/>
      <c r="E73" s="22"/>
      <c r="F73" s="22"/>
      <c r="G73" s="22"/>
    </row>
    <row r="74" spans="1:7" ht="15.5" x14ac:dyDescent="0.35">
      <c r="A74" s="22"/>
      <c r="B74" s="551"/>
      <c r="C74" s="22"/>
      <c r="D74" s="22"/>
      <c r="E74" s="22"/>
      <c r="F74" s="22"/>
      <c r="G74" s="22"/>
    </row>
    <row r="75" spans="1:7" ht="15.5" x14ac:dyDescent="0.35">
      <c r="A75" s="22"/>
      <c r="B75" s="551"/>
      <c r="C75" s="22"/>
      <c r="D75" s="22"/>
      <c r="E75" s="22"/>
      <c r="F75" s="22"/>
      <c r="G75" s="22"/>
    </row>
    <row r="76" spans="1:7" ht="15.5" x14ac:dyDescent="0.35">
      <c r="A76" s="22"/>
      <c r="B76" s="551"/>
      <c r="C76" s="22"/>
      <c r="D76" s="22"/>
      <c r="E76" s="22"/>
      <c r="F76" s="22"/>
      <c r="G76" s="22"/>
    </row>
    <row r="77" spans="1:7" ht="15.5" x14ac:dyDescent="0.35">
      <c r="A77" s="22"/>
      <c r="B77" s="551"/>
      <c r="C77" s="22"/>
      <c r="D77" s="22"/>
      <c r="E77" s="22"/>
      <c r="F77" s="22"/>
      <c r="G77" s="22"/>
    </row>
    <row r="78" spans="1:7" ht="15.5" x14ac:dyDescent="0.35">
      <c r="A78" s="22"/>
      <c r="B78" s="551"/>
      <c r="C78" s="22"/>
      <c r="D78" s="22"/>
      <c r="E78" s="22"/>
      <c r="F78" s="22"/>
      <c r="G78" s="22"/>
    </row>
    <row r="79" spans="1:7" ht="15.5" x14ac:dyDescent="0.35">
      <c r="A79" s="22"/>
      <c r="B79" s="551"/>
      <c r="C79" s="22"/>
      <c r="D79" s="22"/>
      <c r="E79" s="22"/>
      <c r="F79" s="22"/>
      <c r="G79" s="22"/>
    </row>
    <row r="80" spans="1:7" ht="15.5" x14ac:dyDescent="0.35">
      <c r="A80" s="22"/>
      <c r="B80" s="551"/>
      <c r="C80" s="22"/>
      <c r="D80" s="22"/>
      <c r="E80" s="22"/>
      <c r="F80" s="22"/>
      <c r="G80" s="22"/>
    </row>
    <row r="81" spans="1:7" ht="15.5" x14ac:dyDescent="0.35">
      <c r="A81" s="22"/>
      <c r="B81" s="551"/>
      <c r="C81" s="22"/>
      <c r="D81" s="22"/>
      <c r="E81" s="22"/>
      <c r="F81" s="22"/>
      <c r="G81" s="22"/>
    </row>
    <row r="82" spans="1:7" ht="15.5" x14ac:dyDescent="0.35">
      <c r="A82" s="22"/>
      <c r="B82" s="551"/>
      <c r="C82" s="22"/>
      <c r="D82" s="22"/>
      <c r="E82" s="22"/>
      <c r="F82" s="22"/>
      <c r="G82" s="22"/>
    </row>
    <row r="83" spans="1:7" ht="15.5" x14ac:dyDescent="0.35">
      <c r="A83" s="22"/>
      <c r="B83" s="551"/>
      <c r="C83" s="22"/>
      <c r="D83" s="22"/>
      <c r="E83" s="22"/>
      <c r="F83" s="22"/>
      <c r="G83" s="22"/>
    </row>
    <row r="84" spans="1:7" ht="15.5" x14ac:dyDescent="0.35">
      <c r="A84" s="22"/>
      <c r="B84" s="551"/>
      <c r="C84" s="22"/>
      <c r="D84" s="22"/>
      <c r="E84" s="22"/>
      <c r="F84" s="22"/>
      <c r="G84" s="22"/>
    </row>
    <row r="85" spans="1:7" ht="15.5" x14ac:dyDescent="0.35">
      <c r="A85" s="22"/>
      <c r="B85" s="551"/>
      <c r="C85" s="22"/>
      <c r="D85" s="22"/>
      <c r="E85" s="22"/>
      <c r="F85" s="22"/>
      <c r="G85" s="22"/>
    </row>
    <row r="86" spans="1:7" ht="15.5" x14ac:dyDescent="0.35">
      <c r="A86" s="22"/>
      <c r="B86" s="551"/>
      <c r="C86" s="22"/>
      <c r="D86" s="22"/>
      <c r="E86" s="22"/>
      <c r="F86" s="22"/>
      <c r="G86" s="22"/>
    </row>
    <row r="87" spans="1:7" ht="15.5" x14ac:dyDescent="0.35">
      <c r="A87" s="22"/>
      <c r="B87" s="551"/>
      <c r="C87" s="22"/>
      <c r="D87" s="22"/>
      <c r="E87" s="22"/>
      <c r="F87" s="22"/>
      <c r="G87" s="22"/>
    </row>
    <row r="88" spans="1:7" ht="15.5" x14ac:dyDescent="0.35">
      <c r="A88" s="22"/>
      <c r="B88" s="551"/>
      <c r="C88" s="22"/>
      <c r="D88" s="22"/>
      <c r="E88" s="22"/>
      <c r="F88" s="22"/>
      <c r="G88" s="22"/>
    </row>
    <row r="89" spans="1:7" ht="15.5" x14ac:dyDescent="0.35">
      <c r="A89" s="22"/>
      <c r="B89" s="551"/>
      <c r="C89" s="22"/>
      <c r="D89" s="22"/>
      <c r="E89" s="22"/>
      <c r="F89" s="22"/>
      <c r="G89" s="22"/>
    </row>
  </sheetData>
  <phoneticPr fontId="0" type="noConversion"/>
  <printOptions horizontalCentered="1"/>
  <pageMargins left="0.25" right="0.25" top="0.5" bottom="0.5" header="0.25" footer="0.25"/>
  <pageSetup scale="74" orientation="landscape" r:id="rId1"/>
  <headerFooter alignWithMargins="0">
    <oddFooter>&amp;L&amp;"Times New Roman,Regular"&amp;14&amp;F&amp;C&amp;"Times New Roman,Regular"&amp;14Page 1&amp;R&amp;"Times New Roman,Regular"&amp;14&amp;A</oddFooter>
  </headerFooter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E46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3" width="20.54296875" style="2" customWidth="1"/>
    <col min="4" max="4" width="40.54296875" style="1" customWidth="1"/>
    <col min="5" max="5" width="5.54296875" style="1" customWidth="1"/>
    <col min="6" max="7" width="15.54296875" style="1" customWidth="1"/>
    <col min="8" max="16384" width="8.54296875" style="1"/>
  </cols>
  <sheetData>
    <row r="2" spans="1:5" ht="15" x14ac:dyDescent="0.3">
      <c r="B2" s="5" t="s">
        <v>23</v>
      </c>
      <c r="C2" s="5"/>
      <c r="D2" s="6"/>
    </row>
    <row r="3" spans="1:5" ht="15" x14ac:dyDescent="0.3">
      <c r="B3" s="5" t="s">
        <v>108</v>
      </c>
      <c r="C3" s="5"/>
      <c r="D3" s="6"/>
    </row>
    <row r="4" spans="1:5" ht="15" x14ac:dyDescent="0.3">
      <c r="B4" s="5" t="str">
        <f>'Stmnt BK1 - TRBAA'!B4</f>
        <v>2021 - TRBAA Rate Filing</v>
      </c>
      <c r="C4" s="5"/>
      <c r="D4" s="6"/>
    </row>
    <row r="5" spans="1:5" ht="15" x14ac:dyDescent="0.3">
      <c r="B5" s="5" t="s">
        <v>24</v>
      </c>
      <c r="C5" s="5"/>
      <c r="D5" s="6"/>
    </row>
    <row r="6" spans="1:5" ht="15.5" thickBot="1" x14ac:dyDescent="0.35">
      <c r="B6" s="5"/>
      <c r="C6" s="5"/>
      <c r="D6" s="6"/>
    </row>
    <row r="7" spans="1:5" ht="15" x14ac:dyDescent="0.3">
      <c r="A7" s="661" t="s">
        <v>93</v>
      </c>
      <c r="B7" s="525"/>
      <c r="C7" s="701" t="s">
        <v>88</v>
      </c>
      <c r="D7" s="703"/>
      <c r="E7" s="663" t="s">
        <v>93</v>
      </c>
    </row>
    <row r="8" spans="1:5" ht="15.5" thickBot="1" x14ac:dyDescent="0.35">
      <c r="A8" s="678" t="s">
        <v>87</v>
      </c>
      <c r="B8" s="174" t="s">
        <v>99</v>
      </c>
      <c r="C8" s="692" t="s">
        <v>107</v>
      </c>
      <c r="D8" s="693" t="s">
        <v>91</v>
      </c>
      <c r="E8" s="679" t="s">
        <v>87</v>
      </c>
    </row>
    <row r="9" spans="1:5" ht="15.5" x14ac:dyDescent="0.35">
      <c r="A9" s="388"/>
      <c r="B9" s="11"/>
      <c r="C9" s="280"/>
      <c r="D9" s="99"/>
      <c r="E9" s="405"/>
    </row>
    <row r="10" spans="1:5" ht="15.5" x14ac:dyDescent="0.35">
      <c r="A10" s="308">
        <v>1</v>
      </c>
      <c r="B10" s="18" t="s">
        <v>490</v>
      </c>
      <c r="C10" s="509">
        <f>'WP 4 Monthly TRBAA '!O38</f>
        <v>-5041423.9391464861</v>
      </c>
      <c r="D10" s="67" t="str">
        <f>'Stmnt BK1 - TRBAA'!D10</f>
        <v>Work paper No. 4; Page 4.4; Line 32</v>
      </c>
      <c r="E10" s="309">
        <v>1</v>
      </c>
    </row>
    <row r="11" spans="1:5" ht="15.5" x14ac:dyDescent="0.35">
      <c r="A11" s="308">
        <f>A10+1</f>
        <v>2</v>
      </c>
      <c r="B11" s="17"/>
      <c r="C11" s="99"/>
      <c r="D11" s="33"/>
      <c r="E11" s="309">
        <f>E10+1</f>
        <v>2</v>
      </c>
    </row>
    <row r="12" spans="1:5" ht="15.5" x14ac:dyDescent="0.35">
      <c r="A12" s="308">
        <f t="shared" ref="A12:A36" si="0">A11+1</f>
        <v>3</v>
      </c>
      <c r="B12" s="20" t="s">
        <v>101</v>
      </c>
      <c r="C12" s="281"/>
      <c r="D12" s="67"/>
      <c r="E12" s="309">
        <f t="shared" ref="E12:E36" si="1">E11+1</f>
        <v>3</v>
      </c>
    </row>
    <row r="13" spans="1:5" ht="15.5" x14ac:dyDescent="0.35">
      <c r="A13" s="308">
        <f t="shared" si="0"/>
        <v>4</v>
      </c>
      <c r="B13" s="17"/>
      <c r="C13" s="99"/>
      <c r="D13" s="33"/>
      <c r="E13" s="309">
        <f t="shared" si="1"/>
        <v>4</v>
      </c>
    </row>
    <row r="14" spans="1:5" ht="15.5" x14ac:dyDescent="0.35">
      <c r="A14" s="308">
        <f t="shared" si="0"/>
        <v>5</v>
      </c>
      <c r="B14" s="18" t="s">
        <v>85</v>
      </c>
      <c r="C14" s="282">
        <f>'WP 7 Wheeling Revenues'!E37</f>
        <v>-16245100.029999999</v>
      </c>
      <c r="D14" s="67" t="str">
        <f>'Stmnt BK1 - TRBAA'!D14</f>
        <v>Work paper No. 7; Page 7.1; Line 27</v>
      </c>
      <c r="E14" s="309">
        <f t="shared" si="1"/>
        <v>5</v>
      </c>
    </row>
    <row r="15" spans="1:5" ht="15.5" x14ac:dyDescent="0.35">
      <c r="A15" s="308">
        <f t="shared" si="0"/>
        <v>6</v>
      </c>
      <c r="B15" s="17"/>
      <c r="C15" s="283"/>
      <c r="D15" s="33"/>
      <c r="E15" s="309">
        <f t="shared" si="1"/>
        <v>6</v>
      </c>
    </row>
    <row r="16" spans="1:5" ht="15.5" x14ac:dyDescent="0.35">
      <c r="A16" s="308">
        <f t="shared" si="0"/>
        <v>7</v>
      </c>
      <c r="B16" s="18" t="s">
        <v>86</v>
      </c>
      <c r="C16" s="282">
        <f>'WP 8 CT4575'!C34</f>
        <v>12000</v>
      </c>
      <c r="D16" s="67" t="str">
        <f>'Stmnt BK1 - TRBAA'!D16</f>
        <v>Work paper No. 8; Page 8.1; Line 27</v>
      </c>
      <c r="E16" s="309">
        <f t="shared" si="1"/>
        <v>7</v>
      </c>
    </row>
    <row r="17" spans="1:5" ht="15.5" x14ac:dyDescent="0.35">
      <c r="A17" s="308">
        <f t="shared" si="0"/>
        <v>8</v>
      </c>
      <c r="B17" s="17"/>
      <c r="C17" s="283"/>
      <c r="D17" s="33"/>
      <c r="E17" s="309">
        <f t="shared" si="1"/>
        <v>8</v>
      </c>
    </row>
    <row r="18" spans="1:5" ht="15.5" x14ac:dyDescent="0.35">
      <c r="A18" s="308">
        <f t="shared" si="0"/>
        <v>9</v>
      </c>
      <c r="B18" s="18" t="s">
        <v>197</v>
      </c>
      <c r="C18" s="282">
        <f>'WP 9 ETC Cost Diffs'!C34</f>
        <v>772854.75999999989</v>
      </c>
      <c r="D18" s="67" t="str">
        <f>'Stmnt BK1 - TRBAA'!D18</f>
        <v>Work paper No. 9; Page 9.1; Line 27</v>
      </c>
      <c r="E18" s="309">
        <f t="shared" si="1"/>
        <v>9</v>
      </c>
    </row>
    <row r="19" spans="1:5" ht="15.5" x14ac:dyDescent="0.35">
      <c r="A19" s="308">
        <f t="shared" si="0"/>
        <v>10</v>
      </c>
      <c r="B19" s="17"/>
      <c r="C19" s="283"/>
      <c r="D19" s="33"/>
      <c r="E19" s="309">
        <f t="shared" si="1"/>
        <v>10</v>
      </c>
    </row>
    <row r="20" spans="1:5" ht="15.5" x14ac:dyDescent="0.35">
      <c r="A20" s="308">
        <f t="shared" si="0"/>
        <v>11</v>
      </c>
      <c r="B20" s="18" t="s">
        <v>213</v>
      </c>
      <c r="C20" s="510">
        <f>'WP 11 Other PTO Forecast'!C34</f>
        <v>-908703.00999999989</v>
      </c>
      <c r="D20" s="67" t="str">
        <f>'Stmnt BK1 - TRBAA'!D20</f>
        <v>Work paper No. 11; Page 11.1; Line 27</v>
      </c>
      <c r="E20" s="309">
        <f t="shared" si="1"/>
        <v>11</v>
      </c>
    </row>
    <row r="21" spans="1:5" ht="15.5" x14ac:dyDescent="0.35">
      <c r="A21" s="308">
        <f t="shared" si="0"/>
        <v>12</v>
      </c>
      <c r="B21" s="17"/>
      <c r="C21" s="99"/>
      <c r="D21" s="33"/>
      <c r="E21" s="309">
        <f t="shared" si="1"/>
        <v>12</v>
      </c>
    </row>
    <row r="22" spans="1:5" ht="15.5" x14ac:dyDescent="0.35">
      <c r="A22" s="308">
        <f t="shared" si="0"/>
        <v>13</v>
      </c>
      <c r="B22" s="555" t="s">
        <v>103</v>
      </c>
      <c r="C22" s="298">
        <f>SUM(C14:C20)</f>
        <v>-16368948.279999999</v>
      </c>
      <c r="D22" s="67" t="s">
        <v>205</v>
      </c>
      <c r="E22" s="309">
        <f t="shared" si="1"/>
        <v>13</v>
      </c>
    </row>
    <row r="23" spans="1:5" ht="15.5" x14ac:dyDescent="0.35">
      <c r="A23" s="308">
        <f t="shared" si="0"/>
        <v>14</v>
      </c>
      <c r="B23" s="18"/>
      <c r="C23" s="284"/>
      <c r="D23" s="67"/>
      <c r="E23" s="309">
        <f t="shared" si="1"/>
        <v>14</v>
      </c>
    </row>
    <row r="24" spans="1:5" ht="15.5" x14ac:dyDescent="0.35">
      <c r="A24" s="308">
        <f t="shared" si="0"/>
        <v>15</v>
      </c>
      <c r="B24" s="11" t="s">
        <v>165</v>
      </c>
      <c r="C24" s="300">
        <f>C10+C22</f>
        <v>-21410372.219146486</v>
      </c>
      <c r="D24" s="67" t="str">
        <f>'Stmnt BK1 - TRBAA'!D24</f>
        <v>Line 1 + Line 13</v>
      </c>
      <c r="E24" s="309">
        <f t="shared" si="1"/>
        <v>15</v>
      </c>
    </row>
    <row r="25" spans="1:5" ht="15.5" x14ac:dyDescent="0.35">
      <c r="A25" s="308">
        <f t="shared" si="0"/>
        <v>16</v>
      </c>
      <c r="B25" s="11"/>
      <c r="C25" s="514"/>
      <c r="D25" s="68"/>
      <c r="E25" s="309">
        <f t="shared" si="1"/>
        <v>16</v>
      </c>
    </row>
    <row r="26" spans="1:5" ht="15.5" x14ac:dyDescent="0.35">
      <c r="A26" s="308">
        <f t="shared" si="0"/>
        <v>17</v>
      </c>
      <c r="B26" s="11" t="s">
        <v>480</v>
      </c>
      <c r="C26" s="283">
        <f>C24*0.010275</f>
        <v>-219991.57455173013</v>
      </c>
      <c r="D26" s="67" t="str">
        <f>'Stmnt BK1 - TRBAA'!D26</f>
        <v>Line 15 x 1.0275%</v>
      </c>
      <c r="E26" s="309">
        <f t="shared" si="1"/>
        <v>17</v>
      </c>
    </row>
    <row r="27" spans="1:5" ht="15.5" x14ac:dyDescent="0.35">
      <c r="A27" s="308">
        <f t="shared" si="0"/>
        <v>18</v>
      </c>
      <c r="B27" s="11"/>
      <c r="C27" s="514"/>
      <c r="D27" s="68"/>
      <c r="E27" s="309">
        <f t="shared" si="1"/>
        <v>18</v>
      </c>
    </row>
    <row r="28" spans="1:5" ht="15.5" x14ac:dyDescent="0.35">
      <c r="A28" s="308">
        <f t="shared" si="0"/>
        <v>19</v>
      </c>
      <c r="B28" s="11" t="s">
        <v>541</v>
      </c>
      <c r="C28" s="298">
        <f>C24*0.00169</f>
        <v>-36183.529050357567</v>
      </c>
      <c r="D28" s="67" t="str">
        <f>'Stmnt BK1 - TRBAA'!D28</f>
        <v>Line 15 x 0.1690%</v>
      </c>
      <c r="E28" s="309">
        <f t="shared" si="1"/>
        <v>19</v>
      </c>
    </row>
    <row r="29" spans="1:5" ht="15.5" x14ac:dyDescent="0.35">
      <c r="A29" s="308">
        <f t="shared" si="0"/>
        <v>20</v>
      </c>
      <c r="B29" s="11"/>
      <c r="C29" s="283"/>
      <c r="D29" s="68"/>
      <c r="E29" s="309">
        <f t="shared" si="1"/>
        <v>20</v>
      </c>
    </row>
    <row r="30" spans="1:5" ht="15.5" x14ac:dyDescent="0.35">
      <c r="A30" s="214">
        <f t="shared" si="0"/>
        <v>21</v>
      </c>
      <c r="B30" s="11" t="s">
        <v>261</v>
      </c>
      <c r="C30" s="298">
        <f>SUM(C26:C28)</f>
        <v>-256175.10360208771</v>
      </c>
      <c r="D30" s="67" t="s">
        <v>204</v>
      </c>
      <c r="E30" s="309">
        <f t="shared" si="1"/>
        <v>21</v>
      </c>
    </row>
    <row r="31" spans="1:5" ht="15.5" x14ac:dyDescent="0.35">
      <c r="A31" s="308">
        <f t="shared" si="0"/>
        <v>22</v>
      </c>
      <c r="B31" s="11"/>
      <c r="C31" s="514"/>
      <c r="D31" s="68"/>
      <c r="E31" s="309">
        <f t="shared" si="1"/>
        <v>22</v>
      </c>
    </row>
    <row r="32" spans="1:5" ht="15.5" x14ac:dyDescent="0.35">
      <c r="A32" s="308">
        <f t="shared" si="0"/>
        <v>23</v>
      </c>
      <c r="B32" s="11" t="s">
        <v>349</v>
      </c>
      <c r="C32" s="284">
        <f>SUM(C24:C29)</f>
        <v>-21666547.322748575</v>
      </c>
      <c r="D32" s="67" t="s">
        <v>262</v>
      </c>
      <c r="E32" s="309">
        <f t="shared" si="1"/>
        <v>23</v>
      </c>
    </row>
    <row r="33" spans="1:5" ht="15.5" x14ac:dyDescent="0.35">
      <c r="A33" s="308">
        <f t="shared" si="0"/>
        <v>24</v>
      </c>
      <c r="B33" s="11"/>
      <c r="C33" s="514"/>
      <c r="D33" s="68"/>
      <c r="E33" s="309">
        <f t="shared" si="1"/>
        <v>24</v>
      </c>
    </row>
    <row r="34" spans="1:5" ht="15.5" x14ac:dyDescent="0.35">
      <c r="A34" s="308">
        <f t="shared" si="0"/>
        <v>25</v>
      </c>
      <c r="B34" s="449" t="s">
        <v>492</v>
      </c>
      <c r="C34" s="515">
        <f>'Stmnt BD - Recorded KWH'!$E26</f>
        <v>17686929259</v>
      </c>
      <c r="D34" s="67" t="s">
        <v>472</v>
      </c>
      <c r="E34" s="309">
        <f t="shared" si="1"/>
        <v>25</v>
      </c>
    </row>
    <row r="35" spans="1:5" ht="15.5" x14ac:dyDescent="0.35">
      <c r="A35" s="308">
        <f t="shared" si="0"/>
        <v>26</v>
      </c>
      <c r="B35" s="17"/>
      <c r="C35" s="513"/>
      <c r="D35" s="69"/>
      <c r="E35" s="309">
        <f t="shared" si="1"/>
        <v>26</v>
      </c>
    </row>
    <row r="36" spans="1:5" ht="16" thickBot="1" x14ac:dyDescent="0.4">
      <c r="A36" s="308">
        <f t="shared" si="0"/>
        <v>27</v>
      </c>
      <c r="B36" s="449" t="s">
        <v>129</v>
      </c>
      <c r="C36" s="557">
        <f>ROUND(C32/C34,5)</f>
        <v>-1.23E-3</v>
      </c>
      <c r="D36" s="67" t="s">
        <v>273</v>
      </c>
      <c r="E36" s="309">
        <f t="shared" si="1"/>
        <v>27</v>
      </c>
    </row>
    <row r="37" spans="1:5" ht="16.5" thickTop="1" thickBot="1" x14ac:dyDescent="0.4">
      <c r="A37" s="685"/>
      <c r="B37" s="88"/>
      <c r="C37" s="692"/>
      <c r="D37" s="686"/>
      <c r="E37" s="473"/>
    </row>
    <row r="38" spans="1:5" ht="15.5" x14ac:dyDescent="0.35">
      <c r="A38" s="22"/>
      <c r="B38" s="22"/>
      <c r="C38" s="22"/>
      <c r="D38" s="37"/>
      <c r="E38" s="22"/>
    </row>
    <row r="39" spans="1:5" ht="15.5" x14ac:dyDescent="0.35">
      <c r="A39" s="22"/>
      <c r="B39" s="74"/>
    </row>
    <row r="40" spans="1:5" ht="18.5" x14ac:dyDescent="0.35">
      <c r="A40" s="75"/>
      <c r="B40" s="551"/>
    </row>
    <row r="41" spans="1:5" ht="18.5" x14ac:dyDescent="0.35">
      <c r="A41" s="75"/>
      <c r="B41" s="551"/>
    </row>
    <row r="42" spans="1:5" ht="18.5" x14ac:dyDescent="0.35">
      <c r="A42" s="75"/>
      <c r="B42" s="551"/>
    </row>
    <row r="43" spans="1:5" ht="18.5" x14ac:dyDescent="0.35">
      <c r="A43" s="75"/>
      <c r="B43" s="551"/>
    </row>
    <row r="44" spans="1:5" ht="15.5" x14ac:dyDescent="0.35">
      <c r="A44" s="36"/>
      <c r="B44" s="551"/>
    </row>
    <row r="45" spans="1:5" ht="15.5" x14ac:dyDescent="0.35">
      <c r="B45" s="551"/>
    </row>
    <row r="46" spans="1:5" ht="18.5" x14ac:dyDescent="0.35">
      <c r="A46" s="75"/>
    </row>
  </sheetData>
  <phoneticPr fontId="15" type="noConversion"/>
  <printOptions horizontalCentered="1"/>
  <pageMargins left="0.25" right="0.25" top="0.5" bottom="0.75" header="0.25" footer="0.25"/>
  <pageSetup scale="94" orientation="landscape" r:id="rId1"/>
  <headerFooter alignWithMargins="0">
    <oddFooter>&amp;L&amp;"Times New Roman,Regular"&amp;12&amp;F&amp;C&amp;"Times New Roman,Regular"&amp;12Page 1&amp;R&amp;"Times New Roman,Regular"&amp;12&amp;A</oddFooter>
  </headerFooter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G32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5" width="20.54296875" style="1" customWidth="1"/>
    <col min="6" max="6" width="50.54296875" style="1" customWidth="1"/>
    <col min="7" max="7" width="5.54296875" style="1" customWidth="1"/>
    <col min="8" max="9" width="15.54296875" style="1" customWidth="1"/>
    <col min="10" max="16384" width="8.54296875" style="1"/>
  </cols>
  <sheetData>
    <row r="2" spans="1:7" ht="15" x14ac:dyDescent="0.3">
      <c r="B2" s="5" t="s">
        <v>23</v>
      </c>
      <c r="C2" s="6"/>
      <c r="D2" s="6"/>
      <c r="E2" s="6"/>
      <c r="F2" s="6"/>
    </row>
    <row r="3" spans="1:7" ht="15" x14ac:dyDescent="0.3">
      <c r="B3" s="5" t="s">
        <v>108</v>
      </c>
      <c r="C3" s="6"/>
      <c r="D3" s="6"/>
      <c r="E3" s="6"/>
      <c r="F3" s="6"/>
    </row>
    <row r="4" spans="1:7" ht="15" x14ac:dyDescent="0.3">
      <c r="B4" s="5" t="str">
        <f>'Stmnt BK1 - TRBAA'!B4</f>
        <v>2021 - TRBAA Rate Filing</v>
      </c>
      <c r="C4" s="6"/>
      <c r="D4" s="6"/>
      <c r="E4" s="6"/>
      <c r="F4" s="6"/>
    </row>
    <row r="5" spans="1:7" ht="15" x14ac:dyDescent="0.3">
      <c r="B5" s="5" t="s">
        <v>493</v>
      </c>
      <c r="C5" s="6"/>
      <c r="D5" s="6"/>
      <c r="E5" s="6"/>
      <c r="F5" s="6"/>
    </row>
    <row r="6" spans="1:7" ht="15" x14ac:dyDescent="0.3">
      <c r="B6" s="5" t="s">
        <v>114</v>
      </c>
      <c r="C6" s="6"/>
      <c r="D6" s="6"/>
      <c r="E6" s="6"/>
      <c r="F6" s="6"/>
    </row>
    <row r="7" spans="1:7" ht="15.5" thickBot="1" x14ac:dyDescent="0.35">
      <c r="B7" s="5"/>
      <c r="C7" s="6"/>
      <c r="D7" s="6"/>
      <c r="E7" s="6"/>
      <c r="F7" s="6"/>
    </row>
    <row r="8" spans="1:7" ht="15" x14ac:dyDescent="0.3">
      <c r="A8" s="334"/>
      <c r="B8" s="698"/>
      <c r="C8" s="699" t="s">
        <v>115</v>
      </c>
      <c r="D8" s="700" t="s">
        <v>132</v>
      </c>
      <c r="E8" s="700" t="s">
        <v>258</v>
      </c>
      <c r="F8" s="701"/>
      <c r="G8" s="652"/>
    </row>
    <row r="9" spans="1:7" ht="15" x14ac:dyDescent="0.3">
      <c r="A9" s="655" t="s">
        <v>93</v>
      </c>
      <c r="B9" s="81"/>
      <c r="C9" s="694" t="s">
        <v>88</v>
      </c>
      <c r="D9" s="695" t="s">
        <v>88</v>
      </c>
      <c r="E9" s="695" t="s">
        <v>104</v>
      </c>
      <c r="F9" s="688"/>
      <c r="G9" s="656" t="s">
        <v>93</v>
      </c>
    </row>
    <row r="10" spans="1:7" ht="15" x14ac:dyDescent="0.3">
      <c r="A10" s="655" t="s">
        <v>87</v>
      </c>
      <c r="B10" s="82"/>
      <c r="C10" s="688" t="s">
        <v>100</v>
      </c>
      <c r="D10" s="696" t="s">
        <v>98</v>
      </c>
      <c r="E10" s="696" t="s">
        <v>90</v>
      </c>
      <c r="F10" s="688"/>
      <c r="G10" s="656" t="s">
        <v>87</v>
      </c>
    </row>
    <row r="11" spans="1:7" ht="15" x14ac:dyDescent="0.3">
      <c r="A11" s="704"/>
      <c r="B11" s="649" t="s">
        <v>99</v>
      </c>
      <c r="C11" s="689" t="s">
        <v>90</v>
      </c>
      <c r="D11" s="697" t="s">
        <v>90</v>
      </c>
      <c r="E11" s="697"/>
      <c r="F11" s="689" t="s">
        <v>106</v>
      </c>
      <c r="G11" s="705"/>
    </row>
    <row r="12" spans="1:7" ht="15.5" x14ac:dyDescent="0.35">
      <c r="A12" s="408"/>
      <c r="B12" s="8"/>
      <c r="C12" s="99"/>
      <c r="D12" s="17"/>
      <c r="E12" s="17"/>
      <c r="F12" s="66"/>
      <c r="G12" s="409"/>
    </row>
    <row r="13" spans="1:7" s="418" customFormat="1" ht="18" x14ac:dyDescent="0.25">
      <c r="A13" s="413">
        <v>1</v>
      </c>
      <c r="B13" s="558" t="s">
        <v>186</v>
      </c>
      <c r="C13" s="516">
        <f>'Stmnt BK2 - TRBAA'!C13</f>
        <v>575136094.36972773</v>
      </c>
      <c r="D13" s="441">
        <f>'Stmnt BK2 - TRBAA'!D13</f>
        <v>457544223.99300361</v>
      </c>
      <c r="E13" s="441">
        <f>C13+D13</f>
        <v>1032680318.3627313</v>
      </c>
      <c r="F13" s="442" t="s">
        <v>35</v>
      </c>
      <c r="G13" s="417">
        <v>1</v>
      </c>
    </row>
    <row r="14" spans="1:7" ht="15.5" x14ac:dyDescent="0.35">
      <c r="A14" s="308">
        <f>A13+1</f>
        <v>2</v>
      </c>
      <c r="B14" s="11"/>
      <c r="C14" s="512"/>
      <c r="D14" s="16"/>
      <c r="E14" s="16"/>
      <c r="F14" s="77"/>
      <c r="G14" s="309">
        <f>G13+1</f>
        <v>2</v>
      </c>
    </row>
    <row r="15" spans="1:7" ht="18.5" x14ac:dyDescent="0.35">
      <c r="A15" s="308">
        <f t="shared" ref="A15:A23" si="0">A14+1</f>
        <v>3</v>
      </c>
      <c r="B15" s="11" t="s">
        <v>188</v>
      </c>
      <c r="C15" s="1078">
        <f>'Stmnt BK2 - TRBAA'!C33</f>
        <v>-22488313.202371456</v>
      </c>
      <c r="D15" s="1079">
        <f>'Stmnt BK2 - TRBAA'!D33</f>
        <v>857949.40867324127</v>
      </c>
      <c r="E15" s="1079">
        <f>C15+D15</f>
        <v>-21630363.793698214</v>
      </c>
      <c r="F15" s="226" t="s">
        <v>474</v>
      </c>
      <c r="G15" s="309">
        <f t="shared" ref="G15:G23" si="1">G14+1</f>
        <v>3</v>
      </c>
    </row>
    <row r="16" spans="1:7" ht="15.5" x14ac:dyDescent="0.35">
      <c r="A16" s="308">
        <f t="shared" si="0"/>
        <v>4</v>
      </c>
      <c r="B16" s="11"/>
      <c r="C16" s="1078"/>
      <c r="D16" s="1079"/>
      <c r="E16" s="1079"/>
      <c r="F16" s="77"/>
      <c r="G16" s="309">
        <f t="shared" si="1"/>
        <v>4</v>
      </c>
    </row>
    <row r="17" spans="1:7" ht="18.5" x14ac:dyDescent="0.35">
      <c r="A17" s="308">
        <f t="shared" si="0"/>
        <v>5</v>
      </c>
      <c r="B17" s="11" t="s">
        <v>189</v>
      </c>
      <c r="C17" s="1080">
        <f>'Stmnt BK2 - TRBAA'!C35</f>
        <v>-9099355.510754399</v>
      </c>
      <c r="D17" s="1081">
        <f>'Stmnt BK2 - TRBAA'!D35</f>
        <v>-7238908.4892456029</v>
      </c>
      <c r="E17" s="1081">
        <f>C17+D17</f>
        <v>-16338264.000000002</v>
      </c>
      <c r="F17" s="226" t="s">
        <v>290</v>
      </c>
      <c r="G17" s="309">
        <f t="shared" si="1"/>
        <v>5</v>
      </c>
    </row>
    <row r="18" spans="1:7" ht="15.5" x14ac:dyDescent="0.35">
      <c r="A18" s="308">
        <f t="shared" si="0"/>
        <v>6</v>
      </c>
      <c r="B18" s="17"/>
      <c r="C18" s="512"/>
      <c r="D18" s="16"/>
      <c r="E18" s="16"/>
      <c r="F18" s="93"/>
      <c r="G18" s="309">
        <f t="shared" si="1"/>
        <v>6</v>
      </c>
    </row>
    <row r="19" spans="1:7" ht="15.5" x14ac:dyDescent="0.35">
      <c r="A19" s="308">
        <f t="shared" si="0"/>
        <v>7</v>
      </c>
      <c r="B19" s="11" t="s">
        <v>131</v>
      </c>
      <c r="C19" s="284">
        <f>C13+C15+C17</f>
        <v>543548425.65660191</v>
      </c>
      <c r="D19" s="19">
        <f>D13+D15+D17</f>
        <v>451163264.91243124</v>
      </c>
      <c r="E19" s="19">
        <f>E13+E15+E17</f>
        <v>994711690.56903315</v>
      </c>
      <c r="F19" s="76" t="s">
        <v>110</v>
      </c>
      <c r="G19" s="309">
        <f t="shared" si="1"/>
        <v>7</v>
      </c>
    </row>
    <row r="20" spans="1:7" ht="15.5" x14ac:dyDescent="0.35">
      <c r="A20" s="308">
        <f t="shared" si="0"/>
        <v>8</v>
      </c>
      <c r="B20" s="11"/>
      <c r="C20" s="284"/>
      <c r="D20" s="19"/>
      <c r="E20" s="19"/>
      <c r="F20" s="227"/>
      <c r="G20" s="309">
        <f t="shared" si="1"/>
        <v>8</v>
      </c>
    </row>
    <row r="21" spans="1:7" ht="15.5" x14ac:dyDescent="0.35">
      <c r="A21" s="308">
        <f t="shared" si="0"/>
        <v>9</v>
      </c>
      <c r="B21" s="11" t="s">
        <v>29</v>
      </c>
      <c r="C21" s="1082">
        <f>'Stmnt BD-Forecast MWH@Transm.'!$F40</f>
        <v>18450856.835012771</v>
      </c>
      <c r="D21" s="1083">
        <f>'Stmnt BD-Forecast MWH@Transm.'!$F40</f>
        <v>18450856.835012771</v>
      </c>
      <c r="E21" s="1083">
        <f>'Stmnt BD-Forecast MWH@Transm.'!$F40</f>
        <v>18450856.835012771</v>
      </c>
      <c r="F21" s="178" t="s">
        <v>455</v>
      </c>
      <c r="G21" s="309">
        <f t="shared" si="1"/>
        <v>9</v>
      </c>
    </row>
    <row r="22" spans="1:7" ht="15.5" x14ac:dyDescent="0.35">
      <c r="A22" s="308">
        <f t="shared" si="0"/>
        <v>10</v>
      </c>
      <c r="B22" s="11"/>
      <c r="C22" s="514"/>
      <c r="D22" s="15"/>
      <c r="E22" s="15"/>
      <c r="F22" s="228"/>
      <c r="G22" s="309">
        <f t="shared" si="1"/>
        <v>10</v>
      </c>
    </row>
    <row r="23" spans="1:7" ht="16" thickBot="1" x14ac:dyDescent="0.4">
      <c r="A23" s="308">
        <f t="shared" si="0"/>
        <v>11</v>
      </c>
      <c r="B23" s="11" t="s">
        <v>30</v>
      </c>
      <c r="C23" s="517">
        <f>C19/C21</f>
        <v>29.45925116199221</v>
      </c>
      <c r="D23" s="35">
        <f>D19/D21</f>
        <v>24.452157910427957</v>
      </c>
      <c r="E23" s="35">
        <f>E19/E21</f>
        <v>53.911409072420163</v>
      </c>
      <c r="F23" s="76" t="s">
        <v>105</v>
      </c>
      <c r="G23" s="309">
        <f t="shared" si="1"/>
        <v>11</v>
      </c>
    </row>
    <row r="24" spans="1:7" ht="16.5" thickTop="1" thickBot="1" x14ac:dyDescent="0.4">
      <c r="A24" s="685"/>
      <c r="B24" s="88"/>
      <c r="C24" s="660"/>
      <c r="D24" s="88"/>
      <c r="E24" s="88"/>
      <c r="F24" s="660"/>
      <c r="G24" s="473"/>
    </row>
    <row r="25" spans="1:7" x14ac:dyDescent="0.3">
      <c r="B25" s="1"/>
    </row>
    <row r="26" spans="1:7" ht="15.5" x14ac:dyDescent="0.35">
      <c r="A26" s="100"/>
      <c r="B26" s="221" t="s">
        <v>34</v>
      </c>
      <c r="C26" s="100"/>
      <c r="D26" s="100"/>
      <c r="E26" s="100"/>
      <c r="F26" s="100"/>
      <c r="G26" s="100"/>
    </row>
    <row r="27" spans="1:7" ht="18.5" x14ac:dyDescent="0.35">
      <c r="A27" s="222" t="s">
        <v>36</v>
      </c>
      <c r="B27" s="551" t="s">
        <v>491</v>
      </c>
      <c r="C27" s="100"/>
      <c r="D27" s="100"/>
      <c r="E27" s="100"/>
      <c r="F27" s="100"/>
      <c r="G27" s="100"/>
    </row>
    <row r="28" spans="1:7" ht="18.5" x14ac:dyDescent="0.35">
      <c r="A28" s="222">
        <v>2</v>
      </c>
      <c r="B28" s="551" t="s">
        <v>478</v>
      </c>
      <c r="C28" s="224"/>
      <c r="D28" s="224"/>
      <c r="E28" s="224"/>
      <c r="F28" s="224"/>
      <c r="G28" s="224"/>
    </row>
    <row r="29" spans="1:7" ht="18.5" x14ac:dyDescent="0.35">
      <c r="A29" s="222">
        <v>3</v>
      </c>
      <c r="B29" s="551" t="s">
        <v>530</v>
      </c>
      <c r="C29" s="100"/>
      <c r="D29" s="100"/>
      <c r="E29" s="100"/>
      <c r="F29" s="100"/>
      <c r="G29" s="100"/>
    </row>
    <row r="30" spans="1:7" ht="15.5" x14ac:dyDescent="0.35">
      <c r="A30" s="224"/>
      <c r="B30" s="220"/>
      <c r="C30" s="100"/>
      <c r="D30" s="100"/>
      <c r="E30" s="100"/>
      <c r="F30" s="100"/>
      <c r="G30" s="100"/>
    </row>
    <row r="31" spans="1:7" ht="15.5" x14ac:dyDescent="0.35">
      <c r="B31" s="220"/>
    </row>
    <row r="32" spans="1:7" ht="15.5" x14ac:dyDescent="0.35">
      <c r="B32" s="220"/>
    </row>
  </sheetData>
  <phoneticPr fontId="0" type="noConversion"/>
  <printOptions horizontalCentered="1"/>
  <pageMargins left="0.25" right="0.25" top="0.5" bottom="0.5" header="0.25" footer="0.25"/>
  <pageSetup scale="76" orientation="landscape" r:id="rId1"/>
  <headerFooter scaleWithDoc="0" alignWithMargins="0">
    <oddFooter>&amp;L&amp;"Times New Roman,Regular"&amp;12&amp;F&amp;C&amp;"Times New Roman,Regular"&amp;12Page 1&amp;R&amp;"Times New Roman,Regular"&amp;12&amp;A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7"/>
  <sheetViews>
    <sheetView zoomScale="80" zoomScaleNormal="80" workbookViewId="0"/>
  </sheetViews>
  <sheetFormatPr defaultColWidth="9.453125" defaultRowHeight="17.5" x14ac:dyDescent="0.35"/>
  <cols>
    <col min="1" max="1" width="5.54296875" style="207" customWidth="1"/>
    <col min="2" max="2" width="53.54296875" style="207" bestFit="1" customWidth="1"/>
    <col min="3" max="14" width="15.54296875" style="207" customWidth="1"/>
    <col min="15" max="15" width="18.453125" style="207" bestFit="1" customWidth="1"/>
    <col min="16" max="16" width="5.54296875" style="207" customWidth="1"/>
    <col min="17" max="17" width="3.81640625" style="207" bestFit="1" customWidth="1"/>
    <col min="18" max="18" width="5.54296875" style="207" bestFit="1" customWidth="1"/>
    <col min="19" max="16384" width="9.453125" style="207"/>
  </cols>
  <sheetData>
    <row r="1" spans="1:17" ht="18" thickBot="1" x14ac:dyDescent="0.4"/>
    <row r="2" spans="1:17" ht="25" x14ac:dyDescent="0.5">
      <c r="A2" s="706" t="s">
        <v>93</v>
      </c>
      <c r="B2" s="1117" t="s">
        <v>260</v>
      </c>
      <c r="C2" s="1118"/>
      <c r="D2" s="1118"/>
      <c r="E2" s="1118"/>
      <c r="F2" s="1118"/>
      <c r="G2" s="1118"/>
      <c r="H2" s="1118"/>
      <c r="I2" s="1118"/>
      <c r="J2" s="1118"/>
      <c r="K2" s="1118"/>
      <c r="L2" s="1118"/>
      <c r="M2" s="1118"/>
      <c r="N2" s="1118"/>
      <c r="O2" s="1119"/>
      <c r="P2" s="706" t="s">
        <v>93</v>
      </c>
    </row>
    <row r="3" spans="1:17" ht="25.5" thickBot="1" x14ac:dyDescent="0.55000000000000004">
      <c r="A3" s="208" t="s">
        <v>87</v>
      </c>
      <c r="B3" s="1120" t="s">
        <v>494</v>
      </c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  <c r="N3" s="1121"/>
      <c r="O3" s="1122"/>
      <c r="P3" s="208" t="s">
        <v>87</v>
      </c>
    </row>
    <row r="4" spans="1:17" x14ac:dyDescent="0.35">
      <c r="A4" s="132">
        <v>1</v>
      </c>
      <c r="B4" s="209" t="s">
        <v>134</v>
      </c>
      <c r="C4" s="971"/>
      <c r="D4" s="210"/>
      <c r="E4" s="210"/>
      <c r="F4" s="711"/>
      <c r="G4" s="210"/>
      <c r="H4" s="210"/>
      <c r="I4" s="210"/>
      <c r="J4" s="210"/>
      <c r="K4" s="210"/>
      <c r="L4" s="210"/>
      <c r="M4" s="210"/>
      <c r="N4" s="210"/>
      <c r="O4" s="134"/>
      <c r="P4" s="132">
        <v>1</v>
      </c>
    </row>
    <row r="5" spans="1:17" x14ac:dyDescent="0.35">
      <c r="A5" s="132">
        <f>A4+1</f>
        <v>2</v>
      </c>
      <c r="B5" s="211" t="s">
        <v>135</v>
      </c>
      <c r="C5" s="594">
        <f>'Stmnt BD - Recorded KWH'!B12</f>
        <v>43739</v>
      </c>
      <c r="D5" s="595">
        <f>'Stmnt BD - Recorded KWH'!B13</f>
        <v>43770</v>
      </c>
      <c r="E5" s="595">
        <f>'Stmnt BD - Recorded KWH'!B14</f>
        <v>43800</v>
      </c>
      <c r="F5" s="595">
        <f>'Stmnt BD - Recorded KWH'!B15</f>
        <v>43831</v>
      </c>
      <c r="G5" s="595">
        <f>'Stmnt BD - Recorded KWH'!B16</f>
        <v>43862</v>
      </c>
      <c r="H5" s="595">
        <f>'Stmnt BD - Recorded KWH'!B17</f>
        <v>43891</v>
      </c>
      <c r="I5" s="595">
        <f>'Stmnt BD - Recorded KWH'!B18</f>
        <v>43922</v>
      </c>
      <c r="J5" s="595">
        <f>'Stmnt BD - Recorded KWH'!B19</f>
        <v>43952</v>
      </c>
      <c r="K5" s="595">
        <f>'Stmnt BD - Recorded KWH'!B20</f>
        <v>43983</v>
      </c>
      <c r="L5" s="595">
        <f>'Stmnt BD - Recorded KWH'!B21</f>
        <v>44013</v>
      </c>
      <c r="M5" s="595">
        <f>'Stmnt BD - Recorded KWH'!B22</f>
        <v>44044</v>
      </c>
      <c r="N5" s="595">
        <f>'Stmnt BD - Recorded KWH'!B23</f>
        <v>44075</v>
      </c>
      <c r="O5" s="212" t="s">
        <v>88</v>
      </c>
      <c r="P5" s="132">
        <f>P4+1</f>
        <v>2</v>
      </c>
    </row>
    <row r="6" spans="1:17" x14ac:dyDescent="0.35">
      <c r="A6" s="132">
        <f>A5+1</f>
        <v>3</v>
      </c>
      <c r="B6" s="170" t="s">
        <v>136</v>
      </c>
      <c r="C6" s="230">
        <v>497502.55499999999</v>
      </c>
      <c r="D6" s="254">
        <v>464647.93900000001</v>
      </c>
      <c r="E6" s="254">
        <v>524919.40899999999</v>
      </c>
      <c r="F6" s="201">
        <v>578952.30900000001</v>
      </c>
      <c r="G6" s="201">
        <v>486037.36900000001</v>
      </c>
      <c r="H6" s="201">
        <v>450388.67700000003</v>
      </c>
      <c r="I6" s="201">
        <v>463643.09499999997</v>
      </c>
      <c r="J6" s="201">
        <v>477491.571</v>
      </c>
      <c r="K6" s="201">
        <v>485383.79700000002</v>
      </c>
      <c r="L6" s="201">
        <v>539761.39</v>
      </c>
      <c r="M6" s="201">
        <v>640234.36</v>
      </c>
      <c r="N6" s="201">
        <v>770769.46299999999</v>
      </c>
      <c r="O6" s="231">
        <f>SUM(C6:N6)</f>
        <v>6379731.9340000004</v>
      </c>
      <c r="P6" s="132">
        <f>P5+1</f>
        <v>3</v>
      </c>
    </row>
    <row r="7" spans="1:17" x14ac:dyDescent="0.35">
      <c r="A7" s="132">
        <f t="shared" ref="A7:A22" si="0">A6+1</f>
        <v>4</v>
      </c>
      <c r="B7" s="170" t="s">
        <v>137</v>
      </c>
      <c r="C7" s="230">
        <v>187276.83900000001</v>
      </c>
      <c r="D7" s="254">
        <v>187164.64600000001</v>
      </c>
      <c r="E7" s="254">
        <v>173268.19500000001</v>
      </c>
      <c r="F7" s="201">
        <v>176332.80799999999</v>
      </c>
      <c r="G7" s="201">
        <v>178446.671</v>
      </c>
      <c r="H7" s="201">
        <v>165447.26999999999</v>
      </c>
      <c r="I7" s="201">
        <v>139576.065</v>
      </c>
      <c r="J7" s="201">
        <v>145419.959</v>
      </c>
      <c r="K7" s="201">
        <v>166847.23300000001</v>
      </c>
      <c r="L7" s="201">
        <v>174065.03</v>
      </c>
      <c r="M7" s="201">
        <v>194842.65100000001</v>
      </c>
      <c r="N7" s="201">
        <v>202271.65700000001</v>
      </c>
      <c r="O7" s="231">
        <f>SUM(C7:N7)</f>
        <v>2090959.0239999997</v>
      </c>
      <c r="P7" s="132">
        <f t="shared" ref="P7:P22" si="1">P6+1</f>
        <v>4</v>
      </c>
    </row>
    <row r="8" spans="1:17" x14ac:dyDescent="0.35">
      <c r="A8" s="132">
        <f t="shared" si="0"/>
        <v>5</v>
      </c>
      <c r="B8" s="170" t="s">
        <v>138</v>
      </c>
      <c r="C8" s="232">
        <v>827630.147</v>
      </c>
      <c r="D8" s="233">
        <v>817332.82500000007</v>
      </c>
      <c r="E8" s="233">
        <v>727327.04599999997</v>
      </c>
      <c r="F8" s="233">
        <v>732085.63399999996</v>
      </c>
      <c r="G8" s="233">
        <v>775597.34499999997</v>
      </c>
      <c r="H8" s="233">
        <v>605835.74800000002</v>
      </c>
      <c r="I8" s="233">
        <v>661657.78799999994</v>
      </c>
      <c r="J8" s="233">
        <v>463144.56299999997</v>
      </c>
      <c r="K8" s="233">
        <v>877104.57400000002</v>
      </c>
      <c r="L8" s="233">
        <v>725183.05299999996</v>
      </c>
      <c r="M8" s="233">
        <v>792539.40599999996</v>
      </c>
      <c r="N8" s="233">
        <v>818986.64399999997</v>
      </c>
      <c r="O8" s="231">
        <f>SUM(C8:N8)</f>
        <v>8824424.773</v>
      </c>
      <c r="P8" s="132">
        <f t="shared" si="1"/>
        <v>5</v>
      </c>
    </row>
    <row r="9" spans="1:17" x14ac:dyDescent="0.35">
      <c r="A9" s="132">
        <f t="shared" si="0"/>
        <v>6</v>
      </c>
      <c r="B9" s="234" t="s">
        <v>175</v>
      </c>
      <c r="C9" s="232">
        <v>11317.188</v>
      </c>
      <c r="D9" s="233">
        <v>11224.754999999999</v>
      </c>
      <c r="E9" s="233">
        <v>6146.8519999999999</v>
      </c>
      <c r="F9" s="233">
        <v>6241.03</v>
      </c>
      <c r="G9" s="233">
        <v>7110.1409999999996</v>
      </c>
      <c r="H9" s="233">
        <v>7007.0129999999999</v>
      </c>
      <c r="I9" s="233">
        <v>4827.0609999999997</v>
      </c>
      <c r="J9" s="233">
        <v>7277.4750000000004</v>
      </c>
      <c r="K9" s="233">
        <v>13278.835999999999</v>
      </c>
      <c r="L9" s="233">
        <v>12229.904</v>
      </c>
      <c r="M9" s="233">
        <v>16150.897999999999</v>
      </c>
      <c r="N9" s="233">
        <v>15754.654</v>
      </c>
      <c r="O9" s="231">
        <f t="shared" ref="O9:O12" si="2">SUM(C9:N9)</f>
        <v>118565.80699999999</v>
      </c>
      <c r="P9" s="132">
        <f t="shared" si="1"/>
        <v>6</v>
      </c>
    </row>
    <row r="10" spans="1:17" x14ac:dyDescent="0.35">
      <c r="A10" s="132">
        <f t="shared" si="0"/>
        <v>7</v>
      </c>
      <c r="B10" s="234" t="s">
        <v>176</v>
      </c>
      <c r="C10" s="232">
        <v>20103.008000000002</v>
      </c>
      <c r="D10" s="233">
        <v>19294.967000000001</v>
      </c>
      <c r="E10" s="233">
        <v>13881.436</v>
      </c>
      <c r="F10" s="233">
        <v>11819.123</v>
      </c>
      <c r="G10" s="233">
        <v>11369.633</v>
      </c>
      <c r="H10" s="233">
        <v>15129.434999999999</v>
      </c>
      <c r="I10" s="233">
        <v>11604.183000000001</v>
      </c>
      <c r="J10" s="233">
        <v>12479.960999999999</v>
      </c>
      <c r="K10" s="233">
        <v>21190.987000000001</v>
      </c>
      <c r="L10" s="233">
        <v>16685.725999999999</v>
      </c>
      <c r="M10" s="233">
        <v>19558.960999999999</v>
      </c>
      <c r="N10" s="233">
        <v>18620.25</v>
      </c>
      <c r="O10" s="231">
        <f t="shared" si="2"/>
        <v>191737.67</v>
      </c>
      <c r="P10" s="132">
        <f t="shared" si="1"/>
        <v>7</v>
      </c>
    </row>
    <row r="11" spans="1:17" x14ac:dyDescent="0.35">
      <c r="A11" s="132">
        <f t="shared" si="0"/>
        <v>8</v>
      </c>
      <c r="B11" s="170" t="s">
        <v>139</v>
      </c>
      <c r="C11" s="232">
        <v>5368.875</v>
      </c>
      <c r="D11" s="233">
        <v>6986.2870000000003</v>
      </c>
      <c r="E11" s="233">
        <v>8407.098</v>
      </c>
      <c r="F11" s="233">
        <v>5450.3810000000003</v>
      </c>
      <c r="G11" s="233">
        <v>8363.2209999999995</v>
      </c>
      <c r="H11" s="233">
        <v>6878.6419999999998</v>
      </c>
      <c r="I11" s="233">
        <v>6796.1530000000002</v>
      </c>
      <c r="J11" s="233">
        <v>6810.2830000000004</v>
      </c>
      <c r="K11" s="233">
        <v>6779.7520000000004</v>
      </c>
      <c r="L11" s="233">
        <v>5374.1809999999996</v>
      </c>
      <c r="M11" s="233">
        <v>7608.1809999999996</v>
      </c>
      <c r="N11" s="233">
        <v>6686.9970000000003</v>
      </c>
      <c r="O11" s="231">
        <f t="shared" si="2"/>
        <v>81510.051000000007</v>
      </c>
      <c r="P11" s="132">
        <f t="shared" si="1"/>
        <v>8</v>
      </c>
    </row>
    <row r="12" spans="1:17" x14ac:dyDescent="0.35">
      <c r="A12" s="132">
        <f t="shared" si="0"/>
        <v>9</v>
      </c>
      <c r="B12" s="235" t="s">
        <v>140</v>
      </c>
      <c r="C12" s="232">
        <v>10.65</v>
      </c>
      <c r="D12" s="1017">
        <v>7.702</v>
      </c>
      <c r="E12" s="233">
        <v>8.2910000000000004</v>
      </c>
      <c r="F12" s="233">
        <v>5.992</v>
      </c>
      <c r="G12" s="233">
        <v>6.8010000000000002</v>
      </c>
      <c r="H12" s="233">
        <v>6.63</v>
      </c>
      <c r="I12" s="233">
        <v>5.0890000000000004</v>
      </c>
      <c r="J12" s="233">
        <v>4.6420000000000003</v>
      </c>
      <c r="K12" s="233">
        <v>7.6479999999999997</v>
      </c>
      <c r="L12" s="233">
        <v>8.9410000000000007</v>
      </c>
      <c r="M12" s="233">
        <v>11.292</v>
      </c>
      <c r="N12" s="233">
        <v>11.853999999999999</v>
      </c>
      <c r="O12" s="231">
        <f t="shared" si="2"/>
        <v>95.532000000000011</v>
      </c>
      <c r="P12" s="132">
        <f t="shared" si="1"/>
        <v>9</v>
      </c>
      <c r="Q12" s="908"/>
    </row>
    <row r="13" spans="1:17" ht="18" thickBot="1" x14ac:dyDescent="0.4">
      <c r="A13" s="132">
        <f t="shared" si="0"/>
        <v>10</v>
      </c>
      <c r="B13" s="236" t="s">
        <v>141</v>
      </c>
      <c r="C13" s="237">
        <f>SUM(C6:C12)</f>
        <v>1549209.2619999999</v>
      </c>
      <c r="D13" s="242">
        <f t="shared" ref="D13:N13" si="3">SUM(D6:D12)</f>
        <v>1506659.121</v>
      </c>
      <c r="E13" s="238">
        <f t="shared" si="3"/>
        <v>1453958.3269999998</v>
      </c>
      <c r="F13" s="238">
        <f t="shared" si="3"/>
        <v>1510887.277</v>
      </c>
      <c r="G13" s="238">
        <f t="shared" si="3"/>
        <v>1466931.1809999999</v>
      </c>
      <c r="H13" s="238">
        <f t="shared" si="3"/>
        <v>1250693.415</v>
      </c>
      <c r="I13" s="238">
        <f t="shared" si="3"/>
        <v>1288109.4339999997</v>
      </c>
      <c r="J13" s="238">
        <f t="shared" si="3"/>
        <v>1112628.4539999999</v>
      </c>
      <c r="K13" s="238">
        <f t="shared" si="3"/>
        <v>1570592.827</v>
      </c>
      <c r="L13" s="238">
        <f t="shared" si="3"/>
        <v>1473308.2250000003</v>
      </c>
      <c r="M13" s="238">
        <f t="shared" si="3"/>
        <v>1670945.7489999998</v>
      </c>
      <c r="N13" s="238">
        <f t="shared" si="3"/>
        <v>1833101.5190000001</v>
      </c>
      <c r="O13" s="239">
        <f>SUM(O6:O12)</f>
        <v>17687024.791000001</v>
      </c>
      <c r="P13" s="132">
        <f t="shared" si="1"/>
        <v>10</v>
      </c>
      <c r="Q13" s="908"/>
    </row>
    <row r="14" spans="1:17" ht="18" thickTop="1" x14ac:dyDescent="0.35">
      <c r="A14" s="132">
        <f t="shared" si="0"/>
        <v>11</v>
      </c>
      <c r="B14" s="240"/>
      <c r="C14" s="972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1"/>
      <c r="P14" s="132">
        <f t="shared" si="1"/>
        <v>11</v>
      </c>
    </row>
    <row r="15" spans="1:17" ht="18" thickBot="1" x14ac:dyDescent="0.4">
      <c r="A15" s="132">
        <f t="shared" si="0"/>
        <v>12</v>
      </c>
      <c r="B15" s="236" t="s">
        <v>142</v>
      </c>
      <c r="C15" s="241">
        <f>SUM(C6:C11)</f>
        <v>1549198.612</v>
      </c>
      <c r="D15" s="242">
        <f>SUM(D6:D11)</f>
        <v>1506651.419</v>
      </c>
      <c r="E15" s="242">
        <f t="shared" ref="E15:O15" si="4">SUM(E6:E11)</f>
        <v>1453950.0359999998</v>
      </c>
      <c r="F15" s="242">
        <f t="shared" si="4"/>
        <v>1510881.2849999999</v>
      </c>
      <c r="G15" s="242">
        <f t="shared" si="4"/>
        <v>1466924.38</v>
      </c>
      <c r="H15" s="242">
        <f t="shared" si="4"/>
        <v>1250686.7850000001</v>
      </c>
      <c r="I15" s="242">
        <f t="shared" si="4"/>
        <v>1288104.3449999997</v>
      </c>
      <c r="J15" s="242">
        <f t="shared" si="4"/>
        <v>1112623.8119999999</v>
      </c>
      <c r="K15" s="242">
        <f t="shared" si="4"/>
        <v>1570585.179</v>
      </c>
      <c r="L15" s="242">
        <f t="shared" si="4"/>
        <v>1473299.2840000002</v>
      </c>
      <c r="M15" s="242">
        <f t="shared" si="4"/>
        <v>1670934.4569999999</v>
      </c>
      <c r="N15" s="242">
        <f t="shared" si="4"/>
        <v>1833089.665</v>
      </c>
      <c r="O15" s="243">
        <f t="shared" si="4"/>
        <v>17686929.259</v>
      </c>
      <c r="P15" s="132">
        <f t="shared" si="1"/>
        <v>12</v>
      </c>
      <c r="Q15" s="908"/>
    </row>
    <row r="16" spans="1:17" ht="18.5" thickTop="1" thickBot="1" x14ac:dyDescent="0.4">
      <c r="A16" s="132">
        <f t="shared" si="0"/>
        <v>13</v>
      </c>
      <c r="B16" s="244"/>
      <c r="C16" s="973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6"/>
      <c r="O16" s="247"/>
      <c r="P16" s="132">
        <f t="shared" si="1"/>
        <v>13</v>
      </c>
    </row>
    <row r="17" spans="1:16" x14ac:dyDescent="0.35">
      <c r="A17" s="132">
        <f t="shared" si="0"/>
        <v>14</v>
      </c>
      <c r="B17" s="248" t="s">
        <v>351</v>
      </c>
      <c r="C17" s="249">
        <f>C5</f>
        <v>43739</v>
      </c>
      <c r="D17" s="250">
        <f t="shared" ref="D17:O17" si="5">D5</f>
        <v>43770</v>
      </c>
      <c r="E17" s="250">
        <f t="shared" si="5"/>
        <v>43800</v>
      </c>
      <c r="F17" s="250">
        <f t="shared" si="5"/>
        <v>43831</v>
      </c>
      <c r="G17" s="250">
        <f t="shared" si="5"/>
        <v>43862</v>
      </c>
      <c r="H17" s="250">
        <f t="shared" si="5"/>
        <v>43891</v>
      </c>
      <c r="I17" s="250">
        <f t="shared" si="5"/>
        <v>43922</v>
      </c>
      <c r="J17" s="250">
        <f t="shared" si="5"/>
        <v>43952</v>
      </c>
      <c r="K17" s="250">
        <f t="shared" si="5"/>
        <v>43983</v>
      </c>
      <c r="L17" s="250">
        <f t="shared" si="5"/>
        <v>44013</v>
      </c>
      <c r="M17" s="250">
        <f t="shared" si="5"/>
        <v>44044</v>
      </c>
      <c r="N17" s="250">
        <f t="shared" si="5"/>
        <v>44075</v>
      </c>
      <c r="O17" s="251" t="str">
        <f t="shared" si="5"/>
        <v>Total</v>
      </c>
      <c r="P17" s="132">
        <f t="shared" si="1"/>
        <v>14</v>
      </c>
    </row>
    <row r="18" spans="1:16" x14ac:dyDescent="0.35">
      <c r="A18" s="132">
        <f t="shared" si="0"/>
        <v>15</v>
      </c>
      <c r="B18" s="252" t="s">
        <v>143</v>
      </c>
      <c r="C18" s="253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35"/>
      <c r="P18" s="132">
        <f t="shared" si="1"/>
        <v>15</v>
      </c>
    </row>
    <row r="19" spans="1:16" x14ac:dyDescent="0.35">
      <c r="A19" s="132">
        <f t="shared" si="0"/>
        <v>16</v>
      </c>
      <c r="B19" s="140" t="s">
        <v>178</v>
      </c>
      <c r="C19" s="127">
        <v>-6.7670000000000003</v>
      </c>
      <c r="D19" s="102">
        <v>0</v>
      </c>
      <c r="E19" s="254">
        <v>0</v>
      </c>
      <c r="F19" s="102">
        <v>0</v>
      </c>
      <c r="G19" s="254">
        <v>0</v>
      </c>
      <c r="H19" s="254">
        <v>0</v>
      </c>
      <c r="I19" s="254">
        <v>0</v>
      </c>
      <c r="J19" s="254">
        <v>-96.477999999999994</v>
      </c>
      <c r="K19" s="254">
        <v>96.477000000000004</v>
      </c>
      <c r="L19" s="254">
        <v>0</v>
      </c>
      <c r="M19" s="102">
        <v>0</v>
      </c>
      <c r="N19" s="254">
        <v>0</v>
      </c>
      <c r="O19" s="1010">
        <f>SUM(C19:N19)</f>
        <v>-6.7679999999999865</v>
      </c>
      <c r="P19" s="132">
        <f t="shared" si="1"/>
        <v>16</v>
      </c>
    </row>
    <row r="20" spans="1:16" x14ac:dyDescent="0.35">
      <c r="A20" s="132">
        <f t="shared" si="0"/>
        <v>17</v>
      </c>
      <c r="B20" s="140" t="s">
        <v>144</v>
      </c>
      <c r="C20" s="230">
        <v>751884.49800000002</v>
      </c>
      <c r="D20" s="254">
        <v>748612.16</v>
      </c>
      <c r="E20" s="254">
        <v>665943.97600000002</v>
      </c>
      <c r="F20" s="254">
        <v>656091.348</v>
      </c>
      <c r="G20" s="254">
        <v>705597.576</v>
      </c>
      <c r="H20" s="254">
        <v>537799.83400000003</v>
      </c>
      <c r="I20" s="254">
        <v>599328.68599999999</v>
      </c>
      <c r="J20" s="254">
        <v>393331.12099999998</v>
      </c>
      <c r="K20" s="254">
        <v>809820.64</v>
      </c>
      <c r="L20" s="254">
        <v>644558.99399999995</v>
      </c>
      <c r="M20" s="254">
        <v>715783.55099999998</v>
      </c>
      <c r="N20" s="254">
        <v>741023.11699999997</v>
      </c>
      <c r="O20" s="231">
        <f>SUM(C20:N20)</f>
        <v>7969775.5009999992</v>
      </c>
      <c r="P20" s="132">
        <f t="shared" si="1"/>
        <v>17</v>
      </c>
    </row>
    <row r="21" spans="1:16" x14ac:dyDescent="0.35">
      <c r="A21" s="132">
        <f t="shared" si="0"/>
        <v>18</v>
      </c>
      <c r="B21" s="140" t="s">
        <v>145</v>
      </c>
      <c r="C21" s="230">
        <v>75752.415999999997</v>
      </c>
      <c r="D21" s="255">
        <v>68720.664999999994</v>
      </c>
      <c r="E21" s="254">
        <v>61383.07</v>
      </c>
      <c r="F21" s="254">
        <v>75994.285999999993</v>
      </c>
      <c r="G21" s="254">
        <v>69999.769</v>
      </c>
      <c r="H21" s="254">
        <v>68035.914000000004</v>
      </c>
      <c r="I21" s="254">
        <v>62329.101999999999</v>
      </c>
      <c r="J21" s="254">
        <v>69909.919999999998</v>
      </c>
      <c r="K21" s="254">
        <v>67187.456999999995</v>
      </c>
      <c r="L21" s="254">
        <v>80624.058999999994</v>
      </c>
      <c r="M21" s="254">
        <v>76755.854999999996</v>
      </c>
      <c r="N21" s="254">
        <v>77963.527000000002</v>
      </c>
      <c r="O21" s="231">
        <f>SUM(C21:N21)</f>
        <v>854656.03999999992</v>
      </c>
      <c r="P21" s="132">
        <f t="shared" si="1"/>
        <v>18</v>
      </c>
    </row>
    <row r="22" spans="1:16" ht="18" thickBot="1" x14ac:dyDescent="0.4">
      <c r="A22" s="132">
        <f t="shared" si="0"/>
        <v>19</v>
      </c>
      <c r="B22" s="139" t="s">
        <v>88</v>
      </c>
      <c r="C22" s="256">
        <f>SUM(C19:C21)</f>
        <v>827630.147</v>
      </c>
      <c r="D22" s="508">
        <f t="shared" ref="D22:O22" si="6">SUM(D19:D21)</f>
        <v>817332.82500000007</v>
      </c>
      <c r="E22" s="257">
        <f t="shared" si="6"/>
        <v>727327.04599999997</v>
      </c>
      <c r="F22" s="257">
        <f t="shared" si="6"/>
        <v>732085.63399999996</v>
      </c>
      <c r="G22" s="257">
        <f t="shared" si="6"/>
        <v>775597.34499999997</v>
      </c>
      <c r="H22" s="257">
        <f t="shared" si="6"/>
        <v>605835.74800000002</v>
      </c>
      <c r="I22" s="257">
        <f t="shared" si="6"/>
        <v>661657.78799999994</v>
      </c>
      <c r="J22" s="257">
        <f t="shared" si="6"/>
        <v>463144.56299999997</v>
      </c>
      <c r="K22" s="257">
        <f t="shared" si="6"/>
        <v>877104.57400000002</v>
      </c>
      <c r="L22" s="257">
        <f t="shared" si="6"/>
        <v>725183.05299999996</v>
      </c>
      <c r="M22" s="257">
        <f t="shared" si="6"/>
        <v>792539.40599999996</v>
      </c>
      <c r="N22" s="257">
        <f t="shared" si="6"/>
        <v>818986.64399999997</v>
      </c>
      <c r="O22" s="258">
        <f t="shared" si="6"/>
        <v>8824424.7729999982</v>
      </c>
      <c r="P22" s="132">
        <f t="shared" si="1"/>
        <v>19</v>
      </c>
    </row>
    <row r="23" spans="1:16" ht="18.5" thickTop="1" thickBot="1" x14ac:dyDescent="0.4">
      <c r="A23" s="133">
        <f>A22+1</f>
        <v>20</v>
      </c>
      <c r="B23" s="142"/>
      <c r="C23" s="244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136"/>
      <c r="P23" s="133">
        <f>P22+1</f>
        <v>20</v>
      </c>
    </row>
    <row r="24" spans="1:16" x14ac:dyDescent="0.35"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</row>
    <row r="25" spans="1:16" ht="18" thickBot="1" x14ac:dyDescent="0.4"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</row>
    <row r="26" spans="1:16" x14ac:dyDescent="0.35">
      <c r="A26" s="206" t="s">
        <v>93</v>
      </c>
      <c r="B26" s="1123" t="s">
        <v>133</v>
      </c>
      <c r="C26" s="1124"/>
      <c r="D26" s="1124"/>
      <c r="E26" s="1124"/>
      <c r="F26" s="1124"/>
      <c r="G26" s="1124"/>
      <c r="H26" s="1124"/>
      <c r="I26" s="1124"/>
      <c r="J26" s="1124"/>
      <c r="K26" s="1124"/>
      <c r="L26" s="1124"/>
      <c r="M26" s="1124"/>
      <c r="N26" s="1124"/>
      <c r="O26" s="1125"/>
      <c r="P26" s="206" t="s">
        <v>93</v>
      </c>
    </row>
    <row r="27" spans="1:16" ht="18" thickBot="1" x14ac:dyDescent="0.4">
      <c r="A27" s="133" t="s">
        <v>87</v>
      </c>
      <c r="B27" s="1126" t="str">
        <f>B3</f>
        <v>Recorded Billing Determinants for the 12-Month Period: October 2019 - September 2020</v>
      </c>
      <c r="C27" s="1127"/>
      <c r="D27" s="1127"/>
      <c r="E27" s="1127"/>
      <c r="F27" s="1127"/>
      <c r="G27" s="1127"/>
      <c r="H27" s="1127"/>
      <c r="I27" s="1127"/>
      <c r="J27" s="1127"/>
      <c r="K27" s="1127"/>
      <c r="L27" s="1127"/>
      <c r="M27" s="1127"/>
      <c r="N27" s="1127"/>
      <c r="O27" s="1128"/>
      <c r="P27" s="133" t="s">
        <v>87</v>
      </c>
    </row>
    <row r="28" spans="1:16" x14ac:dyDescent="0.35">
      <c r="A28" s="132">
        <f>A23+1</f>
        <v>21</v>
      </c>
      <c r="B28" s="260" t="s">
        <v>134</v>
      </c>
      <c r="C28" s="261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137"/>
      <c r="P28" s="132">
        <f>P23+1</f>
        <v>21</v>
      </c>
    </row>
    <row r="29" spans="1:16" x14ac:dyDescent="0.35">
      <c r="A29" s="132">
        <f>A28+1</f>
        <v>22</v>
      </c>
      <c r="B29" s="263" t="s">
        <v>146</v>
      </c>
      <c r="C29" s="249">
        <f t="shared" ref="C29:N29" si="7">C5</f>
        <v>43739</v>
      </c>
      <c r="D29" s="250">
        <f t="shared" si="7"/>
        <v>43770</v>
      </c>
      <c r="E29" s="250">
        <f t="shared" si="7"/>
        <v>43800</v>
      </c>
      <c r="F29" s="250">
        <f t="shared" si="7"/>
        <v>43831</v>
      </c>
      <c r="G29" s="250">
        <f t="shared" si="7"/>
        <v>43862</v>
      </c>
      <c r="H29" s="250">
        <f t="shared" si="7"/>
        <v>43891</v>
      </c>
      <c r="I29" s="250">
        <f t="shared" si="7"/>
        <v>43922</v>
      </c>
      <c r="J29" s="250">
        <f t="shared" si="7"/>
        <v>43952</v>
      </c>
      <c r="K29" s="250">
        <f t="shared" si="7"/>
        <v>43983</v>
      </c>
      <c r="L29" s="250">
        <f t="shared" si="7"/>
        <v>44013</v>
      </c>
      <c r="M29" s="250">
        <f t="shared" si="7"/>
        <v>44044</v>
      </c>
      <c r="N29" s="250">
        <f t="shared" si="7"/>
        <v>44075</v>
      </c>
      <c r="O29" s="251" t="s">
        <v>88</v>
      </c>
      <c r="P29" s="132">
        <f>P28+1</f>
        <v>22</v>
      </c>
    </row>
    <row r="30" spans="1:16" x14ac:dyDescent="0.35">
      <c r="A30" s="132">
        <f>A29+1</f>
        <v>23</v>
      </c>
      <c r="B30" s="170" t="s">
        <v>136</v>
      </c>
      <c r="C30" s="230">
        <f t="shared" ref="C30:N30" si="8">C6*1000</f>
        <v>497502555</v>
      </c>
      <c r="D30" s="201">
        <f t="shared" si="8"/>
        <v>464647939</v>
      </c>
      <c r="E30" s="201">
        <f t="shared" si="8"/>
        <v>524919409</v>
      </c>
      <c r="F30" s="201">
        <f t="shared" si="8"/>
        <v>578952309</v>
      </c>
      <c r="G30" s="201">
        <f t="shared" si="8"/>
        <v>486037369</v>
      </c>
      <c r="H30" s="201">
        <f t="shared" si="8"/>
        <v>450388677</v>
      </c>
      <c r="I30" s="201">
        <f t="shared" si="8"/>
        <v>463643095</v>
      </c>
      <c r="J30" s="201">
        <f t="shared" si="8"/>
        <v>477491571</v>
      </c>
      <c r="K30" s="201">
        <f t="shared" si="8"/>
        <v>485383797</v>
      </c>
      <c r="L30" s="201">
        <f t="shared" si="8"/>
        <v>539761390</v>
      </c>
      <c r="M30" s="201">
        <f t="shared" si="8"/>
        <v>640234360</v>
      </c>
      <c r="N30" s="201">
        <f t="shared" si="8"/>
        <v>770769463</v>
      </c>
      <c r="O30" s="231">
        <f>SUM(C30:N30)</f>
        <v>6379731934</v>
      </c>
      <c r="P30" s="132">
        <f>P29+1</f>
        <v>23</v>
      </c>
    </row>
    <row r="31" spans="1:16" x14ac:dyDescent="0.35">
      <c r="A31" s="132">
        <f t="shared" ref="A31:A46" si="9">A30+1</f>
        <v>24</v>
      </c>
      <c r="B31" s="170" t="s">
        <v>137</v>
      </c>
      <c r="C31" s="230">
        <f t="shared" ref="C31:N31" si="10">C7*1000</f>
        <v>187276839</v>
      </c>
      <c r="D31" s="201">
        <f t="shared" si="10"/>
        <v>187164646</v>
      </c>
      <c r="E31" s="201">
        <f t="shared" si="10"/>
        <v>173268195</v>
      </c>
      <c r="F31" s="201">
        <f t="shared" si="10"/>
        <v>176332808</v>
      </c>
      <c r="G31" s="201">
        <f t="shared" si="10"/>
        <v>178446671</v>
      </c>
      <c r="H31" s="201">
        <f t="shared" si="10"/>
        <v>165447270</v>
      </c>
      <c r="I31" s="201">
        <f t="shared" si="10"/>
        <v>139576065</v>
      </c>
      <c r="J31" s="201">
        <f t="shared" si="10"/>
        <v>145419959</v>
      </c>
      <c r="K31" s="201">
        <f t="shared" si="10"/>
        <v>166847233</v>
      </c>
      <c r="L31" s="201">
        <f t="shared" si="10"/>
        <v>174065030</v>
      </c>
      <c r="M31" s="201">
        <f t="shared" si="10"/>
        <v>194842651</v>
      </c>
      <c r="N31" s="201">
        <f t="shared" si="10"/>
        <v>202271657</v>
      </c>
      <c r="O31" s="231">
        <f>SUM(C31:N31)</f>
        <v>2090959024</v>
      </c>
      <c r="P31" s="132">
        <f t="shared" ref="P31:P46" si="11">P30+1</f>
        <v>24</v>
      </c>
    </row>
    <row r="32" spans="1:16" x14ac:dyDescent="0.35">
      <c r="A32" s="132">
        <f t="shared" si="9"/>
        <v>25</v>
      </c>
      <c r="B32" s="170" t="s">
        <v>138</v>
      </c>
      <c r="C32" s="232">
        <f>C46</f>
        <v>827630147</v>
      </c>
      <c r="D32" s="233">
        <f>D46</f>
        <v>817332825</v>
      </c>
      <c r="E32" s="233">
        <f t="shared" ref="E32:N32" si="12">E46</f>
        <v>727327046</v>
      </c>
      <c r="F32" s="233">
        <f t="shared" si="12"/>
        <v>732085634</v>
      </c>
      <c r="G32" s="233">
        <f t="shared" si="12"/>
        <v>775597345</v>
      </c>
      <c r="H32" s="233">
        <f t="shared" si="12"/>
        <v>605835748</v>
      </c>
      <c r="I32" s="233">
        <f t="shared" si="12"/>
        <v>661657788</v>
      </c>
      <c r="J32" s="233">
        <f t="shared" si="12"/>
        <v>463144563</v>
      </c>
      <c r="K32" s="233">
        <f t="shared" si="12"/>
        <v>877104574</v>
      </c>
      <c r="L32" s="233">
        <f t="shared" si="12"/>
        <v>725183053</v>
      </c>
      <c r="M32" s="233">
        <f t="shared" si="12"/>
        <v>792539406</v>
      </c>
      <c r="N32" s="233">
        <f t="shared" si="12"/>
        <v>818986644</v>
      </c>
      <c r="O32" s="231">
        <f>SUM(C32:N32)</f>
        <v>8824424773</v>
      </c>
      <c r="P32" s="132">
        <f t="shared" si="11"/>
        <v>25</v>
      </c>
    </row>
    <row r="33" spans="1:18" x14ac:dyDescent="0.35">
      <c r="A33" s="132">
        <f t="shared" si="9"/>
        <v>26</v>
      </c>
      <c r="B33" s="234" t="s">
        <v>175</v>
      </c>
      <c r="C33" s="230">
        <f t="shared" ref="C33:N33" si="13">C9*1000</f>
        <v>11317188</v>
      </c>
      <c r="D33" s="201">
        <f t="shared" si="13"/>
        <v>11224755</v>
      </c>
      <c r="E33" s="201">
        <f t="shared" si="13"/>
        <v>6146852</v>
      </c>
      <c r="F33" s="201">
        <f t="shared" si="13"/>
        <v>6241030</v>
      </c>
      <c r="G33" s="201">
        <f t="shared" si="13"/>
        <v>7110141</v>
      </c>
      <c r="H33" s="201">
        <f t="shared" si="13"/>
        <v>7007013</v>
      </c>
      <c r="I33" s="201">
        <f t="shared" si="13"/>
        <v>4827061</v>
      </c>
      <c r="J33" s="201">
        <f t="shared" si="13"/>
        <v>7277475</v>
      </c>
      <c r="K33" s="201">
        <f t="shared" si="13"/>
        <v>13278836</v>
      </c>
      <c r="L33" s="201">
        <f t="shared" si="13"/>
        <v>12229904</v>
      </c>
      <c r="M33" s="201">
        <f t="shared" si="13"/>
        <v>16150898</v>
      </c>
      <c r="N33" s="201">
        <f t="shared" si="13"/>
        <v>15754654</v>
      </c>
      <c r="O33" s="231">
        <f t="shared" ref="O33:O34" si="14">SUM(C33:N33)</f>
        <v>118565807</v>
      </c>
      <c r="P33" s="132">
        <f t="shared" si="11"/>
        <v>26</v>
      </c>
    </row>
    <row r="34" spans="1:18" x14ac:dyDescent="0.35">
      <c r="A34" s="132">
        <f t="shared" si="9"/>
        <v>27</v>
      </c>
      <c r="B34" s="234" t="s">
        <v>176</v>
      </c>
      <c r="C34" s="230">
        <f t="shared" ref="C34:N34" si="15">C10*1000</f>
        <v>20103008</v>
      </c>
      <c r="D34" s="201">
        <f t="shared" si="15"/>
        <v>19294967</v>
      </c>
      <c r="E34" s="201">
        <f t="shared" si="15"/>
        <v>13881436</v>
      </c>
      <c r="F34" s="201">
        <f t="shared" si="15"/>
        <v>11819123</v>
      </c>
      <c r="G34" s="201">
        <f t="shared" si="15"/>
        <v>11369633</v>
      </c>
      <c r="H34" s="201">
        <f t="shared" si="15"/>
        <v>15129435</v>
      </c>
      <c r="I34" s="201">
        <f t="shared" si="15"/>
        <v>11604183</v>
      </c>
      <c r="J34" s="201">
        <f t="shared" si="15"/>
        <v>12479961</v>
      </c>
      <c r="K34" s="201">
        <f t="shared" si="15"/>
        <v>21190987</v>
      </c>
      <c r="L34" s="201">
        <f t="shared" si="15"/>
        <v>16685725.999999998</v>
      </c>
      <c r="M34" s="201">
        <f t="shared" si="15"/>
        <v>19558961</v>
      </c>
      <c r="N34" s="201">
        <f t="shared" si="15"/>
        <v>18620250</v>
      </c>
      <c r="O34" s="231">
        <f t="shared" si="14"/>
        <v>191737670</v>
      </c>
      <c r="P34" s="132">
        <f t="shared" si="11"/>
        <v>27</v>
      </c>
    </row>
    <row r="35" spans="1:18" x14ac:dyDescent="0.35">
      <c r="A35" s="132">
        <f t="shared" si="9"/>
        <v>28</v>
      </c>
      <c r="B35" s="170" t="s">
        <v>139</v>
      </c>
      <c r="C35" s="230">
        <f t="shared" ref="C35:N35" si="16">C11*1000</f>
        <v>5368875</v>
      </c>
      <c r="D35" s="201">
        <f t="shared" si="16"/>
        <v>6986287</v>
      </c>
      <c r="E35" s="201">
        <f t="shared" si="16"/>
        <v>8407098</v>
      </c>
      <c r="F35" s="201">
        <f t="shared" si="16"/>
        <v>5450381</v>
      </c>
      <c r="G35" s="201">
        <f t="shared" si="16"/>
        <v>8363221</v>
      </c>
      <c r="H35" s="201">
        <f t="shared" si="16"/>
        <v>6878642</v>
      </c>
      <c r="I35" s="201">
        <f t="shared" si="16"/>
        <v>6796153</v>
      </c>
      <c r="J35" s="201">
        <f t="shared" si="16"/>
        <v>6810283</v>
      </c>
      <c r="K35" s="201">
        <f t="shared" si="16"/>
        <v>6779752</v>
      </c>
      <c r="L35" s="201">
        <f t="shared" si="16"/>
        <v>5374181</v>
      </c>
      <c r="M35" s="201">
        <f t="shared" si="16"/>
        <v>7608181</v>
      </c>
      <c r="N35" s="201">
        <f t="shared" si="16"/>
        <v>6686997</v>
      </c>
      <c r="O35" s="231">
        <f>SUM(C35:N35)</f>
        <v>81510051</v>
      </c>
      <c r="P35" s="132">
        <f t="shared" si="11"/>
        <v>28</v>
      </c>
    </row>
    <row r="36" spans="1:18" s="259" customFormat="1" x14ac:dyDescent="0.35">
      <c r="A36" s="139">
        <f t="shared" si="9"/>
        <v>29</v>
      </c>
      <c r="B36" s="235" t="s">
        <v>140</v>
      </c>
      <c r="C36" s="230">
        <f t="shared" ref="C36:N36" si="17">C12*1000</f>
        <v>10650</v>
      </c>
      <c r="D36" s="201">
        <f t="shared" si="17"/>
        <v>7702</v>
      </c>
      <c r="E36" s="201">
        <f t="shared" si="17"/>
        <v>8291</v>
      </c>
      <c r="F36" s="201">
        <f t="shared" si="17"/>
        <v>5992</v>
      </c>
      <c r="G36" s="201">
        <f t="shared" si="17"/>
        <v>6801</v>
      </c>
      <c r="H36" s="201">
        <f t="shared" si="17"/>
        <v>6630</v>
      </c>
      <c r="I36" s="201">
        <f t="shared" si="17"/>
        <v>5089</v>
      </c>
      <c r="J36" s="201">
        <f t="shared" si="17"/>
        <v>4642</v>
      </c>
      <c r="K36" s="201">
        <f t="shared" si="17"/>
        <v>7648</v>
      </c>
      <c r="L36" s="201">
        <f t="shared" si="17"/>
        <v>8941</v>
      </c>
      <c r="M36" s="201">
        <f t="shared" si="17"/>
        <v>11292</v>
      </c>
      <c r="N36" s="201">
        <f t="shared" si="17"/>
        <v>11854</v>
      </c>
      <c r="O36" s="231">
        <f>SUM(C36:N36)</f>
        <v>95532</v>
      </c>
      <c r="P36" s="139">
        <f t="shared" si="11"/>
        <v>29</v>
      </c>
      <c r="Q36" s="974"/>
    </row>
    <row r="37" spans="1:18" s="259" customFormat="1" ht="18" thickBot="1" x14ac:dyDescent="0.4">
      <c r="A37" s="139">
        <f t="shared" si="9"/>
        <v>30</v>
      </c>
      <c r="B37" s="236" t="s">
        <v>141</v>
      </c>
      <c r="C37" s="237">
        <f>SUM(C30:C36)</f>
        <v>1549209262</v>
      </c>
      <c r="D37" s="238">
        <f t="shared" ref="D37:N37" si="18">SUM(D30:D36)</f>
        <v>1506659121</v>
      </c>
      <c r="E37" s="238">
        <f t="shared" si="18"/>
        <v>1453958327</v>
      </c>
      <c r="F37" s="238">
        <f t="shared" si="18"/>
        <v>1510887277</v>
      </c>
      <c r="G37" s="238">
        <f t="shared" si="18"/>
        <v>1466931181</v>
      </c>
      <c r="H37" s="238">
        <f t="shared" si="18"/>
        <v>1250693415</v>
      </c>
      <c r="I37" s="238">
        <f t="shared" si="18"/>
        <v>1288109434</v>
      </c>
      <c r="J37" s="238">
        <f t="shared" si="18"/>
        <v>1112628454</v>
      </c>
      <c r="K37" s="238">
        <f t="shared" si="18"/>
        <v>1570592827</v>
      </c>
      <c r="L37" s="238">
        <f t="shared" si="18"/>
        <v>1473308225</v>
      </c>
      <c r="M37" s="238">
        <f t="shared" si="18"/>
        <v>1670945749</v>
      </c>
      <c r="N37" s="238">
        <f t="shared" si="18"/>
        <v>1833101519</v>
      </c>
      <c r="O37" s="239">
        <f>SUM(O30:O36)</f>
        <v>17687024791</v>
      </c>
      <c r="P37" s="139">
        <f t="shared" si="11"/>
        <v>30</v>
      </c>
      <c r="Q37" s="974"/>
    </row>
    <row r="38" spans="1:18" s="259" customFormat="1" ht="18" thickTop="1" x14ac:dyDescent="0.35">
      <c r="A38" s="139">
        <f t="shared" si="9"/>
        <v>31</v>
      </c>
      <c r="B38" s="240"/>
      <c r="C38" s="972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1"/>
      <c r="P38" s="139">
        <f t="shared" si="11"/>
        <v>31</v>
      </c>
    </row>
    <row r="39" spans="1:18" s="259" customFormat="1" ht="18" thickBot="1" x14ac:dyDescent="0.4">
      <c r="A39" s="139">
        <f t="shared" si="9"/>
        <v>32</v>
      </c>
      <c r="B39" s="236" t="s">
        <v>142</v>
      </c>
      <c r="C39" s="241">
        <f>SUM(C30:C35)</f>
        <v>1549198612</v>
      </c>
      <c r="D39" s="242">
        <f>SUM(D30:D35)</f>
        <v>1506651419</v>
      </c>
      <c r="E39" s="242">
        <f t="shared" ref="E39:O39" si="19">SUM(E30:E35)</f>
        <v>1453950036</v>
      </c>
      <c r="F39" s="242">
        <f t="shared" si="19"/>
        <v>1510881285</v>
      </c>
      <c r="G39" s="242">
        <f t="shared" si="19"/>
        <v>1466924380</v>
      </c>
      <c r="H39" s="242">
        <f t="shared" si="19"/>
        <v>1250686785</v>
      </c>
      <c r="I39" s="242">
        <f t="shared" si="19"/>
        <v>1288104345</v>
      </c>
      <c r="J39" s="242">
        <f t="shared" si="19"/>
        <v>1112623812</v>
      </c>
      <c r="K39" s="242">
        <f t="shared" si="19"/>
        <v>1570585179</v>
      </c>
      <c r="L39" s="242">
        <f t="shared" si="19"/>
        <v>1473299284</v>
      </c>
      <c r="M39" s="242">
        <f t="shared" si="19"/>
        <v>1670934457</v>
      </c>
      <c r="N39" s="242">
        <f t="shared" si="19"/>
        <v>1833089665</v>
      </c>
      <c r="O39" s="243">
        <f t="shared" si="19"/>
        <v>17686929259</v>
      </c>
      <c r="P39" s="139">
        <f t="shared" si="11"/>
        <v>32</v>
      </c>
      <c r="Q39" s="974"/>
    </row>
    <row r="40" spans="1:18" ht="18.5" thickTop="1" thickBot="1" x14ac:dyDescent="0.4">
      <c r="A40" s="132">
        <f t="shared" si="9"/>
        <v>33</v>
      </c>
      <c r="B40" s="244"/>
      <c r="C40" s="244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6"/>
      <c r="O40" s="419"/>
      <c r="P40" s="132">
        <f t="shared" si="11"/>
        <v>33</v>
      </c>
      <c r="Q40" s="287"/>
      <c r="R40" s="1075">
        <f>O39-'Stmnt BD - Recorded KWH'!E26</f>
        <v>0</v>
      </c>
    </row>
    <row r="41" spans="1:18" x14ac:dyDescent="0.35">
      <c r="A41" s="132">
        <f t="shared" si="9"/>
        <v>34</v>
      </c>
      <c r="B41" s="248" t="str">
        <f>B17</f>
        <v>INPUT FROM RECORDED SALES FILE:</v>
      </c>
      <c r="C41" s="249">
        <f>C29</f>
        <v>43739</v>
      </c>
      <c r="D41" s="250">
        <f t="shared" ref="D41:O41" si="20">D29</f>
        <v>43770</v>
      </c>
      <c r="E41" s="250">
        <f t="shared" si="20"/>
        <v>43800</v>
      </c>
      <c r="F41" s="250">
        <f t="shared" si="20"/>
        <v>43831</v>
      </c>
      <c r="G41" s="250">
        <f t="shared" si="20"/>
        <v>43862</v>
      </c>
      <c r="H41" s="250">
        <f t="shared" si="20"/>
        <v>43891</v>
      </c>
      <c r="I41" s="250">
        <f t="shared" si="20"/>
        <v>43922</v>
      </c>
      <c r="J41" s="250">
        <f t="shared" si="20"/>
        <v>43952</v>
      </c>
      <c r="K41" s="250">
        <f t="shared" si="20"/>
        <v>43983</v>
      </c>
      <c r="L41" s="250">
        <f t="shared" si="20"/>
        <v>44013</v>
      </c>
      <c r="M41" s="250">
        <f t="shared" si="20"/>
        <v>44044</v>
      </c>
      <c r="N41" s="250">
        <f t="shared" si="20"/>
        <v>44075</v>
      </c>
      <c r="O41" s="251" t="str">
        <f t="shared" si="20"/>
        <v>Total</v>
      </c>
      <c r="P41" s="132">
        <f t="shared" si="11"/>
        <v>34</v>
      </c>
    </row>
    <row r="42" spans="1:18" x14ac:dyDescent="0.35">
      <c r="A42" s="132">
        <f t="shared" si="9"/>
        <v>35</v>
      </c>
      <c r="B42" s="252" t="s">
        <v>147</v>
      </c>
      <c r="C42" s="253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35"/>
      <c r="P42" s="132">
        <f t="shared" si="11"/>
        <v>35</v>
      </c>
    </row>
    <row r="43" spans="1:18" x14ac:dyDescent="0.35">
      <c r="A43" s="132">
        <f t="shared" si="9"/>
        <v>36</v>
      </c>
      <c r="B43" s="140" t="s">
        <v>178</v>
      </c>
      <c r="C43" s="127">
        <f t="shared" ref="C43:N43" si="21">C19*1000</f>
        <v>-6767</v>
      </c>
      <c r="D43" s="201">
        <f t="shared" si="21"/>
        <v>0</v>
      </c>
      <c r="E43" s="201">
        <f t="shared" si="21"/>
        <v>0</v>
      </c>
      <c r="F43" s="229">
        <f t="shared" si="21"/>
        <v>0</v>
      </c>
      <c r="G43" s="201">
        <f t="shared" si="21"/>
        <v>0</v>
      </c>
      <c r="H43" s="201">
        <f t="shared" si="21"/>
        <v>0</v>
      </c>
      <c r="I43" s="201">
        <f t="shared" si="21"/>
        <v>0</v>
      </c>
      <c r="J43" s="201">
        <f t="shared" si="21"/>
        <v>-96478</v>
      </c>
      <c r="K43" s="201">
        <f t="shared" si="21"/>
        <v>96477</v>
      </c>
      <c r="L43" s="201">
        <f t="shared" si="21"/>
        <v>0</v>
      </c>
      <c r="M43" s="229">
        <f t="shared" si="21"/>
        <v>0</v>
      </c>
      <c r="N43" s="201">
        <f t="shared" si="21"/>
        <v>0</v>
      </c>
      <c r="O43" s="1010">
        <f>SUM(C43:N43)</f>
        <v>-6768</v>
      </c>
      <c r="P43" s="132">
        <f t="shared" si="11"/>
        <v>36</v>
      </c>
    </row>
    <row r="44" spans="1:18" x14ac:dyDescent="0.35">
      <c r="A44" s="132">
        <f t="shared" si="9"/>
        <v>37</v>
      </c>
      <c r="B44" s="140" t="s">
        <v>144</v>
      </c>
      <c r="C44" s="230">
        <f t="shared" ref="C44:N44" si="22">C20*1000</f>
        <v>751884498</v>
      </c>
      <c r="D44" s="201">
        <f t="shared" si="22"/>
        <v>748612160</v>
      </c>
      <c r="E44" s="201">
        <f t="shared" si="22"/>
        <v>665943976</v>
      </c>
      <c r="F44" s="201">
        <f t="shared" si="22"/>
        <v>656091348</v>
      </c>
      <c r="G44" s="201">
        <f t="shared" si="22"/>
        <v>705597576</v>
      </c>
      <c r="H44" s="201">
        <f t="shared" si="22"/>
        <v>537799834</v>
      </c>
      <c r="I44" s="201">
        <f t="shared" si="22"/>
        <v>599328686</v>
      </c>
      <c r="J44" s="201">
        <f t="shared" si="22"/>
        <v>393331121</v>
      </c>
      <c r="K44" s="201">
        <f t="shared" si="22"/>
        <v>809820640</v>
      </c>
      <c r="L44" s="201">
        <f t="shared" si="22"/>
        <v>644558994</v>
      </c>
      <c r="M44" s="201">
        <f t="shared" si="22"/>
        <v>715783551</v>
      </c>
      <c r="N44" s="201">
        <f t="shared" si="22"/>
        <v>741023117</v>
      </c>
      <c r="O44" s="231">
        <f>SUM(C44:N44)</f>
        <v>7969775501</v>
      </c>
      <c r="P44" s="132">
        <f t="shared" si="11"/>
        <v>37</v>
      </c>
    </row>
    <row r="45" spans="1:18" x14ac:dyDescent="0.35">
      <c r="A45" s="132">
        <f t="shared" si="9"/>
        <v>38</v>
      </c>
      <c r="B45" s="140" t="s">
        <v>145</v>
      </c>
      <c r="C45" s="230">
        <f t="shared" ref="C45:N45" si="23">C21*1000</f>
        <v>75752416</v>
      </c>
      <c r="D45" s="201">
        <f t="shared" si="23"/>
        <v>68720665</v>
      </c>
      <c r="E45" s="201">
        <f t="shared" si="23"/>
        <v>61383070</v>
      </c>
      <c r="F45" s="201">
        <f t="shared" si="23"/>
        <v>75994286</v>
      </c>
      <c r="G45" s="201">
        <f t="shared" si="23"/>
        <v>69999769</v>
      </c>
      <c r="H45" s="201">
        <f t="shared" si="23"/>
        <v>68035914</v>
      </c>
      <c r="I45" s="201">
        <f t="shared" si="23"/>
        <v>62329102</v>
      </c>
      <c r="J45" s="201">
        <f t="shared" si="23"/>
        <v>69909920</v>
      </c>
      <c r="K45" s="201">
        <f t="shared" si="23"/>
        <v>67187457</v>
      </c>
      <c r="L45" s="201">
        <f t="shared" si="23"/>
        <v>80624059</v>
      </c>
      <c r="M45" s="201">
        <f t="shared" si="23"/>
        <v>76755855</v>
      </c>
      <c r="N45" s="201">
        <f t="shared" si="23"/>
        <v>77963527</v>
      </c>
      <c r="O45" s="231">
        <f>SUM(C45:N45)</f>
        <v>854656040</v>
      </c>
      <c r="P45" s="132">
        <f t="shared" si="11"/>
        <v>38</v>
      </c>
    </row>
    <row r="46" spans="1:18" ht="18" thickBot="1" x14ac:dyDescent="0.4">
      <c r="A46" s="132">
        <f t="shared" si="9"/>
        <v>39</v>
      </c>
      <c r="B46" s="139" t="s">
        <v>88</v>
      </c>
      <c r="C46" s="256">
        <f>SUM(C43:C45)</f>
        <v>827630147</v>
      </c>
      <c r="D46" s="257">
        <f t="shared" ref="D46:O46" si="24">SUM(D43:D45)</f>
        <v>817332825</v>
      </c>
      <c r="E46" s="257">
        <f t="shared" si="24"/>
        <v>727327046</v>
      </c>
      <c r="F46" s="257">
        <f t="shared" si="24"/>
        <v>732085634</v>
      </c>
      <c r="G46" s="257">
        <f t="shared" si="24"/>
        <v>775597345</v>
      </c>
      <c r="H46" s="257">
        <f t="shared" si="24"/>
        <v>605835748</v>
      </c>
      <c r="I46" s="257">
        <f t="shared" si="24"/>
        <v>661657788</v>
      </c>
      <c r="J46" s="257">
        <f t="shared" si="24"/>
        <v>463144563</v>
      </c>
      <c r="K46" s="257">
        <f t="shared" si="24"/>
        <v>877104574</v>
      </c>
      <c r="L46" s="257">
        <f t="shared" si="24"/>
        <v>725183053</v>
      </c>
      <c r="M46" s="257">
        <f t="shared" si="24"/>
        <v>792539406</v>
      </c>
      <c r="N46" s="257">
        <f t="shared" si="24"/>
        <v>818986644</v>
      </c>
      <c r="O46" s="258">
        <f t="shared" si="24"/>
        <v>8824424773</v>
      </c>
      <c r="P46" s="132">
        <f t="shared" si="11"/>
        <v>39</v>
      </c>
    </row>
    <row r="47" spans="1:18" ht="18.5" thickTop="1" thickBot="1" x14ac:dyDescent="0.4">
      <c r="A47" s="133">
        <f>A46+1</f>
        <v>40</v>
      </c>
      <c r="B47" s="142"/>
      <c r="C47" s="244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136"/>
      <c r="P47" s="133">
        <f>P46+1</f>
        <v>40</v>
      </c>
    </row>
  </sheetData>
  <mergeCells count="4">
    <mergeCell ref="B2:O2"/>
    <mergeCell ref="B3:O3"/>
    <mergeCell ref="B26:O26"/>
    <mergeCell ref="B27:O27"/>
  </mergeCells>
  <printOptions horizontalCentered="1"/>
  <pageMargins left="0.25" right="0.25" top="0.5" bottom="0.5" header="0.25" footer="0.25"/>
  <pageSetup scale="48" orientation="landscape" r:id="rId1"/>
  <headerFooter scaleWithDoc="0" alignWithMargins="0">
    <oddFooter>&amp;L&amp;"Times New Roman,Regular"&amp;12&amp;F&amp;C&amp;"Times New Roman,Regular"&amp;12Page 1.1&amp;R&amp;"Times New Roman,Regular"&amp;12&amp;A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47"/>
  <sheetViews>
    <sheetView zoomScale="80" zoomScaleNormal="80" workbookViewId="0"/>
  </sheetViews>
  <sheetFormatPr defaultColWidth="9.453125" defaultRowHeight="17.5" x14ac:dyDescent="0.35"/>
  <cols>
    <col min="1" max="1" width="5.54296875" style="207" customWidth="1"/>
    <col min="2" max="2" width="50.54296875" style="207" customWidth="1"/>
    <col min="3" max="3" width="14.54296875" style="207" customWidth="1"/>
    <col min="4" max="15" width="15.54296875" style="207" customWidth="1"/>
    <col min="16" max="16" width="5.54296875" style="207" customWidth="1"/>
    <col min="17" max="17" width="3.81640625" style="207" bestFit="1" customWidth="1"/>
    <col min="18" max="18" width="5.54296875" style="207" bestFit="1" customWidth="1"/>
    <col min="19" max="16384" width="9.453125" style="207"/>
  </cols>
  <sheetData>
    <row r="1" spans="1:16" ht="18" thickBot="1" x14ac:dyDescent="0.4"/>
    <row r="2" spans="1:16" ht="25" x14ac:dyDescent="0.5">
      <c r="A2" s="706" t="s">
        <v>93</v>
      </c>
      <c r="B2" s="1117" t="s">
        <v>260</v>
      </c>
      <c r="C2" s="1118"/>
      <c r="D2" s="1118"/>
      <c r="E2" s="1118"/>
      <c r="F2" s="1118"/>
      <c r="G2" s="1118"/>
      <c r="H2" s="1118"/>
      <c r="I2" s="1118"/>
      <c r="J2" s="1118"/>
      <c r="K2" s="1118"/>
      <c r="L2" s="1118"/>
      <c r="M2" s="1118"/>
      <c r="N2" s="1118"/>
      <c r="O2" s="1119"/>
      <c r="P2" s="706" t="s">
        <v>93</v>
      </c>
    </row>
    <row r="3" spans="1:16" ht="25.5" thickBot="1" x14ac:dyDescent="0.55000000000000004">
      <c r="A3" s="208" t="s">
        <v>87</v>
      </c>
      <c r="B3" s="1120" t="s">
        <v>495</v>
      </c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  <c r="N3" s="1121"/>
      <c r="O3" s="1122"/>
      <c r="P3" s="208" t="s">
        <v>87</v>
      </c>
    </row>
    <row r="4" spans="1:16" x14ac:dyDescent="0.35">
      <c r="A4" s="132">
        <v>1</v>
      </c>
      <c r="B4" s="484" t="s">
        <v>134</v>
      </c>
      <c r="C4" s="711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134"/>
      <c r="P4" s="132">
        <v>1</v>
      </c>
    </row>
    <row r="5" spans="1:16" x14ac:dyDescent="0.35">
      <c r="A5" s="132">
        <f>A4+1</f>
        <v>2</v>
      </c>
      <c r="B5" s="211" t="s">
        <v>135</v>
      </c>
      <c r="C5" s="595">
        <f>'Stmnt BD - Forecast KWH'!B12</f>
        <v>44197</v>
      </c>
      <c r="D5" s="595">
        <f>'Stmnt BD - Forecast KWH'!B13</f>
        <v>44228</v>
      </c>
      <c r="E5" s="595">
        <f>'Stmnt BD - Forecast KWH'!B14</f>
        <v>44256</v>
      </c>
      <c r="F5" s="595">
        <f>'Stmnt BD - Forecast KWH'!B15</f>
        <v>44287</v>
      </c>
      <c r="G5" s="595">
        <f>'Stmnt BD - Forecast KWH'!B16</f>
        <v>44317</v>
      </c>
      <c r="H5" s="595">
        <f>'Stmnt BD - Forecast KWH'!B17</f>
        <v>44348</v>
      </c>
      <c r="I5" s="595">
        <f>'Stmnt BD - Forecast KWH'!B18</f>
        <v>44378</v>
      </c>
      <c r="J5" s="595">
        <f>'Stmnt BD - Forecast KWH'!B19</f>
        <v>44409</v>
      </c>
      <c r="K5" s="595">
        <f>'Stmnt BD - Forecast KWH'!B20</f>
        <v>44440</v>
      </c>
      <c r="L5" s="595">
        <f>'Stmnt BD - Forecast KWH'!B21</f>
        <v>44470</v>
      </c>
      <c r="M5" s="595">
        <f>'Stmnt BD - Forecast KWH'!B22</f>
        <v>44501</v>
      </c>
      <c r="N5" s="595">
        <f>'Stmnt BD - Forecast KWH'!B23</f>
        <v>44531</v>
      </c>
      <c r="O5" s="212" t="s">
        <v>88</v>
      </c>
      <c r="P5" s="132">
        <f>P4+1</f>
        <v>2</v>
      </c>
    </row>
    <row r="6" spans="1:16" x14ac:dyDescent="0.35">
      <c r="A6" s="132">
        <f>A5+1</f>
        <v>3</v>
      </c>
      <c r="B6" s="170" t="s">
        <v>136</v>
      </c>
      <c r="C6" s="254">
        <v>547062.81700000004</v>
      </c>
      <c r="D6" s="254">
        <v>454858.804</v>
      </c>
      <c r="E6" s="254">
        <v>422927.18400000001</v>
      </c>
      <c r="F6" s="254">
        <v>368332.15899999999</v>
      </c>
      <c r="G6" s="254">
        <v>360315.22</v>
      </c>
      <c r="H6" s="254">
        <v>385319.29100000003</v>
      </c>
      <c r="I6" s="254">
        <v>484842.95600000001</v>
      </c>
      <c r="J6" s="254">
        <v>552100.66899999999</v>
      </c>
      <c r="K6" s="254">
        <v>594421.45200000005</v>
      </c>
      <c r="L6" s="254">
        <v>492160.11800000002</v>
      </c>
      <c r="M6" s="254">
        <v>440122.02299999999</v>
      </c>
      <c r="N6" s="254">
        <v>507637.95799999998</v>
      </c>
      <c r="O6" s="231">
        <f>SUM(C6:N6)</f>
        <v>5610100.6510000005</v>
      </c>
      <c r="P6" s="132">
        <f>P5+1</f>
        <v>3</v>
      </c>
    </row>
    <row r="7" spans="1:16" x14ac:dyDescent="0.35">
      <c r="A7" s="132">
        <f t="shared" ref="A7:A22" si="0">A6+1</f>
        <v>4</v>
      </c>
      <c r="B7" s="170" t="s">
        <v>137</v>
      </c>
      <c r="C7" s="254">
        <v>172633.639</v>
      </c>
      <c r="D7" s="254">
        <v>166364.83300000001</v>
      </c>
      <c r="E7" s="254">
        <v>165722.247</v>
      </c>
      <c r="F7" s="254">
        <v>166300.033</v>
      </c>
      <c r="G7" s="254">
        <v>169180.55600000001</v>
      </c>
      <c r="H7" s="254">
        <v>179043.82699999999</v>
      </c>
      <c r="I7" s="254">
        <v>197992.076</v>
      </c>
      <c r="J7" s="254">
        <v>204486.16699999999</v>
      </c>
      <c r="K7" s="254">
        <v>210494.37299999999</v>
      </c>
      <c r="L7" s="254">
        <v>191541.046</v>
      </c>
      <c r="M7" s="254">
        <v>176670.43400000001</v>
      </c>
      <c r="N7" s="254">
        <v>170744.52900000001</v>
      </c>
      <c r="O7" s="231">
        <f>SUM(C7:N7)</f>
        <v>2171173.7600000002</v>
      </c>
      <c r="P7" s="132">
        <f t="shared" ref="P7:P22" si="1">P6+1</f>
        <v>4</v>
      </c>
    </row>
    <row r="8" spans="1:16" x14ac:dyDescent="0.35">
      <c r="A8" s="132">
        <f t="shared" si="0"/>
        <v>5</v>
      </c>
      <c r="B8" s="170" t="s">
        <v>255</v>
      </c>
      <c r="C8" s="233">
        <v>731278.84499999997</v>
      </c>
      <c r="D8" s="233">
        <v>716057.85100000002</v>
      </c>
      <c r="E8" s="233">
        <v>707352.26599999995</v>
      </c>
      <c r="F8" s="233">
        <v>738042.47600000002</v>
      </c>
      <c r="G8" s="233">
        <v>746122.63500000001</v>
      </c>
      <c r="H8" s="233">
        <v>786555.19200000004</v>
      </c>
      <c r="I8" s="233">
        <v>857604.41400000011</v>
      </c>
      <c r="J8" s="233">
        <v>874259.56400000001</v>
      </c>
      <c r="K8" s="233">
        <v>914938.5780000001</v>
      </c>
      <c r="L8" s="233">
        <v>840030.87699999998</v>
      </c>
      <c r="M8" s="233">
        <v>796073.22</v>
      </c>
      <c r="N8" s="233">
        <v>747346.88099999994</v>
      </c>
      <c r="O8" s="231">
        <f>SUM(C8:N8)</f>
        <v>9455662.7989999987</v>
      </c>
      <c r="P8" s="132">
        <f t="shared" si="1"/>
        <v>5</v>
      </c>
    </row>
    <row r="9" spans="1:16" x14ac:dyDescent="0.35">
      <c r="A9" s="132">
        <f>A8+1</f>
        <v>6</v>
      </c>
      <c r="B9" s="170" t="s">
        <v>175</v>
      </c>
      <c r="C9" s="233">
        <v>6102.6679999999997</v>
      </c>
      <c r="D9" s="233">
        <v>6410.6890000000003</v>
      </c>
      <c r="E9" s="233">
        <v>5571.8990000000003</v>
      </c>
      <c r="F9" s="233">
        <v>7327.74</v>
      </c>
      <c r="G9" s="233">
        <v>8406.5239999999994</v>
      </c>
      <c r="H9" s="233">
        <v>9630.84</v>
      </c>
      <c r="I9" s="233">
        <v>11177.232</v>
      </c>
      <c r="J9" s="233">
        <v>11108.378000000001</v>
      </c>
      <c r="K9" s="233">
        <v>11472.287</v>
      </c>
      <c r="L9" s="233">
        <v>9997.8819999999996</v>
      </c>
      <c r="M9" s="233">
        <v>9205.0820000000003</v>
      </c>
      <c r="N9" s="233">
        <v>7443.04</v>
      </c>
      <c r="O9" s="231">
        <f t="shared" ref="O9:O11" si="2">SUM(C9:N9)</f>
        <v>103854.26099999998</v>
      </c>
      <c r="P9" s="132">
        <f>P8+1</f>
        <v>6</v>
      </c>
    </row>
    <row r="10" spans="1:16" x14ac:dyDescent="0.35">
      <c r="A10" s="132">
        <f t="shared" si="0"/>
        <v>7</v>
      </c>
      <c r="B10" s="170" t="s">
        <v>176</v>
      </c>
      <c r="C10" s="233">
        <v>14007.208000000001</v>
      </c>
      <c r="D10" s="233">
        <v>14513.056</v>
      </c>
      <c r="E10" s="233">
        <v>14920.486999999999</v>
      </c>
      <c r="F10" s="233">
        <v>16615.774000000001</v>
      </c>
      <c r="G10" s="233">
        <v>17750.489000000001</v>
      </c>
      <c r="H10" s="233">
        <v>19196.941999999999</v>
      </c>
      <c r="I10" s="233">
        <v>21062.94</v>
      </c>
      <c r="J10" s="233">
        <v>19858.902999999998</v>
      </c>
      <c r="K10" s="233">
        <v>21475.097000000002</v>
      </c>
      <c r="L10" s="233">
        <v>19116.796999999999</v>
      </c>
      <c r="M10" s="233">
        <v>17939.687999999998</v>
      </c>
      <c r="N10" s="233">
        <v>15539.447</v>
      </c>
      <c r="O10" s="231">
        <f t="shared" si="2"/>
        <v>211996.82799999998</v>
      </c>
      <c r="P10" s="132">
        <f t="shared" si="1"/>
        <v>7</v>
      </c>
    </row>
    <row r="11" spans="1:16" x14ac:dyDescent="0.35">
      <c r="A11" s="132">
        <f t="shared" si="0"/>
        <v>8</v>
      </c>
      <c r="B11" s="170" t="s">
        <v>139</v>
      </c>
      <c r="C11" s="233">
        <v>7372.8220000000001</v>
      </c>
      <c r="D11" s="233">
        <v>7033.1989999999996</v>
      </c>
      <c r="E11" s="233">
        <v>7056.6689999999999</v>
      </c>
      <c r="F11" s="233">
        <v>6885.3770000000004</v>
      </c>
      <c r="G11" s="233">
        <v>6937.674</v>
      </c>
      <c r="H11" s="233">
        <v>7149.9309999999996</v>
      </c>
      <c r="I11" s="233">
        <v>7227.3829999999998</v>
      </c>
      <c r="J11" s="233">
        <v>6871.4949999999999</v>
      </c>
      <c r="K11" s="233">
        <v>7217.5069999999996</v>
      </c>
      <c r="L11" s="233">
        <v>6939.232</v>
      </c>
      <c r="M11" s="233">
        <v>7005.2219999999998</v>
      </c>
      <c r="N11" s="233">
        <v>7239.0659999999998</v>
      </c>
      <c r="O11" s="231">
        <f t="shared" si="2"/>
        <v>84935.577000000005</v>
      </c>
      <c r="P11" s="132">
        <f t="shared" si="1"/>
        <v>8</v>
      </c>
    </row>
    <row r="12" spans="1:16" x14ac:dyDescent="0.35">
      <c r="A12" s="132">
        <f t="shared" si="0"/>
        <v>9</v>
      </c>
      <c r="B12" s="900" t="s">
        <v>140</v>
      </c>
      <c r="C12" s="1013">
        <v>5.3419999999999996</v>
      </c>
      <c r="D12" s="1014">
        <v>5.0449999999999999</v>
      </c>
      <c r="E12" s="1014">
        <v>5.0810000000000004</v>
      </c>
      <c r="F12" s="1014">
        <v>4.9749999999999996</v>
      </c>
      <c r="G12" s="1014">
        <v>5.0110000000000001</v>
      </c>
      <c r="H12" s="1014">
        <v>5.1710000000000003</v>
      </c>
      <c r="I12" s="1014">
        <v>5.234</v>
      </c>
      <c r="J12" s="1014">
        <v>4.9660000000000002</v>
      </c>
      <c r="K12" s="1014">
        <v>5.2229999999999999</v>
      </c>
      <c r="L12" s="1014">
        <v>5</v>
      </c>
      <c r="M12" s="1014">
        <v>5.04</v>
      </c>
      <c r="N12" s="1014">
        <v>5.2160000000000002</v>
      </c>
      <c r="O12" s="233">
        <f>SUM(C12:N12)</f>
        <v>61.303999999999995</v>
      </c>
      <c r="P12" s="132">
        <f t="shared" si="1"/>
        <v>9</v>
      </c>
    </row>
    <row r="13" spans="1:16" ht="18" thickBot="1" x14ac:dyDescent="0.4">
      <c r="A13" s="132">
        <f t="shared" si="0"/>
        <v>10</v>
      </c>
      <c r="B13" s="236" t="s">
        <v>141</v>
      </c>
      <c r="C13" s="237">
        <f t="shared" ref="C13:O13" si="3">SUM(C6:C12)</f>
        <v>1478463.341</v>
      </c>
      <c r="D13" s="238">
        <f t="shared" si="3"/>
        <v>1365243.477</v>
      </c>
      <c r="E13" s="238">
        <f t="shared" si="3"/>
        <v>1323555.8329999999</v>
      </c>
      <c r="F13" s="238">
        <f t="shared" si="3"/>
        <v>1303508.5340000002</v>
      </c>
      <c r="G13" s="238">
        <f t="shared" si="3"/>
        <v>1308718.1089999999</v>
      </c>
      <c r="H13" s="238">
        <f t="shared" si="3"/>
        <v>1386901.1940000004</v>
      </c>
      <c r="I13" s="238">
        <f t="shared" si="3"/>
        <v>1579912.2349999999</v>
      </c>
      <c r="J13" s="238">
        <f t="shared" si="3"/>
        <v>1668690.142</v>
      </c>
      <c r="K13" s="238">
        <f t="shared" si="3"/>
        <v>1760024.5170000002</v>
      </c>
      <c r="L13" s="238">
        <f t="shared" si="3"/>
        <v>1559790.952</v>
      </c>
      <c r="M13" s="238">
        <f t="shared" si="3"/>
        <v>1447020.709</v>
      </c>
      <c r="N13" s="238">
        <f t="shared" si="3"/>
        <v>1455956.1369999999</v>
      </c>
      <c r="O13" s="239">
        <f t="shared" si="3"/>
        <v>17637785.180000003</v>
      </c>
      <c r="P13" s="132">
        <f t="shared" si="1"/>
        <v>10</v>
      </c>
    </row>
    <row r="14" spans="1:16" ht="18" thickTop="1" x14ac:dyDescent="0.35">
      <c r="A14" s="132">
        <f t="shared" si="0"/>
        <v>11</v>
      </c>
      <c r="B14" s="236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1"/>
      <c r="P14" s="132">
        <f t="shared" si="1"/>
        <v>11</v>
      </c>
    </row>
    <row r="15" spans="1:16" ht="18" thickBot="1" x14ac:dyDescent="0.4">
      <c r="A15" s="132">
        <f t="shared" si="0"/>
        <v>12</v>
      </c>
      <c r="B15" s="236" t="s">
        <v>142</v>
      </c>
      <c r="C15" s="242">
        <f t="shared" ref="C15:O15" si="4">SUM(C6:C11)</f>
        <v>1478457.9990000001</v>
      </c>
      <c r="D15" s="242">
        <f t="shared" si="4"/>
        <v>1365238.432</v>
      </c>
      <c r="E15" s="242">
        <f t="shared" si="4"/>
        <v>1323550.7519999999</v>
      </c>
      <c r="F15" s="242">
        <f t="shared" si="4"/>
        <v>1303503.5590000001</v>
      </c>
      <c r="G15" s="242">
        <f t="shared" si="4"/>
        <v>1308713.098</v>
      </c>
      <c r="H15" s="242">
        <f t="shared" si="4"/>
        <v>1386896.0230000003</v>
      </c>
      <c r="I15" s="242">
        <f t="shared" si="4"/>
        <v>1579907.0009999999</v>
      </c>
      <c r="J15" s="242">
        <f t="shared" si="4"/>
        <v>1668685.176</v>
      </c>
      <c r="K15" s="242">
        <f t="shared" si="4"/>
        <v>1760019.2940000002</v>
      </c>
      <c r="L15" s="242">
        <f t="shared" si="4"/>
        <v>1559785.952</v>
      </c>
      <c r="M15" s="242">
        <f t="shared" si="4"/>
        <v>1447015.669</v>
      </c>
      <c r="N15" s="242">
        <f t="shared" si="4"/>
        <v>1455950.9209999999</v>
      </c>
      <c r="O15" s="243">
        <f t="shared" si="4"/>
        <v>17637723.876000002</v>
      </c>
      <c r="P15" s="132">
        <f t="shared" si="1"/>
        <v>12</v>
      </c>
    </row>
    <row r="16" spans="1:16" ht="18.5" thickTop="1" thickBot="1" x14ac:dyDescent="0.4">
      <c r="A16" s="132">
        <f t="shared" si="0"/>
        <v>13</v>
      </c>
      <c r="B16" s="142"/>
      <c r="C16" s="906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6"/>
      <c r="O16" s="247"/>
      <c r="P16" s="132">
        <f t="shared" si="1"/>
        <v>13</v>
      </c>
    </row>
    <row r="17" spans="1:18" x14ac:dyDescent="0.35">
      <c r="A17" s="132">
        <f t="shared" si="0"/>
        <v>14</v>
      </c>
      <c r="B17" s="248" t="s">
        <v>170</v>
      </c>
      <c r="C17" s="249">
        <f t="shared" ref="C17:O17" si="5">C5</f>
        <v>44197</v>
      </c>
      <c r="D17" s="250">
        <f t="shared" si="5"/>
        <v>44228</v>
      </c>
      <c r="E17" s="250">
        <f t="shared" si="5"/>
        <v>44256</v>
      </c>
      <c r="F17" s="250">
        <f t="shared" si="5"/>
        <v>44287</v>
      </c>
      <c r="G17" s="250">
        <f t="shared" si="5"/>
        <v>44317</v>
      </c>
      <c r="H17" s="250">
        <f t="shared" si="5"/>
        <v>44348</v>
      </c>
      <c r="I17" s="250">
        <f t="shared" si="5"/>
        <v>44378</v>
      </c>
      <c r="J17" s="250">
        <f t="shared" si="5"/>
        <v>44409</v>
      </c>
      <c r="K17" s="250">
        <f t="shared" si="5"/>
        <v>44440</v>
      </c>
      <c r="L17" s="250">
        <f t="shared" si="5"/>
        <v>44470</v>
      </c>
      <c r="M17" s="250">
        <f t="shared" si="5"/>
        <v>44501</v>
      </c>
      <c r="N17" s="250">
        <f t="shared" si="5"/>
        <v>44531</v>
      </c>
      <c r="O17" s="251" t="str">
        <f t="shared" si="5"/>
        <v>Total</v>
      </c>
      <c r="P17" s="132">
        <f t="shared" si="1"/>
        <v>14</v>
      </c>
    </row>
    <row r="18" spans="1:18" x14ac:dyDescent="0.35">
      <c r="A18" s="132">
        <f t="shared" si="0"/>
        <v>15</v>
      </c>
      <c r="B18" s="252" t="s">
        <v>143</v>
      </c>
      <c r="C18" s="253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35"/>
      <c r="P18" s="132">
        <f t="shared" si="1"/>
        <v>15</v>
      </c>
    </row>
    <row r="19" spans="1:18" x14ac:dyDescent="0.35">
      <c r="A19" s="132">
        <f t="shared" si="0"/>
        <v>16</v>
      </c>
      <c r="B19" s="140" t="s">
        <v>178</v>
      </c>
      <c r="C19" s="230">
        <v>0</v>
      </c>
      <c r="D19" s="254">
        <v>0</v>
      </c>
      <c r="E19" s="254">
        <v>0</v>
      </c>
      <c r="F19" s="254">
        <v>0</v>
      </c>
      <c r="G19" s="254">
        <v>0</v>
      </c>
      <c r="H19" s="254">
        <v>0</v>
      </c>
      <c r="I19" s="254">
        <v>0</v>
      </c>
      <c r="J19" s="254">
        <v>0</v>
      </c>
      <c r="K19" s="254">
        <v>0</v>
      </c>
      <c r="L19" s="254">
        <v>0</v>
      </c>
      <c r="M19" s="254">
        <v>0</v>
      </c>
      <c r="N19" s="254">
        <v>0</v>
      </c>
      <c r="O19" s="231">
        <f>SUM(C19:N19)</f>
        <v>0</v>
      </c>
      <c r="P19" s="132">
        <f t="shared" si="1"/>
        <v>16</v>
      </c>
    </row>
    <row r="20" spans="1:18" x14ac:dyDescent="0.35">
      <c r="A20" s="132">
        <f t="shared" si="0"/>
        <v>17</v>
      </c>
      <c r="B20" s="140" t="s">
        <v>144</v>
      </c>
      <c r="C20" s="230">
        <v>666191.02500000002</v>
      </c>
      <c r="D20" s="254">
        <v>655530.29700000002</v>
      </c>
      <c r="E20" s="254">
        <v>649376.58299999998</v>
      </c>
      <c r="F20" s="254">
        <v>678054.49100000004</v>
      </c>
      <c r="G20" s="254">
        <v>685609.85199999996</v>
      </c>
      <c r="H20" s="254">
        <v>727516.77800000005</v>
      </c>
      <c r="I20" s="254">
        <v>793316.60900000005</v>
      </c>
      <c r="J20" s="254">
        <v>813301.30799999996</v>
      </c>
      <c r="K20" s="254">
        <v>847773.88600000006</v>
      </c>
      <c r="L20" s="254">
        <v>777189.19900000002</v>
      </c>
      <c r="M20" s="254">
        <v>736518.81599999999</v>
      </c>
      <c r="N20" s="254">
        <v>684733.07299999997</v>
      </c>
      <c r="O20" s="231">
        <f>SUM(C20:N20)</f>
        <v>8715111.9169999994</v>
      </c>
      <c r="P20" s="132">
        <f t="shared" si="1"/>
        <v>17</v>
      </c>
    </row>
    <row r="21" spans="1:18" x14ac:dyDescent="0.35">
      <c r="A21" s="132">
        <f t="shared" si="0"/>
        <v>18</v>
      </c>
      <c r="B21" s="140" t="s">
        <v>145</v>
      </c>
      <c r="C21" s="230">
        <v>65087.82</v>
      </c>
      <c r="D21" s="255">
        <v>60527.553999999996</v>
      </c>
      <c r="E21" s="255">
        <v>57975.682999999997</v>
      </c>
      <c r="F21" s="255">
        <v>59987.985000000001</v>
      </c>
      <c r="G21" s="255">
        <v>60512.783000000003</v>
      </c>
      <c r="H21" s="255">
        <v>59038.413999999997</v>
      </c>
      <c r="I21" s="255">
        <v>64287.805</v>
      </c>
      <c r="J21" s="255">
        <v>60958.256000000001</v>
      </c>
      <c r="K21" s="255">
        <v>67164.691999999995</v>
      </c>
      <c r="L21" s="255">
        <v>62841.678</v>
      </c>
      <c r="M21" s="255">
        <v>59554.404000000002</v>
      </c>
      <c r="N21" s="255">
        <v>62613.807999999997</v>
      </c>
      <c r="O21" s="231">
        <f>SUM(C21:N21)</f>
        <v>740550.88199999987</v>
      </c>
      <c r="P21" s="132">
        <f t="shared" si="1"/>
        <v>18</v>
      </c>
    </row>
    <row r="22" spans="1:18" x14ac:dyDescent="0.35">
      <c r="A22" s="132">
        <f t="shared" si="0"/>
        <v>19</v>
      </c>
      <c r="B22" s="139" t="s">
        <v>88</v>
      </c>
      <c r="C22" s="264">
        <f>SUM(C19:C21)</f>
        <v>731278.84499999997</v>
      </c>
      <c r="D22" s="255">
        <f t="shared" ref="D22:O22" si="6">SUM(D19:D21)</f>
        <v>716057.85100000002</v>
      </c>
      <c r="E22" s="255">
        <f t="shared" si="6"/>
        <v>707352.26599999995</v>
      </c>
      <c r="F22" s="255">
        <f t="shared" si="6"/>
        <v>738042.47600000002</v>
      </c>
      <c r="G22" s="255">
        <f t="shared" si="6"/>
        <v>746122.63500000001</v>
      </c>
      <c r="H22" s="255">
        <f t="shared" si="6"/>
        <v>786555.19200000004</v>
      </c>
      <c r="I22" s="255">
        <f t="shared" si="6"/>
        <v>857604.41400000011</v>
      </c>
      <c r="J22" s="255">
        <f t="shared" si="6"/>
        <v>874259.56400000001</v>
      </c>
      <c r="K22" s="255">
        <f t="shared" si="6"/>
        <v>914938.5780000001</v>
      </c>
      <c r="L22" s="255">
        <f t="shared" si="6"/>
        <v>840030.87699999998</v>
      </c>
      <c r="M22" s="255">
        <f t="shared" si="6"/>
        <v>796073.22</v>
      </c>
      <c r="N22" s="255">
        <f t="shared" si="6"/>
        <v>747346.88099999994</v>
      </c>
      <c r="O22" s="265">
        <f t="shared" si="6"/>
        <v>9455662.7989999987</v>
      </c>
      <c r="P22" s="132">
        <f t="shared" si="1"/>
        <v>19</v>
      </c>
    </row>
    <row r="23" spans="1:18" ht="18" thickBot="1" x14ac:dyDescent="0.4">
      <c r="A23" s="133">
        <f>A22+1</f>
        <v>20</v>
      </c>
      <c r="B23" s="142"/>
      <c r="C23" s="244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136"/>
      <c r="P23" s="133">
        <f>P22+1</f>
        <v>20</v>
      </c>
    </row>
    <row r="24" spans="1:18" x14ac:dyDescent="0.35"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</row>
    <row r="25" spans="1:18" ht="18" thickBot="1" x14ac:dyDescent="0.4"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</row>
    <row r="26" spans="1:18" x14ac:dyDescent="0.35">
      <c r="A26" s="206" t="s">
        <v>93</v>
      </c>
      <c r="B26" s="1123" t="s">
        <v>133</v>
      </c>
      <c r="C26" s="1124"/>
      <c r="D26" s="1124"/>
      <c r="E26" s="1124"/>
      <c r="F26" s="1124"/>
      <c r="G26" s="1124"/>
      <c r="H26" s="1124"/>
      <c r="I26" s="1124"/>
      <c r="J26" s="1124"/>
      <c r="K26" s="1124"/>
      <c r="L26" s="1124"/>
      <c r="M26" s="1124"/>
      <c r="N26" s="1124"/>
      <c r="O26" s="1125"/>
      <c r="P26" s="206" t="s">
        <v>93</v>
      </c>
    </row>
    <row r="27" spans="1:18" ht="18" thickBot="1" x14ac:dyDescent="0.4">
      <c r="A27" s="133" t="s">
        <v>87</v>
      </c>
      <c r="B27" s="1126" t="str">
        <f>B3</f>
        <v>Forecast Billing Determinants for the 12-Month Period: January 2021 - December 2021</v>
      </c>
      <c r="C27" s="1127"/>
      <c r="D27" s="1127"/>
      <c r="E27" s="1127"/>
      <c r="F27" s="1127"/>
      <c r="G27" s="1127"/>
      <c r="H27" s="1127"/>
      <c r="I27" s="1127"/>
      <c r="J27" s="1127"/>
      <c r="K27" s="1127"/>
      <c r="L27" s="1127"/>
      <c r="M27" s="1127"/>
      <c r="N27" s="1127"/>
      <c r="O27" s="1128"/>
      <c r="P27" s="133" t="s">
        <v>87</v>
      </c>
    </row>
    <row r="28" spans="1:18" x14ac:dyDescent="0.35">
      <c r="A28" s="132">
        <f>A23+1</f>
        <v>21</v>
      </c>
      <c r="B28" s="260" t="s">
        <v>134</v>
      </c>
      <c r="C28" s="261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137"/>
      <c r="P28" s="132">
        <f>P23+1</f>
        <v>21</v>
      </c>
    </row>
    <row r="29" spans="1:18" x14ac:dyDescent="0.35">
      <c r="A29" s="132">
        <f>A28+1</f>
        <v>22</v>
      </c>
      <c r="B29" s="263" t="s">
        <v>146</v>
      </c>
      <c r="C29" s="249">
        <f t="shared" ref="C29:N29" si="7">C5</f>
        <v>44197</v>
      </c>
      <c r="D29" s="250">
        <f t="shared" si="7"/>
        <v>44228</v>
      </c>
      <c r="E29" s="250">
        <f t="shared" si="7"/>
        <v>44256</v>
      </c>
      <c r="F29" s="250">
        <f t="shared" si="7"/>
        <v>44287</v>
      </c>
      <c r="G29" s="250">
        <f t="shared" si="7"/>
        <v>44317</v>
      </c>
      <c r="H29" s="250">
        <f t="shared" si="7"/>
        <v>44348</v>
      </c>
      <c r="I29" s="250">
        <f t="shared" si="7"/>
        <v>44378</v>
      </c>
      <c r="J29" s="250">
        <f t="shared" si="7"/>
        <v>44409</v>
      </c>
      <c r="K29" s="250">
        <f t="shared" si="7"/>
        <v>44440</v>
      </c>
      <c r="L29" s="250">
        <f t="shared" si="7"/>
        <v>44470</v>
      </c>
      <c r="M29" s="250">
        <f t="shared" si="7"/>
        <v>44501</v>
      </c>
      <c r="N29" s="250">
        <f t="shared" si="7"/>
        <v>44531</v>
      </c>
      <c r="O29" s="251" t="s">
        <v>88</v>
      </c>
      <c r="P29" s="132">
        <f>P28+1</f>
        <v>22</v>
      </c>
      <c r="Q29" s="907"/>
    </row>
    <row r="30" spans="1:18" x14ac:dyDescent="0.35">
      <c r="A30" s="132">
        <f>A29+1</f>
        <v>23</v>
      </c>
      <c r="B30" s="170" t="s">
        <v>136</v>
      </c>
      <c r="C30" s="230">
        <f t="shared" ref="C30:N30" si="8">C6*1000</f>
        <v>547062817</v>
      </c>
      <c r="D30" s="201">
        <f t="shared" si="8"/>
        <v>454858804</v>
      </c>
      <c r="E30" s="201">
        <f t="shared" si="8"/>
        <v>422927184</v>
      </c>
      <c r="F30" s="201">
        <f t="shared" si="8"/>
        <v>368332159</v>
      </c>
      <c r="G30" s="201">
        <f t="shared" si="8"/>
        <v>360315220</v>
      </c>
      <c r="H30" s="201">
        <f t="shared" si="8"/>
        <v>385319291</v>
      </c>
      <c r="I30" s="201">
        <f t="shared" si="8"/>
        <v>484842956</v>
      </c>
      <c r="J30" s="201">
        <f t="shared" si="8"/>
        <v>552100669</v>
      </c>
      <c r="K30" s="201">
        <f t="shared" si="8"/>
        <v>594421452</v>
      </c>
      <c r="L30" s="201">
        <f t="shared" si="8"/>
        <v>492160118</v>
      </c>
      <c r="M30" s="201">
        <f t="shared" si="8"/>
        <v>440122023</v>
      </c>
      <c r="N30" s="201">
        <f t="shared" si="8"/>
        <v>507637958</v>
      </c>
      <c r="O30" s="231">
        <f>SUM(C30:N30)</f>
        <v>5610100651</v>
      </c>
      <c r="P30" s="132">
        <f>P29+1</f>
        <v>23</v>
      </c>
      <c r="Q30" s="907"/>
      <c r="R30" s="908"/>
    </row>
    <row r="31" spans="1:18" x14ac:dyDescent="0.35">
      <c r="A31" s="132">
        <f t="shared" ref="A31:A46" si="9">A30+1</f>
        <v>24</v>
      </c>
      <c r="B31" s="170" t="s">
        <v>137</v>
      </c>
      <c r="C31" s="230">
        <f t="shared" ref="C31:N31" si="10">C7*1000</f>
        <v>172633639</v>
      </c>
      <c r="D31" s="201">
        <f t="shared" si="10"/>
        <v>166364833</v>
      </c>
      <c r="E31" s="201">
        <f t="shared" si="10"/>
        <v>165722247</v>
      </c>
      <c r="F31" s="201">
        <f t="shared" si="10"/>
        <v>166300033</v>
      </c>
      <c r="G31" s="201">
        <f t="shared" si="10"/>
        <v>169180556</v>
      </c>
      <c r="H31" s="201">
        <f t="shared" si="10"/>
        <v>179043827</v>
      </c>
      <c r="I31" s="201">
        <f t="shared" si="10"/>
        <v>197992076</v>
      </c>
      <c r="J31" s="201">
        <f t="shared" si="10"/>
        <v>204486167</v>
      </c>
      <c r="K31" s="201">
        <f t="shared" si="10"/>
        <v>210494373</v>
      </c>
      <c r="L31" s="201">
        <f t="shared" si="10"/>
        <v>191541046</v>
      </c>
      <c r="M31" s="201">
        <f t="shared" si="10"/>
        <v>176670434</v>
      </c>
      <c r="N31" s="201">
        <f t="shared" si="10"/>
        <v>170744529</v>
      </c>
      <c r="O31" s="231">
        <f>SUM(C31:N31)</f>
        <v>2171173760</v>
      </c>
      <c r="P31" s="132">
        <f t="shared" ref="P31:P46" si="11">P30+1</f>
        <v>24</v>
      </c>
    </row>
    <row r="32" spans="1:18" x14ac:dyDescent="0.35">
      <c r="A32" s="132">
        <f t="shared" si="9"/>
        <v>25</v>
      </c>
      <c r="B32" s="170" t="s">
        <v>138</v>
      </c>
      <c r="C32" s="232">
        <f>C46</f>
        <v>731278845</v>
      </c>
      <c r="D32" s="233">
        <f>D46</f>
        <v>716057851</v>
      </c>
      <c r="E32" s="233">
        <f t="shared" ref="E32:N32" si="12">E46</f>
        <v>707352266</v>
      </c>
      <c r="F32" s="233">
        <f t="shared" si="12"/>
        <v>738042476</v>
      </c>
      <c r="G32" s="233">
        <f t="shared" si="12"/>
        <v>746122635</v>
      </c>
      <c r="H32" s="233">
        <f t="shared" si="12"/>
        <v>786555192</v>
      </c>
      <c r="I32" s="233">
        <f t="shared" si="12"/>
        <v>857604414</v>
      </c>
      <c r="J32" s="233">
        <f t="shared" si="12"/>
        <v>874259564</v>
      </c>
      <c r="K32" s="233">
        <f t="shared" si="12"/>
        <v>914938578</v>
      </c>
      <c r="L32" s="233">
        <f t="shared" si="12"/>
        <v>840030877</v>
      </c>
      <c r="M32" s="233">
        <f t="shared" si="12"/>
        <v>796073220</v>
      </c>
      <c r="N32" s="233">
        <f t="shared" si="12"/>
        <v>747346881</v>
      </c>
      <c r="O32" s="231">
        <f>SUM(C32:N32)</f>
        <v>9455662799</v>
      </c>
      <c r="P32" s="132">
        <f t="shared" si="11"/>
        <v>25</v>
      </c>
    </row>
    <row r="33" spans="1:18" x14ac:dyDescent="0.35">
      <c r="A33" s="132">
        <f t="shared" si="9"/>
        <v>26</v>
      </c>
      <c r="B33" s="234" t="s">
        <v>175</v>
      </c>
      <c r="C33" s="230">
        <f t="shared" ref="C33:N33" si="13">C9*1000</f>
        <v>6102668</v>
      </c>
      <c r="D33" s="201">
        <f t="shared" si="13"/>
        <v>6410689</v>
      </c>
      <c r="E33" s="201">
        <f t="shared" si="13"/>
        <v>5571899</v>
      </c>
      <c r="F33" s="201">
        <f t="shared" si="13"/>
        <v>7327740</v>
      </c>
      <c r="G33" s="201">
        <f t="shared" si="13"/>
        <v>8406524</v>
      </c>
      <c r="H33" s="201">
        <f t="shared" si="13"/>
        <v>9630840</v>
      </c>
      <c r="I33" s="201">
        <f t="shared" si="13"/>
        <v>11177232</v>
      </c>
      <c r="J33" s="201">
        <f t="shared" si="13"/>
        <v>11108378</v>
      </c>
      <c r="K33" s="201">
        <f t="shared" si="13"/>
        <v>11472287</v>
      </c>
      <c r="L33" s="201">
        <f t="shared" si="13"/>
        <v>9997882</v>
      </c>
      <c r="M33" s="201">
        <f t="shared" si="13"/>
        <v>9205082</v>
      </c>
      <c r="N33" s="201">
        <f t="shared" si="13"/>
        <v>7443040</v>
      </c>
      <c r="O33" s="231">
        <f t="shared" ref="O33:O34" si="14">SUM(C33:N33)</f>
        <v>103854261</v>
      </c>
      <c r="P33" s="132">
        <f t="shared" si="11"/>
        <v>26</v>
      </c>
    </row>
    <row r="34" spans="1:18" x14ac:dyDescent="0.35">
      <c r="A34" s="132">
        <f t="shared" si="9"/>
        <v>27</v>
      </c>
      <c r="B34" s="234" t="s">
        <v>176</v>
      </c>
      <c r="C34" s="230">
        <f t="shared" ref="C34:N34" si="15">C10*1000</f>
        <v>14007208</v>
      </c>
      <c r="D34" s="201">
        <f t="shared" si="15"/>
        <v>14513056</v>
      </c>
      <c r="E34" s="201">
        <f t="shared" si="15"/>
        <v>14920487</v>
      </c>
      <c r="F34" s="201">
        <f t="shared" si="15"/>
        <v>16615774.000000002</v>
      </c>
      <c r="G34" s="201">
        <f t="shared" si="15"/>
        <v>17750489</v>
      </c>
      <c r="H34" s="201">
        <f t="shared" si="15"/>
        <v>19196942</v>
      </c>
      <c r="I34" s="201">
        <f t="shared" si="15"/>
        <v>21062940</v>
      </c>
      <c r="J34" s="201">
        <f t="shared" si="15"/>
        <v>19858903</v>
      </c>
      <c r="K34" s="201">
        <f t="shared" si="15"/>
        <v>21475097</v>
      </c>
      <c r="L34" s="201">
        <f t="shared" si="15"/>
        <v>19116797</v>
      </c>
      <c r="M34" s="201">
        <f t="shared" si="15"/>
        <v>17939688</v>
      </c>
      <c r="N34" s="201">
        <f t="shared" si="15"/>
        <v>15539447</v>
      </c>
      <c r="O34" s="231">
        <f t="shared" si="14"/>
        <v>211996828</v>
      </c>
      <c r="P34" s="132">
        <f t="shared" si="11"/>
        <v>27</v>
      </c>
    </row>
    <row r="35" spans="1:18" x14ac:dyDescent="0.35">
      <c r="A35" s="132">
        <f t="shared" si="9"/>
        <v>28</v>
      </c>
      <c r="B35" s="170" t="s">
        <v>139</v>
      </c>
      <c r="C35" s="230">
        <f t="shared" ref="C35:N35" si="16">C11*1000</f>
        <v>7372822</v>
      </c>
      <c r="D35" s="201">
        <f t="shared" si="16"/>
        <v>7033199</v>
      </c>
      <c r="E35" s="201">
        <f t="shared" si="16"/>
        <v>7056669</v>
      </c>
      <c r="F35" s="201">
        <f t="shared" si="16"/>
        <v>6885377</v>
      </c>
      <c r="G35" s="201">
        <f t="shared" si="16"/>
        <v>6937674</v>
      </c>
      <c r="H35" s="201">
        <f t="shared" si="16"/>
        <v>7149931</v>
      </c>
      <c r="I35" s="201">
        <f t="shared" si="16"/>
        <v>7227383</v>
      </c>
      <c r="J35" s="201">
        <f t="shared" si="16"/>
        <v>6871495</v>
      </c>
      <c r="K35" s="201">
        <f t="shared" si="16"/>
        <v>7217507</v>
      </c>
      <c r="L35" s="201">
        <f t="shared" si="16"/>
        <v>6939232</v>
      </c>
      <c r="M35" s="201">
        <f t="shared" si="16"/>
        <v>7005222</v>
      </c>
      <c r="N35" s="201">
        <f t="shared" si="16"/>
        <v>7239066</v>
      </c>
      <c r="O35" s="231">
        <f>SUM(C35:N35)</f>
        <v>84935577</v>
      </c>
      <c r="P35" s="132">
        <f t="shared" si="11"/>
        <v>28</v>
      </c>
    </row>
    <row r="36" spans="1:18" x14ac:dyDescent="0.35">
      <c r="A36" s="132">
        <f t="shared" si="9"/>
        <v>29</v>
      </c>
      <c r="B36" s="235" t="s">
        <v>140</v>
      </c>
      <c r="C36" s="1015">
        <f t="shared" ref="C36:N36" si="17">C12*1000</f>
        <v>5342</v>
      </c>
      <c r="D36" s="1016">
        <f t="shared" si="17"/>
        <v>5045</v>
      </c>
      <c r="E36" s="1016">
        <f t="shared" si="17"/>
        <v>5081</v>
      </c>
      <c r="F36" s="1016">
        <f t="shared" si="17"/>
        <v>4975</v>
      </c>
      <c r="G36" s="1016">
        <f t="shared" si="17"/>
        <v>5011</v>
      </c>
      <c r="H36" s="1016">
        <f t="shared" si="17"/>
        <v>5171</v>
      </c>
      <c r="I36" s="1016">
        <f t="shared" si="17"/>
        <v>5234</v>
      </c>
      <c r="J36" s="1016">
        <f t="shared" si="17"/>
        <v>4966</v>
      </c>
      <c r="K36" s="1016">
        <f t="shared" si="17"/>
        <v>5223</v>
      </c>
      <c r="L36" s="1016">
        <f t="shared" si="17"/>
        <v>5000</v>
      </c>
      <c r="M36" s="1016">
        <f t="shared" si="17"/>
        <v>5040</v>
      </c>
      <c r="N36" s="1016">
        <f t="shared" si="17"/>
        <v>5216</v>
      </c>
      <c r="O36" s="231">
        <f>SUM(C36:N36)</f>
        <v>61304</v>
      </c>
      <c r="P36" s="132">
        <f t="shared" si="11"/>
        <v>29</v>
      </c>
      <c r="Q36" s="909"/>
    </row>
    <row r="37" spans="1:18" ht="18" thickBot="1" x14ac:dyDescent="0.4">
      <c r="A37" s="132">
        <f t="shared" si="9"/>
        <v>30</v>
      </c>
      <c r="B37" s="236" t="s">
        <v>141</v>
      </c>
      <c r="C37" s="237">
        <f>SUM(C30:C36)</f>
        <v>1478463341</v>
      </c>
      <c r="D37" s="238">
        <f t="shared" ref="D37:N37" si="18">SUM(D30:D36)</f>
        <v>1365243477</v>
      </c>
      <c r="E37" s="238">
        <f t="shared" si="18"/>
        <v>1323555833</v>
      </c>
      <c r="F37" s="238">
        <f t="shared" si="18"/>
        <v>1303508534</v>
      </c>
      <c r="G37" s="238">
        <f t="shared" si="18"/>
        <v>1308718109</v>
      </c>
      <c r="H37" s="238">
        <f t="shared" si="18"/>
        <v>1386901194</v>
      </c>
      <c r="I37" s="238">
        <f t="shared" si="18"/>
        <v>1579912235</v>
      </c>
      <c r="J37" s="238">
        <f t="shared" si="18"/>
        <v>1668690142</v>
      </c>
      <c r="K37" s="238">
        <f t="shared" si="18"/>
        <v>1760024517</v>
      </c>
      <c r="L37" s="238">
        <f t="shared" si="18"/>
        <v>1559790952</v>
      </c>
      <c r="M37" s="238">
        <f t="shared" si="18"/>
        <v>1447020709</v>
      </c>
      <c r="N37" s="238">
        <f t="shared" si="18"/>
        <v>1455956137</v>
      </c>
      <c r="O37" s="239">
        <f>SUM(O30:O36)</f>
        <v>17637785180</v>
      </c>
      <c r="P37" s="132">
        <f t="shared" si="11"/>
        <v>30</v>
      </c>
      <c r="Q37" s="909"/>
    </row>
    <row r="38" spans="1:18" ht="18" thickTop="1" x14ac:dyDescent="0.35">
      <c r="A38" s="132">
        <f t="shared" si="9"/>
        <v>31</v>
      </c>
      <c r="B38" s="240"/>
      <c r="C38" s="232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1"/>
      <c r="P38" s="132">
        <f t="shared" si="11"/>
        <v>31</v>
      </c>
      <c r="Q38" s="522"/>
    </row>
    <row r="39" spans="1:18" ht="18" thickBot="1" x14ac:dyDescent="0.4">
      <c r="A39" s="132">
        <f t="shared" si="9"/>
        <v>32</v>
      </c>
      <c r="B39" s="236" t="s">
        <v>142</v>
      </c>
      <c r="C39" s="241">
        <f>SUM(C30:C35)</f>
        <v>1478457999</v>
      </c>
      <c r="D39" s="242">
        <f>SUM(D30:D35)</f>
        <v>1365238432</v>
      </c>
      <c r="E39" s="242">
        <f t="shared" ref="E39:O39" si="19">SUM(E30:E35)</f>
        <v>1323550752</v>
      </c>
      <c r="F39" s="242">
        <f t="shared" si="19"/>
        <v>1303503559</v>
      </c>
      <c r="G39" s="242">
        <f t="shared" si="19"/>
        <v>1308713098</v>
      </c>
      <c r="H39" s="242">
        <f t="shared" si="19"/>
        <v>1386896023</v>
      </c>
      <c r="I39" s="242">
        <f t="shared" si="19"/>
        <v>1579907001</v>
      </c>
      <c r="J39" s="242">
        <f t="shared" si="19"/>
        <v>1668685176</v>
      </c>
      <c r="K39" s="242">
        <f t="shared" si="19"/>
        <v>1760019294</v>
      </c>
      <c r="L39" s="242">
        <f t="shared" si="19"/>
        <v>1559785952</v>
      </c>
      <c r="M39" s="242">
        <f t="shared" si="19"/>
        <v>1447015669</v>
      </c>
      <c r="N39" s="242">
        <f t="shared" si="19"/>
        <v>1455950921</v>
      </c>
      <c r="O39" s="243">
        <f t="shared" si="19"/>
        <v>17637723876</v>
      </c>
      <c r="P39" s="132">
        <f t="shared" si="11"/>
        <v>32</v>
      </c>
      <c r="Q39" s="909"/>
    </row>
    <row r="40" spans="1:18" ht="18.5" thickTop="1" thickBot="1" x14ac:dyDescent="0.4">
      <c r="A40" s="132">
        <f t="shared" si="9"/>
        <v>33</v>
      </c>
      <c r="B40" s="244"/>
      <c r="C40" s="244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6"/>
      <c r="O40" s="419"/>
      <c r="P40" s="132">
        <f t="shared" si="11"/>
        <v>33</v>
      </c>
      <c r="Q40" s="287"/>
      <c r="R40" s="1075">
        <f>O39-'Stmnt BD - Forecast KWH'!E26</f>
        <v>0</v>
      </c>
    </row>
    <row r="41" spans="1:18" x14ac:dyDescent="0.35">
      <c r="A41" s="132">
        <f t="shared" si="9"/>
        <v>34</v>
      </c>
      <c r="B41" s="248" t="s">
        <v>170</v>
      </c>
      <c r="C41" s="249">
        <f>C29</f>
        <v>44197</v>
      </c>
      <c r="D41" s="250">
        <f t="shared" ref="D41:O41" si="20">D29</f>
        <v>44228</v>
      </c>
      <c r="E41" s="250">
        <f t="shared" si="20"/>
        <v>44256</v>
      </c>
      <c r="F41" s="250">
        <f t="shared" si="20"/>
        <v>44287</v>
      </c>
      <c r="G41" s="250">
        <f t="shared" si="20"/>
        <v>44317</v>
      </c>
      <c r="H41" s="250">
        <f t="shared" si="20"/>
        <v>44348</v>
      </c>
      <c r="I41" s="250">
        <f t="shared" si="20"/>
        <v>44378</v>
      </c>
      <c r="J41" s="250">
        <f t="shared" si="20"/>
        <v>44409</v>
      </c>
      <c r="K41" s="250">
        <f t="shared" si="20"/>
        <v>44440</v>
      </c>
      <c r="L41" s="250">
        <f t="shared" si="20"/>
        <v>44470</v>
      </c>
      <c r="M41" s="250">
        <f t="shared" si="20"/>
        <v>44501</v>
      </c>
      <c r="N41" s="250">
        <f t="shared" si="20"/>
        <v>44531</v>
      </c>
      <c r="O41" s="251" t="str">
        <f t="shared" si="20"/>
        <v>Total</v>
      </c>
      <c r="P41" s="132">
        <f t="shared" si="11"/>
        <v>34</v>
      </c>
    </row>
    <row r="42" spans="1:18" x14ac:dyDescent="0.35">
      <c r="A42" s="132">
        <f t="shared" si="9"/>
        <v>35</v>
      </c>
      <c r="B42" s="252" t="s">
        <v>147</v>
      </c>
      <c r="C42" s="253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35"/>
      <c r="P42" s="132">
        <f t="shared" si="11"/>
        <v>35</v>
      </c>
    </row>
    <row r="43" spans="1:18" x14ac:dyDescent="0.35">
      <c r="A43" s="132">
        <f t="shared" si="9"/>
        <v>36</v>
      </c>
      <c r="B43" s="140" t="s">
        <v>178</v>
      </c>
      <c r="C43" s="230">
        <f t="shared" ref="C43:N43" si="21">C19*1000</f>
        <v>0</v>
      </c>
      <c r="D43" s="201">
        <f t="shared" si="21"/>
        <v>0</v>
      </c>
      <c r="E43" s="201">
        <f t="shared" si="21"/>
        <v>0</v>
      </c>
      <c r="F43" s="201">
        <f t="shared" si="21"/>
        <v>0</v>
      </c>
      <c r="G43" s="201">
        <f t="shared" si="21"/>
        <v>0</v>
      </c>
      <c r="H43" s="201">
        <f t="shared" si="21"/>
        <v>0</v>
      </c>
      <c r="I43" s="201">
        <f t="shared" si="21"/>
        <v>0</v>
      </c>
      <c r="J43" s="201">
        <f t="shared" si="21"/>
        <v>0</v>
      </c>
      <c r="K43" s="201">
        <f t="shared" si="21"/>
        <v>0</v>
      </c>
      <c r="L43" s="201">
        <f t="shared" si="21"/>
        <v>0</v>
      </c>
      <c r="M43" s="201">
        <f t="shared" si="21"/>
        <v>0</v>
      </c>
      <c r="N43" s="201">
        <f t="shared" si="21"/>
        <v>0</v>
      </c>
      <c r="O43" s="231">
        <f>SUM(C43:N43)</f>
        <v>0</v>
      </c>
      <c r="P43" s="132">
        <f t="shared" si="11"/>
        <v>36</v>
      </c>
    </row>
    <row r="44" spans="1:18" x14ac:dyDescent="0.35">
      <c r="A44" s="132">
        <f t="shared" si="9"/>
        <v>37</v>
      </c>
      <c r="B44" s="140" t="s">
        <v>144</v>
      </c>
      <c r="C44" s="230">
        <f t="shared" ref="C44:N44" si="22">C20*1000</f>
        <v>666191025</v>
      </c>
      <c r="D44" s="201">
        <f t="shared" si="22"/>
        <v>655530297</v>
      </c>
      <c r="E44" s="201">
        <f t="shared" si="22"/>
        <v>649376583</v>
      </c>
      <c r="F44" s="201">
        <f t="shared" si="22"/>
        <v>678054491</v>
      </c>
      <c r="G44" s="201">
        <f t="shared" si="22"/>
        <v>685609852</v>
      </c>
      <c r="H44" s="201">
        <f t="shared" si="22"/>
        <v>727516778</v>
      </c>
      <c r="I44" s="201">
        <f t="shared" si="22"/>
        <v>793316609</v>
      </c>
      <c r="J44" s="201">
        <f t="shared" si="22"/>
        <v>813301308</v>
      </c>
      <c r="K44" s="201">
        <f t="shared" si="22"/>
        <v>847773886</v>
      </c>
      <c r="L44" s="201">
        <f t="shared" si="22"/>
        <v>777189199</v>
      </c>
      <c r="M44" s="201">
        <f t="shared" si="22"/>
        <v>736518816</v>
      </c>
      <c r="N44" s="201">
        <f t="shared" si="22"/>
        <v>684733073</v>
      </c>
      <c r="O44" s="231">
        <f>SUM(C44:N44)</f>
        <v>8715111917</v>
      </c>
      <c r="P44" s="132">
        <f t="shared" si="11"/>
        <v>37</v>
      </c>
    </row>
    <row r="45" spans="1:18" x14ac:dyDescent="0.35">
      <c r="A45" s="132">
        <f t="shared" si="9"/>
        <v>38</v>
      </c>
      <c r="B45" s="140" t="s">
        <v>145</v>
      </c>
      <c r="C45" s="230">
        <f t="shared" ref="C45:N45" si="23">C21*1000</f>
        <v>65087820</v>
      </c>
      <c r="D45" s="201">
        <f t="shared" si="23"/>
        <v>60527554</v>
      </c>
      <c r="E45" s="201">
        <f t="shared" si="23"/>
        <v>57975683</v>
      </c>
      <c r="F45" s="201">
        <f t="shared" si="23"/>
        <v>59987985</v>
      </c>
      <c r="G45" s="201">
        <f t="shared" si="23"/>
        <v>60512783</v>
      </c>
      <c r="H45" s="201">
        <f t="shared" si="23"/>
        <v>59038414</v>
      </c>
      <c r="I45" s="201">
        <f t="shared" si="23"/>
        <v>64287805</v>
      </c>
      <c r="J45" s="201">
        <f t="shared" si="23"/>
        <v>60958256</v>
      </c>
      <c r="K45" s="201">
        <f t="shared" si="23"/>
        <v>67164692</v>
      </c>
      <c r="L45" s="201">
        <f t="shared" si="23"/>
        <v>62841678</v>
      </c>
      <c r="M45" s="201">
        <f t="shared" si="23"/>
        <v>59554404</v>
      </c>
      <c r="N45" s="201">
        <f t="shared" si="23"/>
        <v>62613808</v>
      </c>
      <c r="O45" s="231">
        <f>SUM(C45:N45)</f>
        <v>740550882</v>
      </c>
      <c r="P45" s="132">
        <f t="shared" si="11"/>
        <v>38</v>
      </c>
    </row>
    <row r="46" spans="1:18" ht="18" thickBot="1" x14ac:dyDescent="0.4">
      <c r="A46" s="132">
        <f t="shared" si="9"/>
        <v>39</v>
      </c>
      <c r="B46" s="139" t="s">
        <v>88</v>
      </c>
      <c r="C46" s="256">
        <f>SUM(C43:C45)</f>
        <v>731278845</v>
      </c>
      <c r="D46" s="257">
        <f t="shared" ref="D46:O46" si="24">SUM(D43:D45)</f>
        <v>716057851</v>
      </c>
      <c r="E46" s="257">
        <f t="shared" si="24"/>
        <v>707352266</v>
      </c>
      <c r="F46" s="257">
        <f t="shared" si="24"/>
        <v>738042476</v>
      </c>
      <c r="G46" s="257">
        <f t="shared" si="24"/>
        <v>746122635</v>
      </c>
      <c r="H46" s="257">
        <f t="shared" si="24"/>
        <v>786555192</v>
      </c>
      <c r="I46" s="257">
        <f t="shared" si="24"/>
        <v>857604414</v>
      </c>
      <c r="J46" s="257">
        <f t="shared" si="24"/>
        <v>874259564</v>
      </c>
      <c r="K46" s="257">
        <f t="shared" si="24"/>
        <v>914938578</v>
      </c>
      <c r="L46" s="257">
        <f t="shared" si="24"/>
        <v>840030877</v>
      </c>
      <c r="M46" s="257">
        <f t="shared" si="24"/>
        <v>796073220</v>
      </c>
      <c r="N46" s="257">
        <f t="shared" si="24"/>
        <v>747346881</v>
      </c>
      <c r="O46" s="258">
        <f t="shared" si="24"/>
        <v>9455662799</v>
      </c>
      <c r="P46" s="132">
        <f t="shared" si="11"/>
        <v>39</v>
      </c>
    </row>
    <row r="47" spans="1:18" ht="18.5" thickTop="1" thickBot="1" x14ac:dyDescent="0.4">
      <c r="A47" s="133">
        <f>A46+1</f>
        <v>40</v>
      </c>
      <c r="B47" s="142"/>
      <c r="C47" s="244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136"/>
      <c r="P47" s="133">
        <f>P46+1</f>
        <v>40</v>
      </c>
    </row>
  </sheetData>
  <mergeCells count="4">
    <mergeCell ref="B2:O2"/>
    <mergeCell ref="B3:O3"/>
    <mergeCell ref="B26:O26"/>
    <mergeCell ref="B27:O27"/>
  </mergeCells>
  <printOptions horizontalCentered="1"/>
  <pageMargins left="0.25" right="0.25" top="0.5" bottom="0.5" header="0.25" footer="0.25"/>
  <pageSetup scale="50" orientation="landscape" r:id="rId1"/>
  <headerFooter scaleWithDoc="0" alignWithMargins="0">
    <oddFooter>&amp;L&amp;"Times New Roman,Regular"&amp;12&amp;F&amp;C&amp;"Times New Roman,Regular"&amp;12Page 1.2&amp;R&amp;"Times New Roman,Regular"&amp;12&amp;A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29"/>
  <sheetViews>
    <sheetView zoomScale="80" zoomScaleNormal="80" zoomScaleSheetLayoutView="100" workbookViewId="0"/>
  </sheetViews>
  <sheetFormatPr defaultColWidth="8.54296875" defaultRowHeight="13" x14ac:dyDescent="0.3"/>
  <cols>
    <col min="1" max="1" width="5.54296875" style="1" customWidth="1"/>
    <col min="2" max="2" width="52.54296875" style="2" customWidth="1"/>
    <col min="3" max="3" width="18.54296875" style="2" customWidth="1"/>
    <col min="4" max="4" width="21.453125" style="1" bestFit="1" customWidth="1"/>
    <col min="5" max="5" width="20.54296875" style="1" bestFit="1" customWidth="1"/>
    <col min="6" max="6" width="18.54296875" style="1" customWidth="1"/>
    <col min="7" max="7" width="36.26953125" style="1" customWidth="1"/>
    <col min="8" max="8" width="5.54296875" style="1" customWidth="1"/>
    <col min="9" max="10" width="15.54296875" style="1" customWidth="1"/>
    <col min="11" max="16384" width="8.54296875" style="1"/>
  </cols>
  <sheetData>
    <row r="1" spans="1:8" ht="15" x14ac:dyDescent="0.3">
      <c r="B1" s="5"/>
      <c r="C1" s="5"/>
      <c r="D1" s="6"/>
      <c r="E1" s="6"/>
      <c r="F1" s="6"/>
      <c r="G1" s="6"/>
    </row>
    <row r="2" spans="1:8" ht="15" x14ac:dyDescent="0.3">
      <c r="B2" s="5" t="s">
        <v>108</v>
      </c>
      <c r="C2" s="5"/>
      <c r="D2" s="6"/>
      <c r="E2" s="6"/>
      <c r="F2" s="6"/>
      <c r="G2" s="6"/>
    </row>
    <row r="3" spans="1:8" ht="15.75" customHeight="1" x14ac:dyDescent="0.3">
      <c r="B3" s="1115" t="str">
        <f>'Stmnt BD - Recorded KWH'!A4</f>
        <v>2021 - TRBAA Rate Filing</v>
      </c>
      <c r="C3" s="1115"/>
      <c r="D3" s="1115"/>
      <c r="E3" s="1115"/>
      <c r="F3" s="1115"/>
      <c r="G3" s="1115"/>
    </row>
    <row r="4" spans="1:8" ht="15" x14ac:dyDescent="0.3">
      <c r="B4" s="5" t="s">
        <v>47</v>
      </c>
      <c r="C4" s="5"/>
      <c r="D4" s="6"/>
      <c r="E4" s="6"/>
      <c r="F4" s="6"/>
      <c r="G4" s="6"/>
    </row>
    <row r="5" spans="1:8" ht="15.5" thickBot="1" x14ac:dyDescent="0.35">
      <c r="B5" s="5"/>
      <c r="C5" s="5"/>
      <c r="D5" s="6"/>
      <c r="E5" s="6"/>
      <c r="F5" s="6"/>
      <c r="G5" s="6"/>
    </row>
    <row r="6" spans="1:8" ht="15" x14ac:dyDescent="0.3">
      <c r="A6" s="334"/>
      <c r="B6" s="698"/>
      <c r="C6" s="651" t="s">
        <v>115</v>
      </c>
      <c r="D6" s="651" t="s">
        <v>132</v>
      </c>
      <c r="E6" s="651" t="s">
        <v>229</v>
      </c>
      <c r="F6" s="651" t="s">
        <v>230</v>
      </c>
      <c r="G6" s="525"/>
      <c r="H6" s="652"/>
    </row>
    <row r="7" spans="1:8" ht="15" x14ac:dyDescent="0.3">
      <c r="A7" s="655" t="s">
        <v>93</v>
      </c>
      <c r="B7" s="82"/>
      <c r="C7" s="82" t="s">
        <v>32</v>
      </c>
      <c r="D7" s="696" t="s">
        <v>100</v>
      </c>
      <c r="E7" s="696" t="s">
        <v>98</v>
      </c>
      <c r="F7" s="82"/>
      <c r="G7" s="696"/>
      <c r="H7" s="656" t="s">
        <v>93</v>
      </c>
    </row>
    <row r="8" spans="1:8" ht="15.5" thickBot="1" x14ac:dyDescent="0.35">
      <c r="A8" s="678" t="s">
        <v>87</v>
      </c>
      <c r="B8" s="174" t="s">
        <v>99</v>
      </c>
      <c r="C8" s="174" t="s">
        <v>125</v>
      </c>
      <c r="D8" s="702" t="s">
        <v>89</v>
      </c>
      <c r="E8" s="702" t="s">
        <v>89</v>
      </c>
      <c r="F8" s="174" t="s">
        <v>88</v>
      </c>
      <c r="G8" s="702" t="s">
        <v>91</v>
      </c>
      <c r="H8" s="679" t="s">
        <v>87</v>
      </c>
    </row>
    <row r="9" spans="1:8" ht="15.5" x14ac:dyDescent="0.35">
      <c r="A9" s="388"/>
      <c r="B9" s="10"/>
      <c r="C9" s="82"/>
      <c r="D9" s="19"/>
      <c r="E9" s="19"/>
      <c r="F9" s="10"/>
      <c r="G9" s="23"/>
      <c r="H9" s="405"/>
    </row>
    <row r="10" spans="1:8" ht="16" thickBot="1" x14ac:dyDescent="0.4">
      <c r="A10" s="308">
        <v>1</v>
      </c>
      <c r="B10" s="18" t="s">
        <v>496</v>
      </c>
      <c r="C10" s="43">
        <f>'WP 4 Monthly TRBAA '!O38</f>
        <v>-5041423.9391464861</v>
      </c>
      <c r="D10" s="19"/>
      <c r="E10" s="19"/>
      <c r="F10" s="24"/>
      <c r="G10" s="23" t="s">
        <v>284</v>
      </c>
      <c r="H10" s="309">
        <v>1</v>
      </c>
    </row>
    <row r="11" spans="1:8" ht="16" thickTop="1" x14ac:dyDescent="0.35">
      <c r="A11" s="308">
        <f t="shared" ref="A11:A24" si="0">A10+1</f>
        <v>2</v>
      </c>
      <c r="B11" s="18"/>
      <c r="C11" s="18"/>
      <c r="D11" s="19"/>
      <c r="E11" s="19"/>
      <c r="F11" s="24"/>
      <c r="G11" s="23"/>
      <c r="H11" s="309">
        <f t="shared" ref="H11:H22" si="1">H10+1</f>
        <v>2</v>
      </c>
    </row>
    <row r="12" spans="1:8" s="224" customFormat="1" ht="15.5" x14ac:dyDescent="0.35">
      <c r="A12" s="870">
        <f t="shared" si="0"/>
        <v>3</v>
      </c>
      <c r="B12" s="876" t="s">
        <v>111</v>
      </c>
      <c r="C12" s="968"/>
      <c r="D12" s="46">
        <f>'WP 6 HV LV Alloc Summary'!C26</f>
        <v>-16245100.029999999</v>
      </c>
      <c r="E12" s="46">
        <f>'WP 6 HV LV Alloc Summary'!D26</f>
        <v>0</v>
      </c>
      <c r="F12" s="465">
        <f>SUM(D12:E12)</f>
        <v>-16245100.029999999</v>
      </c>
      <c r="G12" s="877" t="s">
        <v>429</v>
      </c>
      <c r="H12" s="878">
        <f t="shared" si="1"/>
        <v>3</v>
      </c>
    </row>
    <row r="13" spans="1:8" ht="15.5" x14ac:dyDescent="0.35">
      <c r="A13" s="308">
        <f t="shared" si="0"/>
        <v>4</v>
      </c>
      <c r="B13" s="18"/>
      <c r="C13" s="969"/>
      <c r="D13" s="31"/>
      <c r="E13" s="31"/>
      <c r="F13" s="39"/>
      <c r="G13" s="23"/>
      <c r="H13" s="309">
        <f t="shared" si="1"/>
        <v>4</v>
      </c>
    </row>
    <row r="14" spans="1:8" ht="15.5" x14ac:dyDescent="0.35">
      <c r="A14" s="308">
        <f t="shared" si="0"/>
        <v>5</v>
      </c>
      <c r="B14" s="18" t="s">
        <v>112</v>
      </c>
      <c r="C14" s="969"/>
      <c r="D14" s="31">
        <f>'WP 6 HV LV Alloc Summary'!C33</f>
        <v>6688.9967756617143</v>
      </c>
      <c r="E14" s="31">
        <f>'WP 6 HV LV Alloc Summary'!D33</f>
        <v>5311.0032243382857</v>
      </c>
      <c r="F14" s="39">
        <f>SUM(D14:E14)</f>
        <v>12000</v>
      </c>
      <c r="G14" s="23" t="s">
        <v>430</v>
      </c>
      <c r="H14" s="309">
        <f t="shared" si="1"/>
        <v>5</v>
      </c>
    </row>
    <row r="15" spans="1:8" ht="15.5" x14ac:dyDescent="0.35">
      <c r="A15" s="308">
        <f t="shared" si="0"/>
        <v>6</v>
      </c>
      <c r="B15" s="71"/>
      <c r="C15" s="969"/>
      <c r="D15" s="31"/>
      <c r="E15" s="31"/>
      <c r="F15" s="282"/>
      <c r="G15" s="67"/>
      <c r="H15" s="309">
        <f t="shared" si="1"/>
        <v>6</v>
      </c>
    </row>
    <row r="16" spans="1:8" ht="15.5" x14ac:dyDescent="0.35">
      <c r="A16" s="308">
        <f t="shared" si="0"/>
        <v>7</v>
      </c>
      <c r="B16" s="71" t="s">
        <v>199</v>
      </c>
      <c r="C16" s="969"/>
      <c r="D16" s="31">
        <f>'WP 6 HV LV Alloc Summary'!C39</f>
        <v>430801.91647456726</v>
      </c>
      <c r="E16" s="31">
        <f>'WP 6 HV LV Alloc Summary'!D39</f>
        <v>342052.84352543263</v>
      </c>
      <c r="F16" s="282">
        <f>SUM(D16:E16)</f>
        <v>772854.75999999989</v>
      </c>
      <c r="G16" s="67" t="s">
        <v>431</v>
      </c>
      <c r="H16" s="309">
        <f t="shared" si="1"/>
        <v>7</v>
      </c>
    </row>
    <row r="17" spans="1:8" ht="15.5" x14ac:dyDescent="0.35">
      <c r="A17" s="308">
        <f t="shared" si="0"/>
        <v>8</v>
      </c>
      <c r="B17" s="71"/>
      <c r="C17" s="970"/>
      <c r="D17" s="31"/>
      <c r="E17" s="31"/>
      <c r="F17" s="282"/>
      <c r="G17" s="67"/>
      <c r="H17" s="309">
        <f t="shared" si="1"/>
        <v>8</v>
      </c>
    </row>
    <row r="18" spans="1:8" ht="15.5" x14ac:dyDescent="0.35">
      <c r="A18" s="308">
        <f t="shared" si="0"/>
        <v>9</v>
      </c>
      <c r="B18" s="71" t="s">
        <v>214</v>
      </c>
      <c r="C18" s="970"/>
      <c r="D18" s="38">
        <f>'WP 6 HV LV Alloc Summary'!C49</f>
        <v>-1210599.1401684335</v>
      </c>
      <c r="E18" s="38">
        <f>'WP 6 HV LV Alloc Summary'!D49</f>
        <v>301896.13016843348</v>
      </c>
      <c r="F18" s="40">
        <f>SUM(D18:E18)</f>
        <v>-908703.01</v>
      </c>
      <c r="G18" s="67" t="s">
        <v>440</v>
      </c>
      <c r="H18" s="309">
        <f t="shared" si="1"/>
        <v>9</v>
      </c>
    </row>
    <row r="19" spans="1:8" ht="15.5" x14ac:dyDescent="0.35">
      <c r="A19" s="308">
        <f t="shared" si="0"/>
        <v>10</v>
      </c>
      <c r="B19" s="18"/>
      <c r="C19" s="18"/>
      <c r="D19" s="19"/>
      <c r="E19" s="19"/>
      <c r="F19" s="19"/>
      <c r="G19" s="23"/>
      <c r="H19" s="309">
        <f t="shared" si="1"/>
        <v>10</v>
      </c>
    </row>
    <row r="20" spans="1:8" ht="15.5" x14ac:dyDescent="0.35">
      <c r="A20" s="308">
        <f t="shared" si="0"/>
        <v>11</v>
      </c>
      <c r="B20" s="18" t="s">
        <v>523</v>
      </c>
      <c r="C20" s="18"/>
      <c r="D20" s="14">
        <f>SUM(D12:D18)</f>
        <v>-17018208.256918203</v>
      </c>
      <c r="E20" s="14">
        <f>SUM(E12:E18)</f>
        <v>649259.97691820445</v>
      </c>
      <c r="F20" s="14">
        <f>SUM(F12:F18)</f>
        <v>-16368948.279999999</v>
      </c>
      <c r="G20" s="23" t="s">
        <v>293</v>
      </c>
      <c r="H20" s="309">
        <f t="shared" si="1"/>
        <v>11</v>
      </c>
    </row>
    <row r="21" spans="1:8" ht="15.5" x14ac:dyDescent="0.35">
      <c r="A21" s="308">
        <f t="shared" si="0"/>
        <v>12</v>
      </c>
      <c r="B21" s="11"/>
      <c r="C21" s="11"/>
      <c r="D21" s="16"/>
      <c r="E21" s="16"/>
      <c r="F21" s="17"/>
      <c r="G21" s="10"/>
      <c r="H21" s="309">
        <f t="shared" si="1"/>
        <v>12</v>
      </c>
    </row>
    <row r="22" spans="1:8" ht="15.5" x14ac:dyDescent="0.35">
      <c r="A22" s="308">
        <f t="shared" si="0"/>
        <v>13</v>
      </c>
      <c r="B22" s="18" t="s">
        <v>113</v>
      </c>
      <c r="C22" s="18"/>
      <c r="D22" s="25">
        <f>D20/$F20</f>
        <v>1.0396641229364434</v>
      </c>
      <c r="E22" s="25">
        <f>E20/$F20</f>
        <v>-3.9664122936443447E-2</v>
      </c>
      <c r="F22" s="30">
        <f>SUM(D22:E22)</f>
        <v>1</v>
      </c>
      <c r="G22" s="23" t="s">
        <v>294</v>
      </c>
      <c r="H22" s="309">
        <f t="shared" si="1"/>
        <v>13</v>
      </c>
    </row>
    <row r="23" spans="1:8" ht="15.5" x14ac:dyDescent="0.35">
      <c r="A23" s="308">
        <f t="shared" si="0"/>
        <v>14</v>
      </c>
      <c r="B23" s="18"/>
      <c r="C23" s="18"/>
      <c r="D23" s="21"/>
      <c r="E23" s="21"/>
      <c r="F23" s="21"/>
      <c r="G23" s="23"/>
      <c r="H23" s="309">
        <f>H22+1</f>
        <v>14</v>
      </c>
    </row>
    <row r="24" spans="1:8" ht="19" thickBot="1" x14ac:dyDescent="0.4">
      <c r="A24" s="308">
        <f t="shared" si="0"/>
        <v>15</v>
      </c>
      <c r="B24" s="11" t="s">
        <v>253</v>
      </c>
      <c r="C24" s="11"/>
      <c r="D24" s="275">
        <f>$C10*D22</f>
        <v>-5241387.5980435209</v>
      </c>
      <c r="E24" s="275">
        <f>$C10*E22</f>
        <v>199963.6588970352</v>
      </c>
      <c r="F24" s="275">
        <f>SUM(D24:E24)</f>
        <v>-5041423.9391464861</v>
      </c>
      <c r="G24" s="23" t="s">
        <v>295</v>
      </c>
      <c r="H24" s="309">
        <f>H23+1</f>
        <v>15</v>
      </c>
    </row>
    <row r="25" spans="1:8" ht="16.5" thickTop="1" thickBot="1" x14ac:dyDescent="0.4">
      <c r="A25" s="685"/>
      <c r="B25" s="88"/>
      <c r="C25" s="88"/>
      <c r="D25" s="548"/>
      <c r="E25" s="88"/>
      <c r="F25" s="88"/>
      <c r="G25" s="88"/>
      <c r="H25" s="473"/>
    </row>
    <row r="26" spans="1:8" ht="15.5" x14ac:dyDescent="0.35">
      <c r="A26" s="22"/>
      <c r="B26" s="22"/>
      <c r="C26" s="22"/>
      <c r="D26" s="22"/>
      <c r="E26" s="22"/>
      <c r="F26" s="22"/>
      <c r="G26" s="22"/>
      <c r="H26" s="22"/>
    </row>
    <row r="27" spans="1:8" ht="18.5" x14ac:dyDescent="0.35">
      <c r="A27" s="90">
        <v>1</v>
      </c>
      <c r="B27" s="22" t="s">
        <v>473</v>
      </c>
      <c r="C27" s="22"/>
      <c r="D27" s="22"/>
      <c r="E27" s="22"/>
      <c r="F27" s="22"/>
      <c r="G27" s="22"/>
      <c r="H27" s="22"/>
    </row>
    <row r="28" spans="1:8" ht="18.5" x14ac:dyDescent="0.35">
      <c r="A28" s="90"/>
      <c r="B28" s="22"/>
      <c r="C28" s="22"/>
      <c r="D28" s="22"/>
      <c r="E28" s="22"/>
      <c r="F28" s="22"/>
      <c r="G28" s="22"/>
      <c r="H28" s="22"/>
    </row>
    <row r="29" spans="1:8" ht="18.5" x14ac:dyDescent="0.35">
      <c r="A29" s="90"/>
      <c r="B29" s="22"/>
      <c r="C29" s="22"/>
      <c r="D29" s="22"/>
      <c r="E29" s="22"/>
      <c r="F29" s="22"/>
      <c r="G29" s="22"/>
      <c r="H29" s="22"/>
    </row>
  </sheetData>
  <mergeCells count="1">
    <mergeCell ref="B3:G3"/>
  </mergeCells>
  <phoneticPr fontId="0" type="noConversion"/>
  <printOptions horizontalCentered="1"/>
  <pageMargins left="0.25" right="0.25" top="0.5" bottom="0.5" header="0.25" footer="0.25"/>
  <pageSetup scale="76" orientation="landscape" r:id="rId1"/>
  <headerFooter scaleWithDoc="0" alignWithMargins="0">
    <oddFooter>&amp;L&amp;"Times New Roman,Regular"&amp;12&amp;F&amp;C&amp;"Times New Roman,Regular"&amp;12Page 2.1&amp;R&amp;"Times New Roman,Regular"&amp;12&amp;A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60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4" width="20.54296875" style="1" customWidth="1"/>
    <col min="5" max="5" width="22.1796875" style="1" bestFit="1" customWidth="1"/>
    <col min="6" max="6" width="40.54296875" style="1" customWidth="1"/>
    <col min="7" max="7" width="5.54296875" style="1" customWidth="1"/>
    <col min="8" max="8" width="8.54296875" style="1" customWidth="1"/>
    <col min="9" max="9" width="12.54296875" style="1" customWidth="1"/>
    <col min="10" max="10" width="8.453125" style="1" customWidth="1"/>
    <col min="11" max="16384" width="8.54296875" style="1"/>
  </cols>
  <sheetData>
    <row r="2" spans="1:10" s="3" customFormat="1" ht="18" customHeight="1" x14ac:dyDescent="0.3">
      <c r="A2" s="5" t="s">
        <v>25</v>
      </c>
      <c r="B2" s="5"/>
      <c r="C2" s="5"/>
      <c r="D2" s="5"/>
      <c r="E2" s="5"/>
      <c r="F2" s="5"/>
      <c r="G2" s="41"/>
      <c r="H2" s="1"/>
      <c r="I2" s="1"/>
      <c r="J2" s="1"/>
    </row>
    <row r="3" spans="1:10" s="3" customFormat="1" ht="18" customHeight="1" x14ac:dyDescent="0.3">
      <c r="A3" s="5" t="s">
        <v>108</v>
      </c>
      <c r="B3" s="5"/>
      <c r="C3" s="5"/>
      <c r="D3" s="5"/>
      <c r="E3" s="5"/>
      <c r="F3" s="5"/>
      <c r="G3" s="41"/>
      <c r="H3" s="1"/>
      <c r="I3" s="1"/>
      <c r="J3" s="1"/>
    </row>
    <row r="4" spans="1:10" s="3" customFormat="1" ht="18" customHeight="1" x14ac:dyDescent="0.3">
      <c r="A4" s="5" t="str">
        <f>'Stmnt BD - Recorded KWH'!A4</f>
        <v>2021 - TRBAA Rate Filing</v>
      </c>
      <c r="B4" s="5"/>
      <c r="C4" s="5"/>
      <c r="D4" s="5"/>
      <c r="E4" s="5"/>
      <c r="F4" s="5"/>
      <c r="G4" s="41"/>
      <c r="H4" s="1"/>
      <c r="I4" s="1"/>
      <c r="J4" s="1"/>
    </row>
    <row r="5" spans="1:10" ht="15.5" x14ac:dyDescent="0.3">
      <c r="A5" s="5" t="s">
        <v>26</v>
      </c>
      <c r="B5" s="5"/>
      <c r="C5" s="5"/>
      <c r="D5" s="41"/>
      <c r="E5" s="41"/>
      <c r="F5" s="41"/>
      <c r="G5" s="41"/>
    </row>
    <row r="6" spans="1:10" ht="16" thickBot="1" x14ac:dyDescent="0.35">
      <c r="A6" s="5"/>
      <c r="B6" s="5"/>
      <c r="C6" s="5"/>
      <c r="D6" s="41"/>
      <c r="E6" s="41"/>
      <c r="F6" s="41"/>
      <c r="G6" s="41"/>
    </row>
    <row r="7" spans="1:10" ht="15" x14ac:dyDescent="0.3">
      <c r="A7" s="334"/>
      <c r="B7" s="650"/>
      <c r="C7" s="189" t="s">
        <v>115</v>
      </c>
      <c r="D7" s="189" t="s">
        <v>116</v>
      </c>
      <c r="E7" s="189" t="s">
        <v>117</v>
      </c>
      <c r="F7" s="651"/>
      <c r="G7" s="652"/>
    </row>
    <row r="8" spans="1:10" ht="15" x14ac:dyDescent="0.3">
      <c r="A8" s="653"/>
      <c r="B8" s="103"/>
      <c r="C8" s="82" t="s">
        <v>171</v>
      </c>
      <c r="D8" s="82" t="s">
        <v>140</v>
      </c>
      <c r="E8" s="82" t="s">
        <v>171</v>
      </c>
      <c r="F8" s="103"/>
      <c r="G8" s="654"/>
    </row>
    <row r="9" spans="1:10" ht="15" x14ac:dyDescent="0.3">
      <c r="A9" s="655" t="s">
        <v>93</v>
      </c>
      <c r="B9" s="82"/>
      <c r="C9" s="180" t="s">
        <v>118</v>
      </c>
      <c r="D9" s="82" t="s">
        <v>340</v>
      </c>
      <c r="E9" s="180" t="s">
        <v>118</v>
      </c>
      <c r="F9" s="82"/>
      <c r="G9" s="656" t="s">
        <v>93</v>
      </c>
    </row>
    <row r="10" spans="1:10" ht="18.5" thickBot="1" x14ac:dyDescent="0.35">
      <c r="A10" s="678" t="s">
        <v>87</v>
      </c>
      <c r="B10" s="174" t="s">
        <v>37</v>
      </c>
      <c r="C10" s="680" t="s">
        <v>173</v>
      </c>
      <c r="D10" s="174" t="s">
        <v>341</v>
      </c>
      <c r="E10" s="680" t="s">
        <v>172</v>
      </c>
      <c r="F10" s="174" t="s">
        <v>91</v>
      </c>
      <c r="G10" s="679" t="s">
        <v>87</v>
      </c>
    </row>
    <row r="11" spans="1:10" ht="15.5" x14ac:dyDescent="0.35">
      <c r="A11" s="308"/>
      <c r="B11" s="910"/>
      <c r="C11" s="215"/>
      <c r="D11" s="42"/>
      <c r="E11" s="215"/>
      <c r="F11" s="81"/>
      <c r="G11" s="309"/>
    </row>
    <row r="12" spans="1:10" ht="15.5" x14ac:dyDescent="0.35">
      <c r="A12" s="308">
        <v>1</v>
      </c>
      <c r="B12" s="762">
        <v>44197</v>
      </c>
      <c r="C12" s="46">
        <f>'WP 1.2 Forecast Sales'!C$37</f>
        <v>1478463341</v>
      </c>
      <c r="D12" s="254">
        <f>'WP 1.2 Forecast Sales'!C$36</f>
        <v>5342</v>
      </c>
      <c r="E12" s="47">
        <f>C12-D12</f>
        <v>1478457999</v>
      </c>
      <c r="F12" s="285" t="s">
        <v>264</v>
      </c>
      <c r="G12" s="309">
        <v>1</v>
      </c>
    </row>
    <row r="13" spans="1:10" ht="15.5" x14ac:dyDescent="0.35">
      <c r="A13" s="308">
        <f t="shared" ref="A13:A26" si="0">A12+1</f>
        <v>2</v>
      </c>
      <c r="B13" s="762">
        <v>44228</v>
      </c>
      <c r="C13" s="46">
        <f>'WP 1.2 Forecast Sales'!D$37</f>
        <v>1365243477</v>
      </c>
      <c r="D13" s="1016">
        <f>'WP 1.2 Forecast Sales'!D$36</f>
        <v>5045</v>
      </c>
      <c r="E13" s="47">
        <f>C13-D13</f>
        <v>1365238432</v>
      </c>
      <c r="F13" s="285" t="str">
        <f>$F$12</f>
        <v>Workpaper No. 1; Page 1.2; Lines 30; 29</v>
      </c>
      <c r="G13" s="309">
        <f t="shared" ref="G13:G26" si="1">G12+1</f>
        <v>2</v>
      </c>
    </row>
    <row r="14" spans="1:10" ht="15.5" x14ac:dyDescent="0.35">
      <c r="A14" s="308">
        <f t="shared" si="0"/>
        <v>3</v>
      </c>
      <c r="B14" s="762">
        <v>44256</v>
      </c>
      <c r="C14" s="46">
        <f>'WP 1.2 Forecast Sales'!E$37</f>
        <v>1323555833</v>
      </c>
      <c r="D14" s="254">
        <f>'WP 1.2 Forecast Sales'!E$36</f>
        <v>5081</v>
      </c>
      <c r="E14" s="47">
        <f>C14-D14</f>
        <v>1323550752</v>
      </c>
      <c r="F14" s="285" t="str">
        <f t="shared" ref="F14:F23" si="2">$F$12</f>
        <v>Workpaper No. 1; Page 1.2; Lines 30; 29</v>
      </c>
      <c r="G14" s="309">
        <f t="shared" si="1"/>
        <v>3</v>
      </c>
    </row>
    <row r="15" spans="1:10" ht="15.5" x14ac:dyDescent="0.35">
      <c r="A15" s="308">
        <f t="shared" si="0"/>
        <v>4</v>
      </c>
      <c r="B15" s="762">
        <v>44287</v>
      </c>
      <c r="C15" s="46">
        <f>'WP 1.2 Forecast Sales'!F$37</f>
        <v>1303508534</v>
      </c>
      <c r="D15" s="254">
        <f>'WP 1.2 Forecast Sales'!F$36</f>
        <v>4975</v>
      </c>
      <c r="E15" s="47">
        <f t="shared" ref="E15:E22" si="3">C15-D15</f>
        <v>1303503559</v>
      </c>
      <c r="F15" s="285" t="str">
        <f t="shared" si="2"/>
        <v>Workpaper No. 1; Page 1.2; Lines 30; 29</v>
      </c>
      <c r="G15" s="309">
        <f t="shared" si="1"/>
        <v>4</v>
      </c>
      <c r="J15" s="4"/>
    </row>
    <row r="16" spans="1:10" ht="15.5" x14ac:dyDescent="0.35">
      <c r="A16" s="308">
        <f t="shared" si="0"/>
        <v>5</v>
      </c>
      <c r="B16" s="762">
        <v>44317</v>
      </c>
      <c r="C16" s="46">
        <f>'WP 1.2 Forecast Sales'!G$37</f>
        <v>1308718109</v>
      </c>
      <c r="D16" s="254">
        <f>'WP 1.2 Forecast Sales'!G$36</f>
        <v>5011</v>
      </c>
      <c r="E16" s="47">
        <f t="shared" si="3"/>
        <v>1308713098</v>
      </c>
      <c r="F16" s="285" t="str">
        <f t="shared" si="2"/>
        <v>Workpaper No. 1; Page 1.2; Lines 30; 29</v>
      </c>
      <c r="G16" s="309">
        <f t="shared" si="1"/>
        <v>5</v>
      </c>
      <c r="J16" s="4"/>
    </row>
    <row r="17" spans="1:10" ht="15.5" x14ac:dyDescent="0.35">
      <c r="A17" s="308">
        <f t="shared" si="0"/>
        <v>6</v>
      </c>
      <c r="B17" s="762">
        <v>44348</v>
      </c>
      <c r="C17" s="46">
        <f>'WP 1.2 Forecast Sales'!H$37</f>
        <v>1386901194</v>
      </c>
      <c r="D17" s="254">
        <f>'WP 1.2 Forecast Sales'!H$36</f>
        <v>5171</v>
      </c>
      <c r="E17" s="47">
        <f t="shared" si="3"/>
        <v>1386896023</v>
      </c>
      <c r="F17" s="285" t="str">
        <f t="shared" si="2"/>
        <v>Workpaper No. 1; Page 1.2; Lines 30; 29</v>
      </c>
      <c r="G17" s="309">
        <f t="shared" si="1"/>
        <v>6</v>
      </c>
      <c r="J17" s="4"/>
    </row>
    <row r="18" spans="1:10" ht="15.5" x14ac:dyDescent="0.35">
      <c r="A18" s="308">
        <f t="shared" si="0"/>
        <v>7</v>
      </c>
      <c r="B18" s="762">
        <v>44378</v>
      </c>
      <c r="C18" s="46">
        <f>'WP 1.2 Forecast Sales'!I$37</f>
        <v>1579912235</v>
      </c>
      <c r="D18" s="254">
        <f>'WP 1.2 Forecast Sales'!I$36</f>
        <v>5234</v>
      </c>
      <c r="E18" s="47">
        <f t="shared" si="3"/>
        <v>1579907001</v>
      </c>
      <c r="F18" s="285" t="str">
        <f t="shared" si="2"/>
        <v>Workpaper No. 1; Page 1.2; Lines 30; 29</v>
      </c>
      <c r="G18" s="309">
        <f t="shared" si="1"/>
        <v>7</v>
      </c>
      <c r="J18" s="4"/>
    </row>
    <row r="19" spans="1:10" ht="15.5" x14ac:dyDescent="0.35">
      <c r="A19" s="308">
        <f t="shared" si="0"/>
        <v>8</v>
      </c>
      <c r="B19" s="762">
        <v>44409</v>
      </c>
      <c r="C19" s="46">
        <f>'WP 1.2 Forecast Sales'!J$37</f>
        <v>1668690142</v>
      </c>
      <c r="D19" s="254">
        <f>'WP 1.2 Forecast Sales'!J$36</f>
        <v>4966</v>
      </c>
      <c r="E19" s="47">
        <f t="shared" si="3"/>
        <v>1668685176</v>
      </c>
      <c r="F19" s="285" t="str">
        <f t="shared" si="2"/>
        <v>Workpaper No. 1; Page 1.2; Lines 30; 29</v>
      </c>
      <c r="G19" s="309">
        <f t="shared" si="1"/>
        <v>8</v>
      </c>
      <c r="J19" s="4"/>
    </row>
    <row r="20" spans="1:10" ht="15.5" x14ac:dyDescent="0.35">
      <c r="A20" s="308">
        <f t="shared" si="0"/>
        <v>9</v>
      </c>
      <c r="B20" s="762">
        <v>44440</v>
      </c>
      <c r="C20" s="46">
        <f>'WP 1.2 Forecast Sales'!K$37</f>
        <v>1760024517</v>
      </c>
      <c r="D20" s="254">
        <f>'WP 1.2 Forecast Sales'!K$36</f>
        <v>5223</v>
      </c>
      <c r="E20" s="47">
        <f t="shared" si="3"/>
        <v>1760019294</v>
      </c>
      <c r="F20" s="285" t="str">
        <f t="shared" si="2"/>
        <v>Workpaper No. 1; Page 1.2; Lines 30; 29</v>
      </c>
      <c r="G20" s="309">
        <f t="shared" si="1"/>
        <v>9</v>
      </c>
      <c r="J20" s="4"/>
    </row>
    <row r="21" spans="1:10" ht="15.5" x14ac:dyDescent="0.35">
      <c r="A21" s="308">
        <f t="shared" si="0"/>
        <v>10</v>
      </c>
      <c r="B21" s="762">
        <v>44470</v>
      </c>
      <c r="C21" s="46">
        <f>'WP 1.2 Forecast Sales'!L$37</f>
        <v>1559790952</v>
      </c>
      <c r="D21" s="254">
        <f>'WP 1.2 Forecast Sales'!L$36</f>
        <v>5000</v>
      </c>
      <c r="E21" s="47">
        <f t="shared" si="3"/>
        <v>1559785952</v>
      </c>
      <c r="F21" s="285" t="str">
        <f t="shared" si="2"/>
        <v>Workpaper No. 1; Page 1.2; Lines 30; 29</v>
      </c>
      <c r="G21" s="309">
        <f t="shared" si="1"/>
        <v>10</v>
      </c>
      <c r="J21" s="4"/>
    </row>
    <row r="22" spans="1:10" ht="15.5" x14ac:dyDescent="0.35">
      <c r="A22" s="308">
        <f t="shared" si="0"/>
        <v>11</v>
      </c>
      <c r="B22" s="762">
        <v>44501</v>
      </c>
      <c r="C22" s="46">
        <f>'WP 1.2 Forecast Sales'!M$37</f>
        <v>1447020709</v>
      </c>
      <c r="D22" s="254">
        <f>'WP 1.2 Forecast Sales'!M$36</f>
        <v>5040</v>
      </c>
      <c r="E22" s="47">
        <f t="shared" si="3"/>
        <v>1447015669</v>
      </c>
      <c r="F22" s="285" t="str">
        <f t="shared" si="2"/>
        <v>Workpaper No. 1; Page 1.2; Lines 30; 29</v>
      </c>
      <c r="G22" s="309">
        <f t="shared" si="1"/>
        <v>11</v>
      </c>
      <c r="J22" s="4"/>
    </row>
    <row r="23" spans="1:10" ht="15.5" x14ac:dyDescent="0.35">
      <c r="A23" s="308">
        <f t="shared" si="0"/>
        <v>12</v>
      </c>
      <c r="B23" s="762">
        <v>44531</v>
      </c>
      <c r="C23" s="46">
        <f>'WP 1.2 Forecast Sales'!N$37</f>
        <v>1455956137</v>
      </c>
      <c r="D23" s="254">
        <f>'WP 1.2 Forecast Sales'!N$36</f>
        <v>5216</v>
      </c>
      <c r="E23" s="47">
        <f>C23-D23</f>
        <v>1455950921</v>
      </c>
      <c r="F23" s="285" t="str">
        <f t="shared" si="2"/>
        <v>Workpaper No. 1; Page 1.2; Lines 30; 29</v>
      </c>
      <c r="G23" s="309">
        <f t="shared" si="1"/>
        <v>12</v>
      </c>
      <c r="J23" s="4"/>
    </row>
    <row r="24" spans="1:10" ht="15.5" x14ac:dyDescent="0.35">
      <c r="A24" s="308">
        <f t="shared" si="0"/>
        <v>13</v>
      </c>
      <c r="B24" s="216"/>
      <c r="C24" s="55"/>
      <c r="D24" s="202"/>
      <c r="E24" s="159"/>
      <c r="F24" s="52"/>
      <c r="G24" s="309">
        <f t="shared" si="1"/>
        <v>13</v>
      </c>
      <c r="J24" s="4"/>
    </row>
    <row r="25" spans="1:10" ht="15.5" x14ac:dyDescent="0.35">
      <c r="A25" s="308">
        <f t="shared" si="0"/>
        <v>14</v>
      </c>
      <c r="B25" s="161"/>
      <c r="C25" s="47"/>
      <c r="D25" s="47"/>
      <c r="E25" s="47"/>
      <c r="F25" s="53"/>
      <c r="G25" s="309">
        <f t="shared" si="1"/>
        <v>14</v>
      </c>
    </row>
    <row r="26" spans="1:10" ht="16" thickBot="1" x14ac:dyDescent="0.4">
      <c r="A26" s="308">
        <f t="shared" si="0"/>
        <v>15</v>
      </c>
      <c r="B26" s="203" t="s">
        <v>88</v>
      </c>
      <c r="C26" s="204">
        <f>SUM(C12:C23)</f>
        <v>17637785180</v>
      </c>
      <c r="D26" s="204">
        <f>SUM(D12:D23)</f>
        <v>61304</v>
      </c>
      <c r="E26" s="204">
        <f>SUM(E12:E23)</f>
        <v>17637723876</v>
      </c>
      <c r="F26" s="53" t="s">
        <v>28</v>
      </c>
      <c r="G26" s="309">
        <f t="shared" si="1"/>
        <v>15</v>
      </c>
      <c r="I26" s="4"/>
    </row>
    <row r="27" spans="1:10" ht="16.5" thickTop="1" thickBot="1" x14ac:dyDescent="0.4">
      <c r="A27" s="349"/>
      <c r="B27" s="87"/>
      <c r="C27" s="657"/>
      <c r="D27" s="658"/>
      <c r="E27" s="88"/>
      <c r="F27" s="63"/>
      <c r="G27" s="350"/>
    </row>
    <row r="28" spans="1:10" ht="15.5" x14ac:dyDescent="0.35">
      <c r="A28" s="22"/>
      <c r="B28" s="22"/>
      <c r="C28" s="22"/>
      <c r="D28" s="22"/>
      <c r="E28" s="22"/>
      <c r="F28" s="22"/>
      <c r="G28" s="22"/>
    </row>
    <row r="29" spans="1:10" ht="18.5" x14ac:dyDescent="0.35">
      <c r="A29" s="481">
        <v>1</v>
      </c>
      <c r="B29" s="22" t="s">
        <v>343</v>
      </c>
      <c r="C29" s="22"/>
      <c r="D29" s="22"/>
      <c r="E29" s="51"/>
      <c r="F29" s="51"/>
      <c r="G29" s="22"/>
    </row>
    <row r="30" spans="1:10" ht="15.5" x14ac:dyDescent="0.35">
      <c r="A30" s="22"/>
      <c r="B30" s="22" t="s">
        <v>158</v>
      </c>
      <c r="C30" s="22"/>
      <c r="D30" s="22"/>
      <c r="E30" s="51"/>
      <c r="F30" s="51"/>
      <c r="G30" s="22"/>
    </row>
    <row r="31" spans="1:10" ht="15.5" x14ac:dyDescent="0.35">
      <c r="A31" s="22"/>
      <c r="B31" s="22"/>
      <c r="C31" s="22"/>
      <c r="D31" s="22"/>
      <c r="E31" s="51"/>
      <c r="F31" s="51"/>
      <c r="G31" s="22"/>
    </row>
    <row r="32" spans="1:10" ht="15.5" x14ac:dyDescent="0.35">
      <c r="A32" s="22"/>
      <c r="B32" s="22"/>
      <c r="C32" s="22"/>
      <c r="D32" s="22"/>
      <c r="E32" s="51"/>
      <c r="F32" s="51"/>
      <c r="G32" s="22"/>
    </row>
    <row r="33" spans="1:7" ht="15.5" x14ac:dyDescent="0.35">
      <c r="A33" s="22"/>
      <c r="B33" s="22"/>
      <c r="C33" s="22"/>
      <c r="D33" s="22"/>
      <c r="E33" s="22"/>
      <c r="F33" s="22"/>
      <c r="G33" s="22"/>
    </row>
    <row r="34" spans="1:7" ht="15.5" x14ac:dyDescent="0.35">
      <c r="A34" s="22"/>
      <c r="B34" s="22"/>
      <c r="C34" s="22"/>
      <c r="D34" s="22"/>
      <c r="E34" s="22"/>
      <c r="F34" s="22"/>
      <c r="G34" s="22"/>
    </row>
    <row r="35" spans="1:7" ht="15.5" x14ac:dyDescent="0.35">
      <c r="A35" s="22"/>
      <c r="B35" s="22"/>
      <c r="C35" s="22"/>
      <c r="D35" s="22"/>
      <c r="E35" s="22"/>
      <c r="F35" s="22"/>
      <c r="G35" s="22"/>
    </row>
    <row r="36" spans="1:7" ht="15.5" x14ac:dyDescent="0.35">
      <c r="A36" s="22"/>
      <c r="B36" s="22"/>
      <c r="C36" s="22"/>
      <c r="D36" s="22"/>
      <c r="E36" s="22"/>
      <c r="F36" s="22"/>
      <c r="G36" s="22"/>
    </row>
    <row r="37" spans="1:7" ht="15.5" x14ac:dyDescent="0.35">
      <c r="A37" s="22"/>
      <c r="B37" s="22"/>
      <c r="C37" s="22"/>
      <c r="D37" s="22"/>
      <c r="E37" s="22"/>
      <c r="F37" s="22"/>
      <c r="G37" s="22"/>
    </row>
    <row r="38" spans="1:7" ht="15.5" x14ac:dyDescent="0.35">
      <c r="A38" s="22"/>
      <c r="B38" s="22"/>
      <c r="C38" s="22"/>
      <c r="D38" s="22"/>
      <c r="E38" s="22"/>
      <c r="F38" s="22"/>
      <c r="G38" s="22"/>
    </row>
    <row r="39" spans="1:7" ht="15.5" x14ac:dyDescent="0.35">
      <c r="A39" s="22"/>
      <c r="B39" s="22"/>
      <c r="C39" s="22"/>
      <c r="D39" s="22"/>
      <c r="E39" s="22"/>
      <c r="F39" s="22"/>
      <c r="G39" s="22"/>
    </row>
    <row r="40" spans="1:7" ht="15.5" x14ac:dyDescent="0.35">
      <c r="A40" s="22"/>
      <c r="B40" s="22"/>
      <c r="C40" s="22"/>
      <c r="D40" s="22"/>
      <c r="E40" s="22"/>
      <c r="F40" s="100"/>
      <c r="G40" s="22"/>
    </row>
    <row r="41" spans="1:7" ht="15.5" x14ac:dyDescent="0.35">
      <c r="A41" s="22"/>
      <c r="B41" s="22"/>
      <c r="C41" s="22"/>
      <c r="D41" s="22"/>
      <c r="E41" s="22"/>
      <c r="F41" s="22"/>
      <c r="G41" s="22"/>
    </row>
    <row r="42" spans="1:7" ht="15.5" x14ac:dyDescent="0.35">
      <c r="A42" s="22"/>
      <c r="B42" s="22"/>
      <c r="C42" s="22"/>
      <c r="D42" s="22"/>
      <c r="E42" s="22"/>
      <c r="F42" s="22"/>
      <c r="G42" s="22"/>
    </row>
    <row r="43" spans="1:7" ht="15.5" x14ac:dyDescent="0.35">
      <c r="A43" s="22"/>
      <c r="B43" s="22"/>
      <c r="C43" s="22"/>
      <c r="D43" s="22"/>
      <c r="E43" s="22"/>
      <c r="F43" s="22"/>
      <c r="G43" s="22"/>
    </row>
    <row r="44" spans="1:7" ht="15.5" x14ac:dyDescent="0.35">
      <c r="A44" s="22"/>
      <c r="B44" s="22"/>
      <c r="C44" s="22"/>
      <c r="D44" s="22"/>
      <c r="E44" s="22"/>
      <c r="F44" s="22"/>
      <c r="G44" s="22"/>
    </row>
    <row r="45" spans="1:7" ht="15.5" x14ac:dyDescent="0.35">
      <c r="A45" s="22"/>
      <c r="B45" s="22"/>
      <c r="C45" s="22"/>
      <c r="D45" s="22"/>
      <c r="E45" s="22"/>
      <c r="F45" s="22"/>
      <c r="G45" s="22"/>
    </row>
    <row r="46" spans="1:7" ht="15.5" x14ac:dyDescent="0.35">
      <c r="A46" s="22"/>
      <c r="B46" s="22"/>
      <c r="C46" s="22"/>
      <c r="D46" s="22"/>
      <c r="E46" s="22"/>
      <c r="F46" s="22"/>
      <c r="G46" s="22"/>
    </row>
    <row r="47" spans="1:7" ht="15.5" x14ac:dyDescent="0.35">
      <c r="A47" s="22"/>
      <c r="B47" s="22"/>
      <c r="C47" s="22"/>
      <c r="D47" s="22"/>
      <c r="E47" s="22"/>
      <c r="F47" s="22"/>
      <c r="G47" s="22"/>
    </row>
    <row r="48" spans="1:7" ht="15.5" x14ac:dyDescent="0.35">
      <c r="A48" s="22"/>
      <c r="B48" s="22"/>
      <c r="C48" s="22"/>
      <c r="D48" s="22"/>
      <c r="E48" s="22"/>
      <c r="F48" s="22"/>
      <c r="G48" s="22"/>
    </row>
    <row r="49" spans="1:7" ht="15.5" x14ac:dyDescent="0.35">
      <c r="A49" s="22"/>
      <c r="B49" s="22"/>
      <c r="C49" s="22"/>
      <c r="D49" s="22"/>
      <c r="E49" s="22"/>
      <c r="F49" s="22"/>
      <c r="G49" s="22"/>
    </row>
    <row r="50" spans="1:7" ht="15.5" x14ac:dyDescent="0.35">
      <c r="A50" s="22"/>
      <c r="B50" s="22"/>
      <c r="C50" s="22"/>
      <c r="D50" s="22"/>
      <c r="E50" s="22"/>
      <c r="F50" s="22"/>
      <c r="G50" s="22"/>
    </row>
    <row r="51" spans="1:7" ht="15.5" x14ac:dyDescent="0.35">
      <c r="A51" s="22"/>
      <c r="B51" s="22"/>
      <c r="C51" s="22"/>
      <c r="D51" s="22"/>
      <c r="E51" s="22"/>
      <c r="F51" s="22"/>
      <c r="G51" s="22"/>
    </row>
    <row r="52" spans="1:7" ht="15.5" x14ac:dyDescent="0.35">
      <c r="A52" s="22"/>
      <c r="B52" s="22"/>
      <c r="C52" s="22"/>
      <c r="D52" s="22"/>
      <c r="E52" s="22"/>
      <c r="F52" s="22"/>
      <c r="G52" s="22"/>
    </row>
    <row r="53" spans="1:7" ht="15.5" x14ac:dyDescent="0.35">
      <c r="A53" s="22"/>
      <c r="B53" s="22"/>
      <c r="C53" s="22"/>
      <c r="D53" s="22"/>
      <c r="E53" s="22"/>
      <c r="F53" s="22"/>
      <c r="G53" s="22"/>
    </row>
    <row r="54" spans="1:7" ht="15.5" x14ac:dyDescent="0.35">
      <c r="A54" s="22"/>
      <c r="B54" s="22"/>
      <c r="C54" s="22"/>
      <c r="D54" s="22"/>
      <c r="E54" s="22"/>
      <c r="F54" s="22"/>
      <c r="G54" s="22"/>
    </row>
    <row r="55" spans="1:7" ht="15.5" x14ac:dyDescent="0.35">
      <c r="A55" s="22"/>
      <c r="B55" s="22"/>
      <c r="C55" s="22"/>
      <c r="D55" s="22"/>
      <c r="E55" s="22"/>
      <c r="F55" s="22"/>
      <c r="G55" s="22"/>
    </row>
    <row r="56" spans="1:7" ht="15.5" x14ac:dyDescent="0.35">
      <c r="A56" s="22"/>
      <c r="B56" s="22"/>
      <c r="C56" s="22"/>
      <c r="D56" s="22"/>
      <c r="E56" s="22"/>
      <c r="F56" s="22"/>
      <c r="G56" s="22"/>
    </row>
    <row r="57" spans="1:7" ht="15.5" x14ac:dyDescent="0.35">
      <c r="A57" s="22"/>
      <c r="B57" s="22"/>
      <c r="C57" s="22"/>
      <c r="D57" s="22"/>
      <c r="E57" s="22"/>
      <c r="F57" s="22"/>
      <c r="G57" s="22"/>
    </row>
    <row r="58" spans="1:7" ht="15.5" x14ac:dyDescent="0.35">
      <c r="A58" s="22"/>
      <c r="B58" s="22"/>
      <c r="C58" s="22"/>
      <c r="D58" s="22"/>
      <c r="E58" s="22"/>
      <c r="F58" s="22"/>
      <c r="G58" s="22"/>
    </row>
    <row r="59" spans="1:7" ht="15.5" x14ac:dyDescent="0.35">
      <c r="A59" s="22"/>
      <c r="B59" s="22"/>
      <c r="C59" s="22"/>
      <c r="D59" s="22"/>
      <c r="E59" s="22"/>
      <c r="F59" s="22"/>
      <c r="G59" s="22"/>
    </row>
    <row r="60" spans="1:7" ht="15.5" x14ac:dyDescent="0.35">
      <c r="A60" s="22"/>
      <c r="B60" s="22"/>
      <c r="C60" s="22"/>
      <c r="D60" s="22"/>
      <c r="E60" s="22"/>
      <c r="F60" s="22"/>
      <c r="G60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2 of 5&amp;R&amp;"Times New Roman,Regular"&amp;12&amp;A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17E2-3CF5-42BB-A5C6-39DBD5ACCBFA}">
  <sheetPr>
    <pageSetUpPr fitToPage="1"/>
  </sheetPr>
  <dimension ref="A1:G26"/>
  <sheetViews>
    <sheetView zoomScale="80" zoomScaleNormal="80" workbookViewId="0"/>
  </sheetViews>
  <sheetFormatPr defaultColWidth="8.54296875" defaultRowHeight="15.5" x14ac:dyDescent="0.35"/>
  <cols>
    <col min="1" max="1" width="5.54296875" style="22" customWidth="1"/>
    <col min="2" max="2" width="60.54296875" style="551" customWidth="1"/>
    <col min="3" max="5" width="18.54296875" style="22" customWidth="1"/>
    <col min="6" max="6" width="40.54296875" style="22" customWidth="1"/>
    <col min="7" max="7" width="5.54296875" style="22" customWidth="1"/>
    <col min="8" max="9" width="15.54296875" style="22" customWidth="1"/>
    <col min="10" max="16384" width="8.54296875" style="22"/>
  </cols>
  <sheetData>
    <row r="1" spans="1:7" x14ac:dyDescent="0.35">
      <c r="B1" s="5"/>
      <c r="C1" s="5"/>
      <c r="D1" s="5"/>
      <c r="E1" s="5"/>
      <c r="F1" s="5"/>
    </row>
    <row r="2" spans="1:7" x14ac:dyDescent="0.35">
      <c r="B2" s="5" t="s">
        <v>108</v>
      </c>
      <c r="C2" s="5"/>
      <c r="D2" s="5"/>
      <c r="E2" s="5"/>
      <c r="F2" s="5"/>
    </row>
    <row r="3" spans="1:7" x14ac:dyDescent="0.35">
      <c r="B3" s="5" t="str">
        <f>'Stmnt BK1 - TRBAA'!B4</f>
        <v>2021 - TRBAA Rate Filing</v>
      </c>
      <c r="C3" s="5"/>
      <c r="D3" s="5"/>
      <c r="E3" s="5"/>
      <c r="F3" s="5"/>
    </row>
    <row r="4" spans="1:7" x14ac:dyDescent="0.35">
      <c r="B4" s="5" t="s">
        <v>39</v>
      </c>
      <c r="C4" s="5"/>
      <c r="D4" s="5"/>
      <c r="E4" s="5"/>
      <c r="F4" s="5"/>
    </row>
    <row r="5" spans="1:7" ht="16" thickBot="1" x14ac:dyDescent="0.4">
      <c r="B5" s="5"/>
      <c r="C5" s="5"/>
      <c r="D5" s="5"/>
      <c r="E5" s="5"/>
      <c r="F5" s="5"/>
    </row>
    <row r="6" spans="1:7" x14ac:dyDescent="0.35">
      <c r="A6" s="706" t="s">
        <v>93</v>
      </c>
      <c r="B6" s="1129" t="s">
        <v>99</v>
      </c>
      <c r="C6" s="707" t="s">
        <v>313</v>
      </c>
      <c r="D6" s="708" t="s">
        <v>314</v>
      </c>
      <c r="E6" s="707" t="s">
        <v>315</v>
      </c>
      <c r="F6" s="709"/>
      <c r="G6" s="663" t="s">
        <v>93</v>
      </c>
    </row>
    <row r="7" spans="1:7" ht="16" thickBot="1" x14ac:dyDescent="0.4">
      <c r="A7" s="208" t="s">
        <v>87</v>
      </c>
      <c r="B7" s="1130"/>
      <c r="C7" s="702" t="s">
        <v>100</v>
      </c>
      <c r="D7" s="693" t="s">
        <v>98</v>
      </c>
      <c r="E7" s="702" t="s">
        <v>316</v>
      </c>
      <c r="F7" s="702" t="s">
        <v>91</v>
      </c>
      <c r="G7" s="679" t="s">
        <v>87</v>
      </c>
    </row>
    <row r="8" spans="1:7" x14ac:dyDescent="0.35">
      <c r="A8" s="291"/>
      <c r="B8" s="54"/>
      <c r="C8" s="190"/>
      <c r="D8" s="210"/>
      <c r="E8" s="190"/>
      <c r="F8" s="294"/>
      <c r="G8" s="331"/>
    </row>
    <row r="9" spans="1:7" s="100" customFormat="1" ht="16" thickBot="1" x14ac:dyDescent="0.4">
      <c r="A9" s="139">
        <v>1</v>
      </c>
      <c r="B9" s="348" t="s">
        <v>434</v>
      </c>
      <c r="C9" s="871"/>
      <c r="D9" s="967"/>
      <c r="E9" s="275">
        <v>-16338264</v>
      </c>
      <c r="F9" s="872" t="s">
        <v>35</v>
      </c>
      <c r="G9" s="537">
        <v>1</v>
      </c>
    </row>
    <row r="10" spans="1:7" ht="16" thickTop="1" x14ac:dyDescent="0.35">
      <c r="A10" s="132">
        <f>A9+1</f>
        <v>2</v>
      </c>
      <c r="B10" s="54"/>
      <c r="C10" s="17"/>
      <c r="D10" s="45"/>
      <c r="E10" s="17"/>
      <c r="F10" s="99"/>
      <c r="G10" s="406">
        <f>G9+1</f>
        <v>2</v>
      </c>
    </row>
    <row r="11" spans="1:7" x14ac:dyDescent="0.35">
      <c r="A11" s="132">
        <f t="shared" ref="A11:A15" si="0">A10+1</f>
        <v>3</v>
      </c>
      <c r="B11" s="348" t="s">
        <v>497</v>
      </c>
      <c r="C11" s="162">
        <f>'Stmnt BK2 - TRBAA'!C13</f>
        <v>575136094.36972773</v>
      </c>
      <c r="D11" s="383">
        <f>'Stmnt BK2 - TRBAA'!D13</f>
        <v>457544223.99300361</v>
      </c>
      <c r="E11" s="162">
        <f>SUM(C11:D11)</f>
        <v>1032680318.3627313</v>
      </c>
      <c r="F11" s="591" t="s">
        <v>291</v>
      </c>
      <c r="G11" s="406">
        <f t="shared" ref="G11:G15" si="1">G10+1</f>
        <v>3</v>
      </c>
    </row>
    <row r="12" spans="1:7" x14ac:dyDescent="0.35">
      <c r="A12" s="132">
        <f t="shared" si="0"/>
        <v>4</v>
      </c>
      <c r="B12" s="54"/>
      <c r="C12" s="19"/>
      <c r="D12" s="28"/>
      <c r="E12" s="19"/>
      <c r="F12" s="33"/>
      <c r="G12" s="406">
        <f t="shared" si="1"/>
        <v>4</v>
      </c>
    </row>
    <row r="13" spans="1:7" x14ac:dyDescent="0.35">
      <c r="A13" s="132">
        <f t="shared" si="0"/>
        <v>5</v>
      </c>
      <c r="B13" s="54" t="s">
        <v>317</v>
      </c>
      <c r="C13" s="873">
        <f>C11/$E11</f>
        <v>0.55693527236151885</v>
      </c>
      <c r="D13" s="874">
        <f>D11/$E11</f>
        <v>0.4430647276384812</v>
      </c>
      <c r="E13" s="875">
        <f>SUM(C13:D13)</f>
        <v>1</v>
      </c>
      <c r="F13" s="33" t="s">
        <v>432</v>
      </c>
      <c r="G13" s="406">
        <f t="shared" si="1"/>
        <v>5</v>
      </c>
    </row>
    <row r="14" spans="1:7" x14ac:dyDescent="0.35">
      <c r="A14" s="132">
        <f t="shared" si="0"/>
        <v>6</v>
      </c>
      <c r="B14" s="590"/>
      <c r="C14" s="31"/>
      <c r="D14" s="58"/>
      <c r="E14" s="19"/>
      <c r="F14" s="33"/>
      <c r="G14" s="406">
        <f t="shared" si="1"/>
        <v>6</v>
      </c>
    </row>
    <row r="15" spans="1:7" ht="16" thickBot="1" x14ac:dyDescent="0.4">
      <c r="A15" s="132">
        <f t="shared" si="0"/>
        <v>7</v>
      </c>
      <c r="B15" s="54" t="s">
        <v>318</v>
      </c>
      <c r="C15" s="275">
        <f>$E$9*C13</f>
        <v>-9099355.510754399</v>
      </c>
      <c r="D15" s="607">
        <f>$E$9*D13</f>
        <v>-7238908.4892456029</v>
      </c>
      <c r="E15" s="275">
        <f>SUM(C15:D15)</f>
        <v>-16338264.000000002</v>
      </c>
      <c r="F15" s="33" t="s">
        <v>433</v>
      </c>
      <c r="G15" s="406">
        <f t="shared" si="1"/>
        <v>7</v>
      </c>
    </row>
    <row r="16" spans="1:7" ht="16.5" thickTop="1" thickBot="1" x14ac:dyDescent="0.4">
      <c r="A16" s="133"/>
      <c r="B16" s="83"/>
      <c r="C16" s="88"/>
      <c r="D16" s="87"/>
      <c r="E16" s="88"/>
      <c r="F16" s="84"/>
      <c r="G16" s="350"/>
    </row>
    <row r="17" spans="1:7" x14ac:dyDescent="0.35">
      <c r="A17" s="37"/>
      <c r="B17" s="101"/>
      <c r="G17" s="37"/>
    </row>
    <row r="18" spans="1:7" ht="18.5" x14ac:dyDescent="0.35">
      <c r="A18" s="90">
        <v>1</v>
      </c>
      <c r="B18" s="551" t="s">
        <v>530</v>
      </c>
    </row>
    <row r="19" spans="1:7" ht="18.5" x14ac:dyDescent="0.35">
      <c r="A19" s="90">
        <v>2</v>
      </c>
      <c r="B19" s="551" t="s">
        <v>498</v>
      </c>
    </row>
    <row r="22" spans="1:7" x14ac:dyDescent="0.35">
      <c r="C22" s="1011"/>
      <c r="D22" s="1011"/>
      <c r="E22" s="1012"/>
    </row>
    <row r="24" spans="1:7" x14ac:dyDescent="0.35">
      <c r="C24" s="164"/>
      <c r="D24" s="164"/>
      <c r="E24" s="164"/>
    </row>
    <row r="26" spans="1:7" x14ac:dyDescent="0.35">
      <c r="C26" s="164"/>
      <c r="D26" s="164"/>
      <c r="E26" s="164"/>
    </row>
  </sheetData>
  <mergeCells count="1">
    <mergeCell ref="B6:B7"/>
  </mergeCells>
  <printOptions horizontalCentered="1"/>
  <pageMargins left="0.25" right="0.25" top="0.5" bottom="0.5" header="0.25" footer="0.25"/>
  <pageSetup scale="81" orientation="landscape" r:id="rId1"/>
  <headerFooter alignWithMargins="0">
    <oddFooter>&amp;L&amp;"Times New Roman,Regular"&amp;12&amp;F&amp;C&amp;"Times New Roman,Regular"&amp;12Page 3.1&amp;R&amp;"Times New Roman,Regular"&amp;12&amp;A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2"/>
  <sheetViews>
    <sheetView zoomScale="80" zoomScaleNormal="80" workbookViewId="0">
      <pane xSplit="2" ySplit="5" topLeftCell="C6" activePane="bottomRight" state="frozen"/>
      <selection pane="topRight"/>
      <selection pane="bottomLeft"/>
      <selection pane="bottomRight" activeCell="C6" sqref="C6"/>
    </sheetView>
  </sheetViews>
  <sheetFormatPr defaultColWidth="9.1796875" defaultRowHeight="12.5" x14ac:dyDescent="0.25"/>
  <cols>
    <col min="1" max="1" width="5.54296875" style="287" customWidth="1"/>
    <col min="2" max="2" width="66.54296875" style="287" customWidth="1"/>
    <col min="3" max="11" width="16.54296875" style="287" customWidth="1"/>
    <col min="12" max="12" width="15.54296875" style="287" bestFit="1" customWidth="1"/>
    <col min="13" max="15" width="16.54296875" style="287" customWidth="1"/>
    <col min="16" max="16" width="37.453125" style="287" bestFit="1" customWidth="1"/>
    <col min="17" max="17" width="5.54296875" style="287" customWidth="1"/>
    <col min="18" max="18" width="9.1796875" style="287"/>
    <col min="19" max="19" width="2.54296875" style="287" bestFit="1" customWidth="1"/>
    <col min="20" max="16384" width="9.1796875" style="287"/>
  </cols>
  <sheetData>
    <row r="1" spans="1:17" ht="15.5" x14ac:dyDescent="0.35">
      <c r="A1" s="22"/>
      <c r="B1" s="95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22"/>
    </row>
    <row r="2" spans="1:17" ht="16" thickBot="1" x14ac:dyDescent="0.4">
      <c r="A2" s="22"/>
      <c r="B2" s="95"/>
      <c r="C2" s="96"/>
      <c r="D2" s="96"/>
      <c r="E2" s="333"/>
      <c r="F2" s="333"/>
      <c r="G2" s="96"/>
      <c r="H2" s="96"/>
      <c r="I2" s="96"/>
      <c r="J2" s="96"/>
      <c r="K2" s="96"/>
      <c r="L2" s="96"/>
      <c r="M2" s="96"/>
      <c r="N2" s="96"/>
      <c r="O2" s="333"/>
      <c r="P2" s="333"/>
      <c r="Q2" s="45"/>
    </row>
    <row r="3" spans="1:17" ht="15" x14ac:dyDescent="0.3">
      <c r="A3" s="710"/>
      <c r="B3" s="710"/>
      <c r="C3" s="334"/>
      <c r="D3" s="650"/>
      <c r="E3" s="712"/>
      <c r="F3" s="824"/>
      <c r="G3" s="334"/>
      <c r="H3" s="650"/>
      <c r="I3" s="712"/>
      <c r="J3" s="652"/>
      <c r="K3" s="334"/>
      <c r="L3" s="712"/>
      <c r="M3" s="650"/>
      <c r="N3" s="663"/>
      <c r="O3" s="711"/>
      <c r="P3" s="710"/>
      <c r="Q3" s="824"/>
    </row>
    <row r="4" spans="1:17" ht="15" x14ac:dyDescent="0.3">
      <c r="A4" s="213" t="s">
        <v>93</v>
      </c>
      <c r="B4" s="410"/>
      <c r="C4" s="655" t="s">
        <v>41</v>
      </c>
      <c r="D4" s="82" t="s">
        <v>42</v>
      </c>
      <c r="E4" s="687" t="s">
        <v>43</v>
      </c>
      <c r="F4" s="825" t="s">
        <v>44</v>
      </c>
      <c r="G4" s="655" t="s">
        <v>45</v>
      </c>
      <c r="H4" s="82" t="s">
        <v>46</v>
      </c>
      <c r="I4" s="687" t="s">
        <v>48</v>
      </c>
      <c r="J4" s="656" t="s">
        <v>49</v>
      </c>
      <c r="K4" s="655" t="s">
        <v>50</v>
      </c>
      <c r="L4" s="687" t="s">
        <v>51</v>
      </c>
      <c r="M4" s="82" t="s">
        <v>52</v>
      </c>
      <c r="N4" s="668" t="s">
        <v>53</v>
      </c>
      <c r="O4" s="188"/>
      <c r="P4" s="213"/>
      <c r="Q4" s="825" t="s">
        <v>93</v>
      </c>
    </row>
    <row r="5" spans="1:17" ht="15.5" thickBot="1" x14ac:dyDescent="0.35">
      <c r="A5" s="208" t="s">
        <v>87</v>
      </c>
      <c r="B5" s="208" t="s">
        <v>119</v>
      </c>
      <c r="C5" s="678">
        <v>2019</v>
      </c>
      <c r="D5" s="174">
        <f>C5</f>
        <v>2019</v>
      </c>
      <c r="E5" s="692">
        <f>C5</f>
        <v>2019</v>
      </c>
      <c r="F5" s="681">
        <f>$C5+1</f>
        <v>2020</v>
      </c>
      <c r="G5" s="678">
        <f t="shared" ref="G5:N5" si="0">$C5+1</f>
        <v>2020</v>
      </c>
      <c r="H5" s="174">
        <f t="shared" si="0"/>
        <v>2020</v>
      </c>
      <c r="I5" s="692">
        <f t="shared" si="0"/>
        <v>2020</v>
      </c>
      <c r="J5" s="679">
        <f t="shared" si="0"/>
        <v>2020</v>
      </c>
      <c r="K5" s="678">
        <f t="shared" si="0"/>
        <v>2020</v>
      </c>
      <c r="L5" s="692">
        <f t="shared" si="0"/>
        <v>2020</v>
      </c>
      <c r="M5" s="174">
        <f t="shared" si="0"/>
        <v>2020</v>
      </c>
      <c r="N5" s="714">
        <f t="shared" si="0"/>
        <v>2020</v>
      </c>
      <c r="O5" s="713" t="s">
        <v>88</v>
      </c>
      <c r="P5" s="208" t="s">
        <v>91</v>
      </c>
      <c r="Q5" s="681" t="s">
        <v>87</v>
      </c>
    </row>
    <row r="6" spans="1:17" ht="15.5" x14ac:dyDescent="0.35">
      <c r="A6" s="138"/>
      <c r="B6" s="951"/>
      <c r="C6" s="655"/>
      <c r="D6" s="82"/>
      <c r="E6" s="687"/>
      <c r="F6" s="825"/>
      <c r="G6" s="655"/>
      <c r="H6" s="82"/>
      <c r="I6" s="687"/>
      <c r="J6" s="656"/>
      <c r="K6" s="667"/>
      <c r="L6" s="687"/>
      <c r="M6" s="82"/>
      <c r="N6" s="656"/>
      <c r="O6" s="188"/>
      <c r="P6" s="213"/>
      <c r="Q6" s="331"/>
    </row>
    <row r="7" spans="1:17" ht="15.5" x14ac:dyDescent="0.35">
      <c r="A7" s="132">
        <v>1</v>
      </c>
      <c r="B7" s="138" t="s">
        <v>54</v>
      </c>
      <c r="C7" s="311">
        <v>-3754665.27</v>
      </c>
      <c r="D7" s="19">
        <f t="shared" ref="D7:K7" si="1">C38</f>
        <v>-5144616.4471414546</v>
      </c>
      <c r="E7" s="284">
        <f t="shared" si="1"/>
        <v>-5479247.1661564521</v>
      </c>
      <c r="F7" s="826">
        <f t="shared" si="1"/>
        <v>-5899211.4558635466</v>
      </c>
      <c r="G7" s="311">
        <f t="shared" si="1"/>
        <v>-5947653.4135271292</v>
      </c>
      <c r="H7" s="19">
        <f t="shared" si="1"/>
        <v>-5026736.4280805131</v>
      </c>
      <c r="I7" s="284">
        <f t="shared" si="1"/>
        <v>-4396745.3363074316</v>
      </c>
      <c r="J7" s="323">
        <f t="shared" si="1"/>
        <v>-3773365.7373957871</v>
      </c>
      <c r="K7" s="326">
        <f t="shared" si="1"/>
        <v>-3282240.4643946378</v>
      </c>
      <c r="L7" s="284">
        <f>K38</f>
        <v>-2573117.9022446582</v>
      </c>
      <c r="M7" s="19">
        <f>L38</f>
        <v>-2087120.9528149772</v>
      </c>
      <c r="N7" s="323">
        <f>M38</f>
        <v>-3037658.6303602937</v>
      </c>
      <c r="O7" s="28">
        <f>C7</f>
        <v>-3754665.27</v>
      </c>
      <c r="P7" s="1054" t="s">
        <v>55</v>
      </c>
      <c r="Q7" s="406">
        <v>1</v>
      </c>
    </row>
    <row r="8" spans="1:17" ht="15.5" x14ac:dyDescent="0.35">
      <c r="A8" s="132">
        <f>A7+1</f>
        <v>2</v>
      </c>
      <c r="B8" s="138"/>
      <c r="C8" s="313"/>
      <c r="D8" s="86"/>
      <c r="E8" s="297"/>
      <c r="F8" s="827"/>
      <c r="G8" s="313"/>
      <c r="H8" s="86"/>
      <c r="I8" s="297"/>
      <c r="J8" s="335"/>
      <c r="K8" s="809"/>
      <c r="L8" s="297"/>
      <c r="M8" s="86"/>
      <c r="N8" s="335"/>
      <c r="O8" s="1041"/>
      <c r="P8" s="1055"/>
      <c r="Q8" s="406">
        <f>Q7+1</f>
        <v>2</v>
      </c>
    </row>
    <row r="9" spans="1:17" ht="15.5" x14ac:dyDescent="0.35">
      <c r="A9" s="132">
        <f t="shared" ref="A9:A44" si="2">A8+1</f>
        <v>3</v>
      </c>
      <c r="B9" s="138" t="s">
        <v>67</v>
      </c>
      <c r="C9" s="313"/>
      <c r="D9" s="86"/>
      <c r="E9" s="297"/>
      <c r="F9" s="827"/>
      <c r="G9" s="313"/>
      <c r="H9" s="86"/>
      <c r="I9" s="297"/>
      <c r="J9" s="335"/>
      <c r="K9" s="809"/>
      <c r="L9" s="297"/>
      <c r="M9" s="86"/>
      <c r="N9" s="335"/>
      <c r="O9" s="1041"/>
      <c r="P9" s="1055"/>
      <c r="Q9" s="406">
        <f t="shared" ref="Q9:Q37" si="3">Q8+1</f>
        <v>3</v>
      </c>
    </row>
    <row r="10" spans="1:17" ht="15.5" x14ac:dyDescent="0.35">
      <c r="A10" s="132">
        <f t="shared" si="2"/>
        <v>4</v>
      </c>
      <c r="B10" s="138" t="s">
        <v>174</v>
      </c>
      <c r="C10" s="313">
        <f>'WP 1.1 Recorded Sales'!C39</f>
        <v>1549198612</v>
      </c>
      <c r="D10" s="86">
        <f>'WP 1.1 Recorded Sales'!D39</f>
        <v>1506651419</v>
      </c>
      <c r="E10" s="297">
        <f>'WP 1.1 Recorded Sales'!E39</f>
        <v>1453950036</v>
      </c>
      <c r="F10" s="335">
        <f>'WP 1.1 Recorded Sales'!F39</f>
        <v>1510881285</v>
      </c>
      <c r="G10" s="313">
        <f>'WP 1.1 Recorded Sales'!G39</f>
        <v>1466924380</v>
      </c>
      <c r="H10" s="86">
        <f>'WP 1.1 Recorded Sales'!H39</f>
        <v>1250686785</v>
      </c>
      <c r="I10" s="86">
        <f>'WP 1.1 Recorded Sales'!I39</f>
        <v>1288104345</v>
      </c>
      <c r="J10" s="335">
        <f>'WP 1.1 Recorded Sales'!J39</f>
        <v>1112623812</v>
      </c>
      <c r="K10" s="313">
        <f>'WP 1.1 Recorded Sales'!K39</f>
        <v>1570585179</v>
      </c>
      <c r="L10" s="86">
        <f>'WP 1.1 Recorded Sales'!L39</f>
        <v>1473299284</v>
      </c>
      <c r="M10" s="86">
        <f>'WP 1.1 Recorded Sales'!M39</f>
        <v>1670934457</v>
      </c>
      <c r="N10" s="335">
        <f>'WP 1.1 Recorded Sales'!N39</f>
        <v>1833089665</v>
      </c>
      <c r="O10" s="58">
        <f>SUM(C10:N10)</f>
        <v>17686929259</v>
      </c>
      <c r="P10" s="1054" t="s">
        <v>271</v>
      </c>
      <c r="Q10" s="406">
        <f t="shared" si="3"/>
        <v>4</v>
      </c>
    </row>
    <row r="11" spans="1:17" ht="28.5" x14ac:dyDescent="0.35">
      <c r="A11" s="132">
        <f t="shared" si="2"/>
        <v>5</v>
      </c>
      <c r="B11" s="140" t="s">
        <v>56</v>
      </c>
      <c r="C11" s="316">
        <f>C48</f>
        <v>-3.8999999999999999E-4</v>
      </c>
      <c r="D11" s="111">
        <f>C11</f>
        <v>-3.8999999999999999E-4</v>
      </c>
      <c r="E11" s="359">
        <f>D11</f>
        <v>-3.8999999999999999E-4</v>
      </c>
      <c r="F11" s="952">
        <f>C51</f>
        <v>-7.3499999999999998E-4</v>
      </c>
      <c r="G11" s="316">
        <f>ROUND(C49,5)</f>
        <v>-1.08E-3</v>
      </c>
      <c r="H11" s="111">
        <f>G11</f>
        <v>-1.08E-3</v>
      </c>
      <c r="I11" s="359">
        <f>G11</f>
        <v>-1.08E-3</v>
      </c>
      <c r="J11" s="317">
        <f>I11</f>
        <v>-1.08E-3</v>
      </c>
      <c r="K11" s="316">
        <f>J11</f>
        <v>-1.08E-3</v>
      </c>
      <c r="L11" s="359">
        <f>K11</f>
        <v>-1.08E-3</v>
      </c>
      <c r="M11" s="111">
        <f>L11</f>
        <v>-1.08E-3</v>
      </c>
      <c r="N11" s="317">
        <f>M11</f>
        <v>-1.08E-3</v>
      </c>
      <c r="O11" s="1042"/>
      <c r="P11" s="1056" t="s">
        <v>511</v>
      </c>
      <c r="Q11" s="406">
        <f t="shared" si="3"/>
        <v>5</v>
      </c>
    </row>
    <row r="12" spans="1:17" ht="15.5" x14ac:dyDescent="0.35">
      <c r="A12" s="132">
        <f t="shared" si="2"/>
        <v>6</v>
      </c>
      <c r="B12" s="138" t="s">
        <v>82</v>
      </c>
      <c r="C12" s="318">
        <f>C10*C11</f>
        <v>-604187.45868000004</v>
      </c>
      <c r="D12" s="21">
        <f t="shared" ref="D12:N12" si="4">D10*D11</f>
        <v>-587594.05340999993</v>
      </c>
      <c r="E12" s="153">
        <f t="shared" si="4"/>
        <v>-567040.51404000004</v>
      </c>
      <c r="F12" s="828">
        <f t="shared" si="4"/>
        <v>-1110497.7444750001</v>
      </c>
      <c r="G12" s="318">
        <f t="shared" si="4"/>
        <v>-1584278.3304000001</v>
      </c>
      <c r="H12" s="21">
        <f t="shared" si="4"/>
        <v>-1350741.7278</v>
      </c>
      <c r="I12" s="153">
        <f t="shared" si="4"/>
        <v>-1391152.6926</v>
      </c>
      <c r="J12" s="336">
        <f t="shared" si="4"/>
        <v>-1201633.7169600001</v>
      </c>
      <c r="K12" s="810">
        <f t="shared" si="4"/>
        <v>-1696231.9933200001</v>
      </c>
      <c r="L12" s="153">
        <f t="shared" si="4"/>
        <v>-1591163.2267199999</v>
      </c>
      <c r="M12" s="21">
        <f t="shared" si="4"/>
        <v>-1804609.2135600001</v>
      </c>
      <c r="N12" s="336">
        <f t="shared" si="4"/>
        <v>-1979736.8382000001</v>
      </c>
      <c r="O12" s="1043">
        <f>SUM(C12:N12)</f>
        <v>-15468867.510164998</v>
      </c>
      <c r="P12" s="1054" t="s">
        <v>57</v>
      </c>
      <c r="Q12" s="406">
        <f t="shared" si="3"/>
        <v>6</v>
      </c>
    </row>
    <row r="13" spans="1:17" ht="18.5" x14ac:dyDescent="0.35">
      <c r="A13" s="132">
        <f t="shared" si="2"/>
        <v>7</v>
      </c>
      <c r="B13" s="138" t="s">
        <v>200</v>
      </c>
      <c r="C13" s="716">
        <f>(+C12/(1+C44)*C$44)</f>
        <v>-7174.3070432191953</v>
      </c>
      <c r="D13" s="715">
        <f t="shared" ref="D13:N13" si="5">(+D12/(1+D44)*D$44)</f>
        <v>-6977.2718638402021</v>
      </c>
      <c r="E13" s="1059">
        <f t="shared" si="5"/>
        <v>-6733.2128385379692</v>
      </c>
      <c r="F13" s="717">
        <f t="shared" si="5"/>
        <v>-13173.379007438079</v>
      </c>
      <c r="G13" s="716">
        <f t="shared" si="5"/>
        <v>-18793.64366426253</v>
      </c>
      <c r="H13" s="715">
        <f t="shared" si="5"/>
        <v>-16023.294788305393</v>
      </c>
      <c r="I13" s="715">
        <f t="shared" si="5"/>
        <v>-16502.673479541107</v>
      </c>
      <c r="J13" s="717">
        <f t="shared" si="5"/>
        <v>-14254.487647891858</v>
      </c>
      <c r="K13" s="716">
        <f t="shared" si="5"/>
        <v>-20121.704023010363</v>
      </c>
      <c r="L13" s="715">
        <f t="shared" si="5"/>
        <v>-18875.31636382587</v>
      </c>
      <c r="M13" s="715">
        <f t="shared" si="5"/>
        <v>-21407.338509975543</v>
      </c>
      <c r="N13" s="811">
        <f t="shared" si="5"/>
        <v>-23484.8056507537</v>
      </c>
      <c r="O13" s="387">
        <f>SUM(C13:N13)</f>
        <v>-183521.43488060182</v>
      </c>
      <c r="P13" s="1054" t="s">
        <v>392</v>
      </c>
      <c r="Q13" s="406">
        <f t="shared" si="3"/>
        <v>7</v>
      </c>
    </row>
    <row r="14" spans="1:17" ht="15.5" x14ac:dyDescent="0.35">
      <c r="A14" s="132">
        <f t="shared" si="2"/>
        <v>8</v>
      </c>
      <c r="B14" s="138" t="s">
        <v>68</v>
      </c>
      <c r="C14" s="320">
        <f t="shared" ref="C14:N14" si="6">C12-C13</f>
        <v>-597013.15163678082</v>
      </c>
      <c r="D14" s="106">
        <f t="shared" si="6"/>
        <v>-580616.78154615976</v>
      </c>
      <c r="E14" s="299">
        <f t="shared" si="6"/>
        <v>-560307.30120146205</v>
      </c>
      <c r="F14" s="829">
        <f t="shared" si="6"/>
        <v>-1097324.3654675621</v>
      </c>
      <c r="G14" s="320">
        <f t="shared" si="6"/>
        <v>-1565484.6867357376</v>
      </c>
      <c r="H14" s="106">
        <f t="shared" si="6"/>
        <v>-1334718.4330116946</v>
      </c>
      <c r="I14" s="299">
        <f t="shared" si="6"/>
        <v>-1374650.0191204587</v>
      </c>
      <c r="J14" s="321">
        <f t="shared" si="6"/>
        <v>-1187379.2293121084</v>
      </c>
      <c r="K14" s="320">
        <f t="shared" si="6"/>
        <v>-1676110.2892969898</v>
      </c>
      <c r="L14" s="299">
        <f t="shared" si="6"/>
        <v>-1572287.910356174</v>
      </c>
      <c r="M14" s="106">
        <f t="shared" si="6"/>
        <v>-1783201.8750500246</v>
      </c>
      <c r="N14" s="321">
        <f t="shared" si="6"/>
        <v>-1956252.0325492464</v>
      </c>
      <c r="O14" s="1044">
        <f>SUM(C14:N14)</f>
        <v>-15285346.075284399</v>
      </c>
      <c r="P14" s="1054" t="s">
        <v>475</v>
      </c>
      <c r="Q14" s="406">
        <f t="shared" si="3"/>
        <v>8</v>
      </c>
    </row>
    <row r="15" spans="1:17" ht="15.5" x14ac:dyDescent="0.35">
      <c r="A15" s="132">
        <f t="shared" si="2"/>
        <v>9</v>
      </c>
      <c r="B15" s="138"/>
      <c r="C15" s="313"/>
      <c r="D15" s="86"/>
      <c r="E15" s="297"/>
      <c r="F15" s="827"/>
      <c r="G15" s="313"/>
      <c r="H15" s="86"/>
      <c r="I15" s="297"/>
      <c r="J15" s="335"/>
      <c r="K15" s="809"/>
      <c r="L15" s="297"/>
      <c r="M15" s="86"/>
      <c r="N15" s="401"/>
      <c r="O15" s="1041"/>
      <c r="P15" s="1055"/>
      <c r="Q15" s="406">
        <f t="shared" si="3"/>
        <v>9</v>
      </c>
    </row>
    <row r="16" spans="1:17" ht="15.5" x14ac:dyDescent="0.35">
      <c r="A16" s="132">
        <f t="shared" si="2"/>
        <v>10</v>
      </c>
      <c r="B16" s="138" t="s">
        <v>78</v>
      </c>
      <c r="C16" s="313"/>
      <c r="D16" s="86"/>
      <c r="E16" s="297"/>
      <c r="F16" s="827"/>
      <c r="G16" s="313"/>
      <c r="H16" s="86"/>
      <c r="I16" s="297"/>
      <c r="J16" s="335"/>
      <c r="K16" s="809"/>
      <c r="L16" s="297"/>
      <c r="M16" s="86"/>
      <c r="N16" s="335"/>
      <c r="O16" s="1041"/>
      <c r="P16" s="1055"/>
      <c r="Q16" s="406">
        <f t="shared" si="3"/>
        <v>10</v>
      </c>
    </row>
    <row r="17" spans="1:17" ht="15.5" x14ac:dyDescent="0.35">
      <c r="A17" s="132">
        <f t="shared" si="2"/>
        <v>11</v>
      </c>
      <c r="B17" s="138" t="s">
        <v>280</v>
      </c>
      <c r="C17" s="314">
        <f>'WP 5 CAISO Charges'!C10</f>
        <v>-1893121.85</v>
      </c>
      <c r="D17" s="31">
        <f>'WP 5 CAISO Charges'!D10</f>
        <v>-820210.59000000008</v>
      </c>
      <c r="E17" s="283">
        <f>'WP 5 CAISO Charges'!E10</f>
        <v>-916031.93</v>
      </c>
      <c r="F17" s="129">
        <f>'WP 5 CAISO Charges'!F10</f>
        <v>-1118172.1499999999</v>
      </c>
      <c r="G17" s="314">
        <f>'WP 5 CAISO Charges'!G10</f>
        <v>-611977.38</v>
      </c>
      <c r="H17" s="31">
        <f>'WP 5 CAISO Charges'!H10</f>
        <v>-680072.56</v>
      </c>
      <c r="I17" s="283">
        <f>'WP 5 CAISO Charges'!I10</f>
        <v>-755472.47</v>
      </c>
      <c r="J17" s="315">
        <f>'WP 5 CAISO Charges'!J10</f>
        <v>-713839.85</v>
      </c>
      <c r="K17" s="314">
        <f>'WP 5 CAISO Charges'!K10</f>
        <v>-1159779.92</v>
      </c>
      <c r="L17" s="283">
        <f>'WP 5 CAISO Charges'!L10</f>
        <v>-1236960.6299999999</v>
      </c>
      <c r="M17" s="31">
        <f>'WP 5 CAISO Charges'!M10</f>
        <v>-3247089.89</v>
      </c>
      <c r="N17" s="315">
        <f>'WP 5 CAISO Charges'!N10</f>
        <v>-3092370.81</v>
      </c>
      <c r="O17" s="58">
        <f>SUM(C17:N17)</f>
        <v>-16245100.029999999</v>
      </c>
      <c r="P17" s="1054" t="s">
        <v>281</v>
      </c>
      <c r="Q17" s="406">
        <f t="shared" si="3"/>
        <v>11</v>
      </c>
    </row>
    <row r="18" spans="1:17" ht="15.5" x14ac:dyDescent="0.35">
      <c r="A18" s="132">
        <f t="shared" si="2"/>
        <v>12</v>
      </c>
      <c r="B18" s="138" t="s">
        <v>436</v>
      </c>
      <c r="C18" s="314">
        <f>'WP 5 CAISO Charges'!C13</f>
        <v>1000</v>
      </c>
      <c r="D18" s="31">
        <f>'WP 5 CAISO Charges'!D13</f>
        <v>1000</v>
      </c>
      <c r="E18" s="283">
        <f>'WP 5 CAISO Charges'!E13</f>
        <v>1000</v>
      </c>
      <c r="F18" s="129">
        <f>'WP 5 CAISO Charges'!F13</f>
        <v>1000</v>
      </c>
      <c r="G18" s="314">
        <f>'WP 5 CAISO Charges'!G13</f>
        <v>1000</v>
      </c>
      <c r="H18" s="31">
        <f>'WP 5 CAISO Charges'!H13</f>
        <v>1000</v>
      </c>
      <c r="I18" s="283">
        <f>'WP 5 CAISO Charges'!I13</f>
        <v>1000</v>
      </c>
      <c r="J18" s="315">
        <f>'WP 5 CAISO Charges'!J13</f>
        <v>1000</v>
      </c>
      <c r="K18" s="314">
        <f>'WP 5 CAISO Charges'!K13</f>
        <v>1000</v>
      </c>
      <c r="L18" s="283">
        <f>'WP 5 CAISO Charges'!L13</f>
        <v>1000</v>
      </c>
      <c r="M18" s="31">
        <f>'WP 5 CAISO Charges'!M13</f>
        <v>1000</v>
      </c>
      <c r="N18" s="315">
        <f>'WP 5 CAISO Charges'!N13</f>
        <v>1000</v>
      </c>
      <c r="O18" s="58">
        <f>SUM(C18:N18)</f>
        <v>12000</v>
      </c>
      <c r="P18" s="1054" t="s">
        <v>282</v>
      </c>
      <c r="Q18" s="406">
        <f t="shared" si="3"/>
        <v>12</v>
      </c>
    </row>
    <row r="19" spans="1:17" ht="18.5" x14ac:dyDescent="0.35">
      <c r="A19" s="132">
        <f>A18+1</f>
        <v>13</v>
      </c>
      <c r="B19" s="138" t="s">
        <v>437</v>
      </c>
      <c r="C19" s="126">
        <f>'WP 5 CAISO Charges'!C16</f>
        <v>-83196.349999999991</v>
      </c>
      <c r="D19" s="31">
        <f>'WP 5 CAISO Charges'!D16</f>
        <v>-82140.98</v>
      </c>
      <c r="E19" s="283">
        <f>'WP 5 CAISO Charges'!E16</f>
        <v>-44783.440000000017</v>
      </c>
      <c r="F19" s="129">
        <f>'WP 5 CAISO Charges'!F16</f>
        <v>-11648.980000000001</v>
      </c>
      <c r="G19" s="314">
        <f>'WP 5 CAISO Charges'!G16</f>
        <v>-24893.549999999996</v>
      </c>
      <c r="H19" s="283">
        <f>'WP 5 CAISO Charges'!H16</f>
        <v>-28860.069999999989</v>
      </c>
      <c r="I19" s="58">
        <f>'WP 5 CAISO Charges'!I16</f>
        <v>4225.4999999999945</v>
      </c>
      <c r="J19" s="315">
        <f>'WP 5 CAISO Charges'!J16</f>
        <v>-20178.399999999998</v>
      </c>
      <c r="K19" s="314">
        <f>'WP 5 CAISO Charges'!K16</f>
        <v>-31083.21000000005</v>
      </c>
      <c r="L19" s="58">
        <f>'WP 5 CAISO Charges'!L16</f>
        <v>-18506.719999999998</v>
      </c>
      <c r="M19" s="31">
        <f>'WP 5 CAISO Charges'!M16</f>
        <v>364743.8600000001</v>
      </c>
      <c r="N19" s="129">
        <f>'WP 5 CAISO Charges'!N16</f>
        <v>749177.09999999986</v>
      </c>
      <c r="O19" s="58">
        <f>SUM(C19:N19)</f>
        <v>772854.75999999989</v>
      </c>
      <c r="P19" s="1054" t="s">
        <v>283</v>
      </c>
      <c r="Q19" s="406">
        <f>Q18+1</f>
        <v>13</v>
      </c>
    </row>
    <row r="20" spans="1:17" ht="18.5" x14ac:dyDescent="0.35">
      <c r="A20" s="132">
        <f t="shared" ref="A20:A21" si="7">A19+1</f>
        <v>14</v>
      </c>
      <c r="B20" s="138" t="s">
        <v>438</v>
      </c>
      <c r="C20" s="385">
        <f>'WP 5 CAISO Charges'!C19</f>
        <v>8775.25</v>
      </c>
      <c r="D20" s="38">
        <f>'WP 5 CAISO Charges'!D19</f>
        <v>9954.1</v>
      </c>
      <c r="E20" s="298">
        <f>'WP 5 CAISO Charges'!E19</f>
        <v>5654.18</v>
      </c>
      <c r="F20" s="386">
        <f>'WP 5 CAISO Charges'!F19</f>
        <v>7880.0899999999992</v>
      </c>
      <c r="G20" s="319">
        <f>'WP 5 CAISO Charges'!G19</f>
        <v>12661.64</v>
      </c>
      <c r="H20" s="298">
        <f>'WP 5 CAISO Charges'!H19</f>
        <v>22953.13</v>
      </c>
      <c r="I20" s="387">
        <f>'WP 5 CAISO Charges'!I19</f>
        <v>14877.26</v>
      </c>
      <c r="J20" s="322">
        <f>'WP 5 CAISO Charges'!J19</f>
        <v>50847.340000000011</v>
      </c>
      <c r="K20" s="319">
        <f>'WP 5 CAISO Charges'!K19</f>
        <v>234271.13</v>
      </c>
      <c r="L20" s="387">
        <f>'WP 5 CAISO Charges'!L19</f>
        <v>174924.95</v>
      </c>
      <c r="M20" s="38">
        <f>'WP 5 CAISO Charges'!M19</f>
        <v>155025.65000000002</v>
      </c>
      <c r="N20" s="386">
        <f>'WP 5 CAISO Charges'!N19</f>
        <v>-1606527.73</v>
      </c>
      <c r="O20" s="387">
        <f>SUM(C20:N20)</f>
        <v>-908703.00999999989</v>
      </c>
      <c r="P20" s="1054" t="s">
        <v>476</v>
      </c>
      <c r="Q20" s="406">
        <f t="shared" ref="Q20:Q22" si="8">Q19+1</f>
        <v>14</v>
      </c>
    </row>
    <row r="21" spans="1:17" ht="15.5" x14ac:dyDescent="0.35">
      <c r="A21" s="132">
        <f t="shared" si="7"/>
        <v>15</v>
      </c>
      <c r="B21" s="411" t="s">
        <v>285</v>
      </c>
      <c r="C21" s="311">
        <f t="shared" ref="C21:O21" si="9">SUM(C17:C20)</f>
        <v>-1966542.9500000002</v>
      </c>
      <c r="D21" s="19">
        <f t="shared" si="9"/>
        <v>-891397.47000000009</v>
      </c>
      <c r="E21" s="284">
        <f t="shared" si="9"/>
        <v>-954161.19000000006</v>
      </c>
      <c r="F21" s="826">
        <f t="shared" si="9"/>
        <v>-1120941.0399999998</v>
      </c>
      <c r="G21" s="311">
        <f t="shared" si="9"/>
        <v>-623209.29</v>
      </c>
      <c r="H21" s="19">
        <f t="shared" si="9"/>
        <v>-684979.5</v>
      </c>
      <c r="I21" s="284">
        <f t="shared" si="9"/>
        <v>-735369.71</v>
      </c>
      <c r="J21" s="323">
        <f t="shared" si="9"/>
        <v>-682170.91</v>
      </c>
      <c r="K21" s="311">
        <f t="shared" si="9"/>
        <v>-955591.99999999988</v>
      </c>
      <c r="L21" s="284">
        <f t="shared" si="9"/>
        <v>-1079542.3999999999</v>
      </c>
      <c r="M21" s="19">
        <f t="shared" si="9"/>
        <v>-2726320.3800000004</v>
      </c>
      <c r="N21" s="323">
        <f t="shared" si="9"/>
        <v>-3948721.44</v>
      </c>
      <c r="O21" s="28">
        <f t="shared" si="9"/>
        <v>-16368948.279999999</v>
      </c>
      <c r="P21" s="1054" t="s">
        <v>191</v>
      </c>
      <c r="Q21" s="406">
        <f t="shared" si="8"/>
        <v>15</v>
      </c>
    </row>
    <row r="22" spans="1:17" ht="15.5" x14ac:dyDescent="0.35">
      <c r="A22" s="132">
        <f t="shared" si="2"/>
        <v>16</v>
      </c>
      <c r="B22" s="411"/>
      <c r="C22" s="314"/>
      <c r="D22" s="31"/>
      <c r="E22" s="283"/>
      <c r="F22" s="129"/>
      <c r="G22" s="314"/>
      <c r="H22" s="31"/>
      <c r="I22" s="283"/>
      <c r="J22" s="315"/>
      <c r="K22" s="337"/>
      <c r="L22" s="283"/>
      <c r="M22" s="31"/>
      <c r="N22" s="315"/>
      <c r="O22" s="58"/>
      <c r="P22" s="1054"/>
      <c r="Q22" s="406">
        <f t="shared" si="8"/>
        <v>16</v>
      </c>
    </row>
    <row r="23" spans="1:17" ht="15.5" x14ac:dyDescent="0.35">
      <c r="A23" s="132">
        <f t="shared" si="2"/>
        <v>17</v>
      </c>
      <c r="B23" s="411" t="s">
        <v>363</v>
      </c>
      <c r="C23" s="337">
        <v>0</v>
      </c>
      <c r="D23" s="31">
        <v>0</v>
      </c>
      <c r="E23" s="283">
        <v>0</v>
      </c>
      <c r="F23" s="129">
        <v>0</v>
      </c>
      <c r="G23" s="443">
        <v>0</v>
      </c>
      <c r="H23" s="186">
        <v>0</v>
      </c>
      <c r="I23" s="283">
        <v>0</v>
      </c>
      <c r="J23" s="315">
        <v>0</v>
      </c>
      <c r="K23" s="337">
        <v>0</v>
      </c>
      <c r="L23" s="283">
        <v>0</v>
      </c>
      <c r="M23" s="31">
        <v>0</v>
      </c>
      <c r="N23" s="322">
        <v>0</v>
      </c>
      <c r="O23" s="58">
        <f>SUM(C23:N23)</f>
        <v>0</v>
      </c>
      <c r="P23" s="1054" t="str">
        <f>B23</f>
        <v>Other CAISO Adjustment</v>
      </c>
      <c r="Q23" s="406">
        <f t="shared" si="3"/>
        <v>17</v>
      </c>
    </row>
    <row r="24" spans="1:17" ht="15.5" x14ac:dyDescent="0.35">
      <c r="A24" s="132">
        <f t="shared" si="2"/>
        <v>18</v>
      </c>
      <c r="B24" s="138" t="s">
        <v>81</v>
      </c>
      <c r="C24" s="320">
        <f t="shared" ref="C24:O24" si="10">SUM(C23:C23)</f>
        <v>0</v>
      </c>
      <c r="D24" s="106">
        <f>SUM(D23:D23)</f>
        <v>0</v>
      </c>
      <c r="E24" s="299">
        <f t="shared" si="10"/>
        <v>0</v>
      </c>
      <c r="F24" s="829">
        <f t="shared" si="10"/>
        <v>0</v>
      </c>
      <c r="G24" s="320">
        <f t="shared" si="10"/>
        <v>0</v>
      </c>
      <c r="H24" s="106">
        <f t="shared" si="10"/>
        <v>0</v>
      </c>
      <c r="I24" s="299">
        <f t="shared" si="10"/>
        <v>0</v>
      </c>
      <c r="J24" s="321">
        <f t="shared" si="10"/>
        <v>0</v>
      </c>
      <c r="K24" s="320">
        <f t="shared" si="10"/>
        <v>0</v>
      </c>
      <c r="L24" s="299">
        <f t="shared" si="10"/>
        <v>0</v>
      </c>
      <c r="M24" s="106">
        <f t="shared" si="10"/>
        <v>0</v>
      </c>
      <c r="N24" s="321">
        <f t="shared" si="10"/>
        <v>0</v>
      </c>
      <c r="O24" s="1044">
        <f t="shared" si="10"/>
        <v>0</v>
      </c>
      <c r="P24" s="1054" t="s">
        <v>196</v>
      </c>
      <c r="Q24" s="406">
        <f t="shared" si="3"/>
        <v>18</v>
      </c>
    </row>
    <row r="25" spans="1:17" ht="16" thickBot="1" x14ac:dyDescent="0.4">
      <c r="A25" s="132">
        <f t="shared" si="2"/>
        <v>19</v>
      </c>
      <c r="B25" s="411" t="s">
        <v>286</v>
      </c>
      <c r="C25" s="320">
        <f>C21+C24</f>
        <v>-1966542.9500000002</v>
      </c>
      <c r="D25" s="106">
        <f>D21+D24</f>
        <v>-891397.47000000009</v>
      </c>
      <c r="E25" s="299">
        <f t="shared" ref="E25:N25" si="11">E21+E24</f>
        <v>-954161.19000000006</v>
      </c>
      <c r="F25" s="829">
        <f t="shared" si="11"/>
        <v>-1120941.0399999998</v>
      </c>
      <c r="G25" s="320">
        <f t="shared" si="11"/>
        <v>-623209.29</v>
      </c>
      <c r="H25" s="106">
        <f t="shared" si="11"/>
        <v>-684979.5</v>
      </c>
      <c r="I25" s="299">
        <f t="shared" si="11"/>
        <v>-735369.71</v>
      </c>
      <c r="J25" s="321">
        <f t="shared" si="11"/>
        <v>-682170.91</v>
      </c>
      <c r="K25" s="320">
        <f t="shared" si="11"/>
        <v>-955591.99999999988</v>
      </c>
      <c r="L25" s="299">
        <f t="shared" si="11"/>
        <v>-1079542.3999999999</v>
      </c>
      <c r="M25" s="106">
        <f t="shared" si="11"/>
        <v>-2726320.3800000004</v>
      </c>
      <c r="N25" s="321">
        <f t="shared" si="11"/>
        <v>-3948721.44</v>
      </c>
      <c r="O25" s="1044">
        <f>O24+O21</f>
        <v>-16368948.279999999</v>
      </c>
      <c r="P25" s="1054" t="s">
        <v>195</v>
      </c>
      <c r="Q25" s="406">
        <f t="shared" si="3"/>
        <v>19</v>
      </c>
    </row>
    <row r="26" spans="1:17" ht="15.5" x14ac:dyDescent="0.35">
      <c r="A26" s="132">
        <f t="shared" si="2"/>
        <v>20</v>
      </c>
      <c r="B26" s="411"/>
      <c r="C26" s="311"/>
      <c r="D26" s="19"/>
      <c r="E26" s="284"/>
      <c r="F26" s="826"/>
      <c r="G26" s="311"/>
      <c r="H26" s="19"/>
      <c r="I26" s="284"/>
      <c r="J26" s="323"/>
      <c r="K26" s="326"/>
      <c r="L26" s="284"/>
      <c r="M26" s="19"/>
      <c r="N26" s="323"/>
      <c r="O26" s="28"/>
      <c r="P26" s="1073"/>
      <c r="Q26" s="406">
        <f t="shared" si="3"/>
        <v>20</v>
      </c>
    </row>
    <row r="27" spans="1:17" ht="15.5" x14ac:dyDescent="0.35">
      <c r="A27" s="132">
        <f t="shared" si="2"/>
        <v>21</v>
      </c>
      <c r="B27" s="411" t="s">
        <v>287</v>
      </c>
      <c r="C27" s="324">
        <f t="shared" ref="C27:O27" si="12">-C14+C25</f>
        <v>-1369529.7983632195</v>
      </c>
      <c r="D27" s="14">
        <f t="shared" si="12"/>
        <v>-310780.68845384032</v>
      </c>
      <c r="E27" s="300">
        <f t="shared" si="12"/>
        <v>-393853.88879853801</v>
      </c>
      <c r="F27" s="830">
        <f t="shared" si="12"/>
        <v>-23616.674532437697</v>
      </c>
      <c r="G27" s="324">
        <f t="shared" si="12"/>
        <v>942275.39673573757</v>
      </c>
      <c r="H27" s="14">
        <f t="shared" si="12"/>
        <v>649738.93301169458</v>
      </c>
      <c r="I27" s="300">
        <f t="shared" si="12"/>
        <v>639280.30912045878</v>
      </c>
      <c r="J27" s="338">
        <f t="shared" si="12"/>
        <v>505208.31931210833</v>
      </c>
      <c r="K27" s="812">
        <f t="shared" si="12"/>
        <v>720518.28929698991</v>
      </c>
      <c r="L27" s="300">
        <f t="shared" si="12"/>
        <v>492745.51035617408</v>
      </c>
      <c r="M27" s="14">
        <f t="shared" si="12"/>
        <v>-943118.50494997576</v>
      </c>
      <c r="N27" s="338">
        <f t="shared" si="12"/>
        <v>-1992469.4074507535</v>
      </c>
      <c r="O27" s="1045">
        <f t="shared" si="12"/>
        <v>-1083602.2047156002</v>
      </c>
      <c r="P27" s="1054" t="s">
        <v>194</v>
      </c>
      <c r="Q27" s="406">
        <f t="shared" si="3"/>
        <v>21</v>
      </c>
    </row>
    <row r="28" spans="1:17" ht="15.5" x14ac:dyDescent="0.35">
      <c r="A28" s="132">
        <f t="shared" si="2"/>
        <v>22</v>
      </c>
      <c r="B28" s="138"/>
      <c r="C28" s="325"/>
      <c r="D28" s="104"/>
      <c r="E28" s="301"/>
      <c r="F28" s="831"/>
      <c r="G28" s="325"/>
      <c r="H28" s="104"/>
      <c r="I28" s="301"/>
      <c r="J28" s="339"/>
      <c r="K28" s="813"/>
      <c r="L28" s="301"/>
      <c r="M28" s="104"/>
      <c r="N28" s="339"/>
      <c r="O28" s="1046"/>
      <c r="P28" s="1057"/>
      <c r="Q28" s="406">
        <f t="shared" si="3"/>
        <v>22</v>
      </c>
    </row>
    <row r="29" spans="1:17" ht="15.5" x14ac:dyDescent="0.35">
      <c r="A29" s="132">
        <f t="shared" si="2"/>
        <v>23</v>
      </c>
      <c r="B29" s="138" t="s">
        <v>10</v>
      </c>
      <c r="C29" s="325"/>
      <c r="D29" s="104"/>
      <c r="E29" s="301"/>
      <c r="F29" s="831"/>
      <c r="G29" s="325"/>
      <c r="H29" s="104"/>
      <c r="I29" s="301"/>
      <c r="J29" s="339"/>
      <c r="K29" s="813"/>
      <c r="L29" s="301"/>
      <c r="M29" s="104"/>
      <c r="N29" s="339"/>
      <c r="O29" s="1046"/>
      <c r="P29" s="1057"/>
      <c r="Q29" s="406">
        <f t="shared" si="3"/>
        <v>23</v>
      </c>
    </row>
    <row r="30" spans="1:17" ht="15.5" x14ac:dyDescent="0.35">
      <c r="A30" s="132">
        <f t="shared" si="2"/>
        <v>24</v>
      </c>
      <c r="B30" s="138" t="s">
        <v>58</v>
      </c>
      <c r="C30" s="326">
        <f>C7</f>
        <v>-3754665.27</v>
      </c>
      <c r="D30" s="162">
        <f>D7</f>
        <v>-5144616.4471414546</v>
      </c>
      <c r="E30" s="302">
        <f>E7</f>
        <v>-5479247.1661564521</v>
      </c>
      <c r="F30" s="384">
        <f>F7</f>
        <v>-5899211.4558635466</v>
      </c>
      <c r="G30" s="326">
        <f t="shared" ref="G30:N30" si="13">G7</f>
        <v>-5947653.4135271292</v>
      </c>
      <c r="H30" s="162">
        <f t="shared" si="13"/>
        <v>-5026736.4280805131</v>
      </c>
      <c r="I30" s="302">
        <f t="shared" si="13"/>
        <v>-4396745.3363074316</v>
      </c>
      <c r="J30" s="312">
        <f t="shared" si="13"/>
        <v>-3773365.7373957871</v>
      </c>
      <c r="K30" s="326">
        <f t="shared" si="13"/>
        <v>-3282240.4643946378</v>
      </c>
      <c r="L30" s="302">
        <f t="shared" si="13"/>
        <v>-2573117.9022446582</v>
      </c>
      <c r="M30" s="162">
        <f t="shared" si="13"/>
        <v>-2087120.9528149772</v>
      </c>
      <c r="N30" s="312">
        <f t="shared" si="13"/>
        <v>-3037658.6303602937</v>
      </c>
      <c r="O30" s="1046"/>
      <c r="P30" s="1057" t="s">
        <v>545</v>
      </c>
      <c r="Q30" s="406">
        <f t="shared" si="3"/>
        <v>24</v>
      </c>
    </row>
    <row r="31" spans="1:17" ht="15.5" x14ac:dyDescent="0.35">
      <c r="A31" s="132">
        <f t="shared" si="2"/>
        <v>25</v>
      </c>
      <c r="B31" s="138" t="s">
        <v>59</v>
      </c>
      <c r="C31" s="327">
        <f>C27/2</f>
        <v>-684764.89918160974</v>
      </c>
      <c r="D31" s="105">
        <f>D27/2</f>
        <v>-155390.34422692016</v>
      </c>
      <c r="E31" s="303">
        <f>E27/2</f>
        <v>-196926.94439926901</v>
      </c>
      <c r="F31" s="832">
        <f t="shared" ref="F31:N31" si="14">F27/2</f>
        <v>-11808.337266218849</v>
      </c>
      <c r="G31" s="327">
        <f t="shared" si="14"/>
        <v>471137.69836786878</v>
      </c>
      <c r="H31" s="105">
        <f t="shared" si="14"/>
        <v>324869.46650584729</v>
      </c>
      <c r="I31" s="303">
        <f t="shared" si="14"/>
        <v>319640.15456022939</v>
      </c>
      <c r="J31" s="328">
        <f t="shared" si="14"/>
        <v>252604.15965605417</v>
      </c>
      <c r="K31" s="327">
        <f t="shared" si="14"/>
        <v>360259.14464849496</v>
      </c>
      <c r="L31" s="303">
        <f t="shared" si="14"/>
        <v>246372.75517808704</v>
      </c>
      <c r="M31" s="105">
        <f t="shared" si="14"/>
        <v>-471559.25247498788</v>
      </c>
      <c r="N31" s="328">
        <f t="shared" si="14"/>
        <v>-996234.70372537675</v>
      </c>
      <c r="O31" s="1046"/>
      <c r="P31" s="1057" t="s">
        <v>60</v>
      </c>
      <c r="Q31" s="406">
        <f t="shared" si="3"/>
        <v>25</v>
      </c>
    </row>
    <row r="32" spans="1:17" ht="15.5" x14ac:dyDescent="0.35">
      <c r="A32" s="132">
        <f t="shared" si="2"/>
        <v>26</v>
      </c>
      <c r="B32" s="138" t="s">
        <v>61</v>
      </c>
      <c r="C32" s="325">
        <f t="shared" ref="C32:L32" si="15">C30+C31</f>
        <v>-4439430.1691816095</v>
      </c>
      <c r="D32" s="104">
        <f t="shared" si="15"/>
        <v>-5300006.7913683746</v>
      </c>
      <c r="E32" s="301">
        <f t="shared" si="15"/>
        <v>-5676174.1105557214</v>
      </c>
      <c r="F32" s="831">
        <f t="shared" si="15"/>
        <v>-5911019.7931297654</v>
      </c>
      <c r="G32" s="325">
        <f t="shared" si="15"/>
        <v>-5476515.7151592607</v>
      </c>
      <c r="H32" s="104">
        <f t="shared" si="15"/>
        <v>-4701866.9615746662</v>
      </c>
      <c r="I32" s="301">
        <f>I30+I31</f>
        <v>-4077105.1817472023</v>
      </c>
      <c r="J32" s="339">
        <f t="shared" si="15"/>
        <v>-3520761.5777397328</v>
      </c>
      <c r="K32" s="813">
        <f t="shared" si="15"/>
        <v>-2921981.3197461427</v>
      </c>
      <c r="L32" s="301">
        <f t="shared" si="15"/>
        <v>-2326745.1470665713</v>
      </c>
      <c r="M32" s="104">
        <f>M30+M31</f>
        <v>-2558680.205289965</v>
      </c>
      <c r="N32" s="339">
        <f>N30+N31</f>
        <v>-4033893.3340856703</v>
      </c>
      <c r="O32" s="1046"/>
      <c r="P32" s="1057" t="s">
        <v>192</v>
      </c>
      <c r="Q32" s="406">
        <f t="shared" si="3"/>
        <v>26</v>
      </c>
    </row>
    <row r="33" spans="1:17" ht="15.5" x14ac:dyDescent="0.35">
      <c r="A33" s="132">
        <f t="shared" si="2"/>
        <v>27</v>
      </c>
      <c r="B33" s="138" t="s">
        <v>62</v>
      </c>
      <c r="C33" s="329">
        <f>C62</f>
        <v>4.5999999999999999E-3</v>
      </c>
      <c r="D33" s="173">
        <f t="shared" ref="D33:N33" si="16">D62</f>
        <v>4.4999999999999997E-3</v>
      </c>
      <c r="E33" s="304">
        <f t="shared" si="16"/>
        <v>4.5999999999999999E-3</v>
      </c>
      <c r="F33" s="833">
        <f t="shared" si="16"/>
        <v>4.1999999999999997E-3</v>
      </c>
      <c r="G33" s="329">
        <f t="shared" si="16"/>
        <v>3.8999999999999998E-3</v>
      </c>
      <c r="H33" s="173">
        <f t="shared" si="16"/>
        <v>4.1999999999999997E-3</v>
      </c>
      <c r="I33" s="304">
        <f t="shared" si="16"/>
        <v>3.8999999999999998E-3</v>
      </c>
      <c r="J33" s="330">
        <f t="shared" si="16"/>
        <v>4.0000000000000001E-3</v>
      </c>
      <c r="K33" s="329">
        <f t="shared" si="16"/>
        <v>3.8999999999999998E-3</v>
      </c>
      <c r="L33" s="304">
        <f t="shared" si="16"/>
        <v>2.8999999999999998E-3</v>
      </c>
      <c r="M33" s="173">
        <f t="shared" si="16"/>
        <v>2.8999999999999998E-3</v>
      </c>
      <c r="N33" s="330">
        <f t="shared" si="16"/>
        <v>2.8E-3</v>
      </c>
      <c r="O33" s="1047"/>
      <c r="P33" s="1058" t="s">
        <v>63</v>
      </c>
      <c r="Q33" s="537">
        <f t="shared" si="3"/>
        <v>27</v>
      </c>
    </row>
    <row r="34" spans="1:17" ht="15.5" x14ac:dyDescent="0.35">
      <c r="A34" s="132">
        <f t="shared" si="2"/>
        <v>28</v>
      </c>
      <c r="B34" s="138" t="s">
        <v>64</v>
      </c>
      <c r="C34" s="320">
        <f>C32*C33</f>
        <v>-20421.378778235405</v>
      </c>
      <c r="D34" s="106">
        <f t="shared" ref="D34:N34" si="17">D32*D33</f>
        <v>-23850.030561157684</v>
      </c>
      <c r="E34" s="299">
        <f t="shared" si="17"/>
        <v>-26110.400908556319</v>
      </c>
      <c r="F34" s="834">
        <f t="shared" si="17"/>
        <v>-24826.283131145014</v>
      </c>
      <c r="G34" s="320">
        <f t="shared" si="17"/>
        <v>-21358.411289121115</v>
      </c>
      <c r="H34" s="106">
        <f t="shared" si="17"/>
        <v>-19747.841238613597</v>
      </c>
      <c r="I34" s="611">
        <f t="shared" si="17"/>
        <v>-15900.710208814089</v>
      </c>
      <c r="J34" s="612">
        <f t="shared" si="17"/>
        <v>-14083.046310958931</v>
      </c>
      <c r="K34" s="814">
        <f t="shared" si="17"/>
        <v>-11395.727147009957</v>
      </c>
      <c r="L34" s="611">
        <f t="shared" si="17"/>
        <v>-6747.5609264930563</v>
      </c>
      <c r="M34" s="106">
        <f t="shared" si="17"/>
        <v>-7420.1725953408977</v>
      </c>
      <c r="N34" s="321">
        <f t="shared" si="17"/>
        <v>-11294.901335439878</v>
      </c>
      <c r="O34" s="1044">
        <f>SUM(C34:N34)</f>
        <v>-203156.46443088594</v>
      </c>
      <c r="P34" s="1057" t="s">
        <v>193</v>
      </c>
      <c r="Q34" s="406">
        <f t="shared" si="3"/>
        <v>28</v>
      </c>
    </row>
    <row r="35" spans="1:17" ht="15.5" x14ac:dyDescent="0.35">
      <c r="A35" s="132">
        <f t="shared" si="2"/>
        <v>29</v>
      </c>
      <c r="B35" s="138"/>
      <c r="C35" s="311"/>
      <c r="D35" s="19"/>
      <c r="E35" s="284"/>
      <c r="F35" s="384"/>
      <c r="G35" s="311"/>
      <c r="H35" s="19"/>
      <c r="I35" s="302"/>
      <c r="J35" s="312"/>
      <c r="K35" s="326"/>
      <c r="L35" s="302"/>
      <c r="M35" s="19"/>
      <c r="N35" s="323"/>
      <c r="O35" s="28"/>
      <c r="P35" s="1057"/>
      <c r="Q35" s="406">
        <f t="shared" si="3"/>
        <v>29</v>
      </c>
    </row>
    <row r="36" spans="1:17" ht="15.5" x14ac:dyDescent="0.35">
      <c r="A36" s="132">
        <f t="shared" si="2"/>
        <v>30</v>
      </c>
      <c r="B36" s="411" t="s">
        <v>461</v>
      </c>
      <c r="C36" s="324"/>
      <c r="D36" s="14"/>
      <c r="E36" s="298"/>
      <c r="F36" s="830">
        <v>1</v>
      </c>
      <c r="G36" s="324"/>
      <c r="H36" s="218"/>
      <c r="I36" s="305"/>
      <c r="J36" s="381"/>
      <c r="K36" s="815"/>
      <c r="L36" s="305">
        <v>-1</v>
      </c>
      <c r="M36" s="112">
        <v>1</v>
      </c>
      <c r="N36" s="381">
        <v>-1</v>
      </c>
      <c r="O36" s="387">
        <f>SUM(C36:N36)</f>
        <v>0</v>
      </c>
      <c r="P36" s="1054"/>
      <c r="Q36" s="406">
        <f t="shared" si="3"/>
        <v>30</v>
      </c>
    </row>
    <row r="37" spans="1:17" ht="15.5" x14ac:dyDescent="0.35">
      <c r="A37" s="132">
        <f t="shared" si="2"/>
        <v>31</v>
      </c>
      <c r="B37" s="138"/>
      <c r="C37" s="311"/>
      <c r="D37" s="19"/>
      <c r="E37" s="284"/>
      <c r="F37" s="826"/>
      <c r="G37" s="311"/>
      <c r="H37" s="19"/>
      <c r="I37" s="284"/>
      <c r="J37" s="323"/>
      <c r="K37" s="326"/>
      <c r="L37" s="284"/>
      <c r="M37" s="19"/>
      <c r="N37" s="323"/>
      <c r="O37" s="28"/>
      <c r="P37" s="1057"/>
      <c r="Q37" s="406">
        <f t="shared" si="3"/>
        <v>31</v>
      </c>
    </row>
    <row r="38" spans="1:17" ht="16" thickBot="1" x14ac:dyDescent="0.4">
      <c r="A38" s="132">
        <f t="shared" si="2"/>
        <v>32</v>
      </c>
      <c r="B38" s="410" t="s">
        <v>65</v>
      </c>
      <c r="C38" s="598">
        <f>C7+C27+C34+C36</f>
        <v>-5144616.4471414546</v>
      </c>
      <c r="D38" s="80">
        <f>D7+D27+D34+D36</f>
        <v>-5479247.1661564521</v>
      </c>
      <c r="E38" s="839">
        <f>E7+E27+E34+E36</f>
        <v>-5899211.4558635466</v>
      </c>
      <c r="F38" s="835">
        <f t="shared" ref="F38:I38" si="18">F7+F27+F34+F36</f>
        <v>-5947653.4135271292</v>
      </c>
      <c r="G38" s="598">
        <f>G7+G27+G34+G36</f>
        <v>-5026736.4280805131</v>
      </c>
      <c r="H38" s="219">
        <f t="shared" si="18"/>
        <v>-4396745.3363074316</v>
      </c>
      <c r="I38" s="619">
        <f t="shared" si="18"/>
        <v>-3773365.7373957871</v>
      </c>
      <c r="J38" s="629">
        <f t="shared" ref="J38:M38" si="19">J7+J27+J34+J36</f>
        <v>-3282240.4643946378</v>
      </c>
      <c r="K38" s="598">
        <f t="shared" si="19"/>
        <v>-2573117.9022446582</v>
      </c>
      <c r="L38" s="619">
        <f t="shared" si="19"/>
        <v>-2087120.9528149772</v>
      </c>
      <c r="M38" s="80">
        <f t="shared" si="19"/>
        <v>-3037658.6303602937</v>
      </c>
      <c r="N38" s="637">
        <f>N7+N27+N34+N36</f>
        <v>-5041423.939146487</v>
      </c>
      <c r="O38" s="565">
        <f>O7+O27+O34+O36</f>
        <v>-5041423.9391464861</v>
      </c>
      <c r="P38" s="1054" t="s">
        <v>288</v>
      </c>
      <c r="Q38" s="406">
        <f>Q37+1</f>
        <v>32</v>
      </c>
    </row>
    <row r="39" spans="1:17" ht="17.5" thickTop="1" thickBot="1" x14ac:dyDescent="0.4">
      <c r="A39" s="132">
        <f>A38+1</f>
        <v>33</v>
      </c>
      <c r="B39" s="412"/>
      <c r="C39" s="340"/>
      <c r="D39" s="109"/>
      <c r="E39" s="306"/>
      <c r="F39" s="836"/>
      <c r="G39" s="340"/>
      <c r="H39" s="109"/>
      <c r="I39" s="306"/>
      <c r="J39" s="341"/>
      <c r="K39" s="816"/>
      <c r="L39" s="109"/>
      <c r="M39" s="109"/>
      <c r="N39" s="341"/>
      <c r="O39" s="1040"/>
      <c r="P39" s="296"/>
      <c r="Q39" s="535">
        <f>Q38+1</f>
        <v>33</v>
      </c>
    </row>
    <row r="40" spans="1:17" ht="16.5" x14ac:dyDescent="0.35">
      <c r="A40" s="206">
        <f t="shared" si="2"/>
        <v>34</v>
      </c>
      <c r="B40" s="571"/>
      <c r="C40" s="342"/>
      <c r="D40" s="288"/>
      <c r="E40" s="399"/>
      <c r="F40" s="818"/>
      <c r="G40" s="403"/>
      <c r="H40" s="399"/>
      <c r="I40" s="397"/>
      <c r="J40" s="404"/>
      <c r="K40" s="817"/>
      <c r="L40" s="289"/>
      <c r="M40" s="290"/>
      <c r="N40" s="818"/>
      <c r="O40" s="1048"/>
      <c r="P40" s="291"/>
      <c r="Q40" s="529">
        <f>Q39+1</f>
        <v>34</v>
      </c>
    </row>
    <row r="41" spans="1:17" ht="15.5" x14ac:dyDescent="0.35">
      <c r="A41" s="132">
        <f t="shared" si="2"/>
        <v>35</v>
      </c>
      <c r="B41" s="572" t="s">
        <v>80</v>
      </c>
      <c r="C41" s="332"/>
      <c r="D41" s="124"/>
      <c r="E41" s="99"/>
      <c r="F41" s="837"/>
      <c r="G41" s="388"/>
      <c r="H41" s="99"/>
      <c r="I41" s="45"/>
      <c r="J41" s="405"/>
      <c r="K41" s="819"/>
      <c r="L41" s="103"/>
      <c r="M41" s="99"/>
      <c r="N41" s="331"/>
      <c r="O41" s="45"/>
      <c r="P41" s="138"/>
      <c r="Q41" s="406">
        <f t="shared" ref="Q41:Q44" si="20">Q40+1</f>
        <v>35</v>
      </c>
    </row>
    <row r="42" spans="1:17" ht="15.5" x14ac:dyDescent="0.35">
      <c r="A42" s="132">
        <f t="shared" si="2"/>
        <v>36</v>
      </c>
      <c r="B42" s="138" t="s">
        <v>148</v>
      </c>
      <c r="C42" s="953">
        <f>F48</f>
        <v>1.0277E-2</v>
      </c>
      <c r="D42" s="490">
        <f>$C$42</f>
        <v>1.0277E-2</v>
      </c>
      <c r="E42" s="491">
        <f t="shared" ref="E42" si="21">$C$42</f>
        <v>1.0277E-2</v>
      </c>
      <c r="F42" s="821">
        <f>I48</f>
        <v>1.0274999999999999E-2</v>
      </c>
      <c r="G42" s="343">
        <f>$F$42</f>
        <v>1.0274999999999999E-2</v>
      </c>
      <c r="H42" s="398">
        <f t="shared" ref="H42:N42" si="22">$F$42</f>
        <v>1.0274999999999999E-2</v>
      </c>
      <c r="I42" s="402">
        <f t="shared" si="22"/>
        <v>1.0274999999999999E-2</v>
      </c>
      <c r="J42" s="344">
        <f t="shared" si="22"/>
        <v>1.0274999999999999E-2</v>
      </c>
      <c r="K42" s="820">
        <f t="shared" si="22"/>
        <v>1.0274999999999999E-2</v>
      </c>
      <c r="L42" s="125">
        <f t="shared" si="22"/>
        <v>1.0274999999999999E-2</v>
      </c>
      <c r="M42" s="398">
        <f t="shared" si="22"/>
        <v>1.0274999999999999E-2</v>
      </c>
      <c r="N42" s="821">
        <f t="shared" si="22"/>
        <v>1.0274999999999999E-2</v>
      </c>
      <c r="O42" s="45"/>
      <c r="P42" s="132" t="s">
        <v>148</v>
      </c>
      <c r="Q42" s="406">
        <f t="shared" si="20"/>
        <v>36</v>
      </c>
    </row>
    <row r="43" spans="1:17" ht="15.5" x14ac:dyDescent="0.35">
      <c r="A43" s="132">
        <f t="shared" si="2"/>
        <v>37</v>
      </c>
      <c r="B43" s="138" t="s">
        <v>150</v>
      </c>
      <c r="C43" s="954">
        <f>F49</f>
        <v>1.74E-3</v>
      </c>
      <c r="D43" s="492">
        <f>$C$43</f>
        <v>1.74E-3</v>
      </c>
      <c r="E43" s="493">
        <f t="shared" ref="E43" si="23">$C$43</f>
        <v>1.74E-3</v>
      </c>
      <c r="F43" s="823">
        <f>I49</f>
        <v>1.73E-3</v>
      </c>
      <c r="G43" s="495">
        <f>$F$43</f>
        <v>1.73E-3</v>
      </c>
      <c r="H43" s="496">
        <f t="shared" ref="H43:N43" si="24">$F$43</f>
        <v>1.73E-3</v>
      </c>
      <c r="I43" s="494">
        <f t="shared" si="24"/>
        <v>1.73E-3</v>
      </c>
      <c r="J43" s="497">
        <f t="shared" si="24"/>
        <v>1.73E-3</v>
      </c>
      <c r="K43" s="822">
        <f t="shared" si="24"/>
        <v>1.73E-3</v>
      </c>
      <c r="L43" s="498">
        <f t="shared" si="24"/>
        <v>1.73E-3</v>
      </c>
      <c r="M43" s="496">
        <f t="shared" si="24"/>
        <v>1.73E-3</v>
      </c>
      <c r="N43" s="823">
        <f t="shared" si="24"/>
        <v>1.73E-3</v>
      </c>
      <c r="O43" s="45"/>
      <c r="P43" s="132" t="s">
        <v>150</v>
      </c>
      <c r="Q43" s="406">
        <f t="shared" si="20"/>
        <v>37</v>
      </c>
    </row>
    <row r="44" spans="1:17" ht="16" thickBot="1" x14ac:dyDescent="0.4">
      <c r="A44" s="133">
        <f t="shared" si="2"/>
        <v>38</v>
      </c>
      <c r="B44" s="296" t="s">
        <v>149</v>
      </c>
      <c r="C44" s="719">
        <f t="shared" ref="C44:N44" si="25">C42+C43</f>
        <v>1.2017E-2</v>
      </c>
      <c r="D44" s="720">
        <f t="shared" si="25"/>
        <v>1.2017E-2</v>
      </c>
      <c r="E44" s="721">
        <f t="shared" si="25"/>
        <v>1.2017E-2</v>
      </c>
      <c r="F44" s="838">
        <f t="shared" si="25"/>
        <v>1.2005E-2</v>
      </c>
      <c r="G44" s="723">
        <f t="shared" si="25"/>
        <v>1.2005E-2</v>
      </c>
      <c r="H44" s="720">
        <f t="shared" si="25"/>
        <v>1.2005E-2</v>
      </c>
      <c r="I44" s="722">
        <f t="shared" si="25"/>
        <v>1.2005E-2</v>
      </c>
      <c r="J44" s="724">
        <f t="shared" si="25"/>
        <v>1.2005E-2</v>
      </c>
      <c r="K44" s="719">
        <f t="shared" si="25"/>
        <v>1.2005E-2</v>
      </c>
      <c r="L44" s="720">
        <f t="shared" si="25"/>
        <v>1.2005E-2</v>
      </c>
      <c r="M44" s="720">
        <f t="shared" si="25"/>
        <v>1.2005E-2</v>
      </c>
      <c r="N44" s="724">
        <f t="shared" si="25"/>
        <v>1.2005E-2</v>
      </c>
      <c r="O44" s="245"/>
      <c r="P44" s="141" t="s">
        <v>393</v>
      </c>
      <c r="Q44" s="535">
        <f t="shared" si="20"/>
        <v>38</v>
      </c>
    </row>
    <row r="45" spans="1:17" ht="15.5" x14ac:dyDescent="0.35">
      <c r="A45" s="45"/>
      <c r="B45" s="400"/>
      <c r="C45" s="718"/>
      <c r="D45" s="19"/>
      <c r="E45" s="28"/>
      <c r="F45" s="826"/>
      <c r="G45" s="1033"/>
      <c r="H45" s="28"/>
      <c r="I45" s="28"/>
      <c r="J45" s="826"/>
      <c r="K45" s="1033"/>
      <c r="L45" s="28"/>
      <c r="M45" s="28"/>
      <c r="N45" s="826"/>
      <c r="O45" s="45"/>
      <c r="P45" s="132"/>
      <c r="Q45" s="33"/>
    </row>
    <row r="46" spans="1:17" ht="16" thickBot="1" x14ac:dyDescent="0.4">
      <c r="A46" s="87"/>
      <c r="B46" s="861"/>
      <c r="C46" s="718"/>
      <c r="D46" s="19"/>
      <c r="E46" s="28"/>
      <c r="F46" s="826"/>
      <c r="G46" s="1033"/>
      <c r="H46" s="28"/>
      <c r="I46" s="28"/>
      <c r="J46" s="826"/>
      <c r="K46" s="1033"/>
      <c r="L46" s="28"/>
      <c r="M46" s="28"/>
      <c r="N46" s="826"/>
      <c r="O46" s="45"/>
      <c r="P46" s="132"/>
      <c r="Q46" s="33"/>
    </row>
    <row r="47" spans="1:17" ht="19" x14ac:dyDescent="0.35">
      <c r="A47" s="192"/>
      <c r="B47" s="860" t="s">
        <v>508</v>
      </c>
      <c r="C47" s="195"/>
      <c r="D47" s="124"/>
      <c r="E47" s="617" t="s">
        <v>458</v>
      </c>
      <c r="F47" s="331"/>
      <c r="G47" s="819"/>
      <c r="H47" s="617" t="s">
        <v>507</v>
      </c>
      <c r="I47" s="45"/>
      <c r="J47" s="331"/>
      <c r="K47" s="819"/>
      <c r="L47" s="45"/>
      <c r="M47" s="45"/>
      <c r="N47" s="331"/>
      <c r="O47" s="45"/>
      <c r="P47" s="138"/>
      <c r="Q47" s="99"/>
    </row>
    <row r="48" spans="1:17" ht="15.5" x14ac:dyDescent="0.35">
      <c r="A48" s="72"/>
      <c r="B48" s="167" t="s">
        <v>509</v>
      </c>
      <c r="C48" s="955">
        <v>-3.8999999999999999E-4</v>
      </c>
      <c r="D48" s="124"/>
      <c r="E48" s="45" t="s">
        <v>354</v>
      </c>
      <c r="F48" s="821">
        <v>1.0277E-2</v>
      </c>
      <c r="G48" s="819"/>
      <c r="H48" s="45" t="s">
        <v>354</v>
      </c>
      <c r="I48" s="402">
        <v>1.0274999999999999E-2</v>
      </c>
      <c r="J48" s="331"/>
      <c r="K48" s="819"/>
      <c r="L48" s="45"/>
      <c r="M48" s="45"/>
      <c r="N48" s="331"/>
      <c r="O48" s="45"/>
      <c r="P48" s="138"/>
      <c r="Q48" s="99"/>
    </row>
    <row r="49" spans="1:17" ht="15.5" x14ac:dyDescent="0.35">
      <c r="A49" s="72"/>
      <c r="B49" s="167" t="s">
        <v>510</v>
      </c>
      <c r="C49" s="955">
        <v>-1.08E-3</v>
      </c>
      <c r="D49" s="124"/>
      <c r="E49" s="45" t="s">
        <v>355</v>
      </c>
      <c r="F49" s="821">
        <v>1.74E-3</v>
      </c>
      <c r="G49" s="819"/>
      <c r="H49" s="45" t="s">
        <v>355</v>
      </c>
      <c r="I49" s="402">
        <v>1.73E-3</v>
      </c>
      <c r="J49" s="331"/>
      <c r="K49" s="819"/>
      <c r="L49" s="45"/>
      <c r="M49" s="45"/>
      <c r="N49" s="331"/>
      <c r="O49" s="45"/>
      <c r="P49" s="138"/>
      <c r="Q49" s="99"/>
    </row>
    <row r="50" spans="1:17" ht="16" thickBot="1" x14ac:dyDescent="0.4">
      <c r="A50" s="72"/>
      <c r="B50" s="167" t="s">
        <v>40</v>
      </c>
      <c r="C50" s="196">
        <f>C48+C49</f>
        <v>-1.47E-3</v>
      </c>
      <c r="D50" s="124"/>
      <c r="E50" s="45" t="s">
        <v>356</v>
      </c>
      <c r="F50" s="1034">
        <f>SUM(F48:F49)</f>
        <v>1.2017E-2</v>
      </c>
      <c r="G50" s="819"/>
      <c r="H50" s="45" t="s">
        <v>356</v>
      </c>
      <c r="I50" s="1077">
        <f>SUM(I48:I49)</f>
        <v>1.2005E-2</v>
      </c>
      <c r="J50" s="331"/>
      <c r="K50" s="819"/>
      <c r="L50" s="45"/>
      <c r="M50" s="45"/>
      <c r="N50" s="331"/>
      <c r="O50" s="45"/>
      <c r="P50" s="138"/>
      <c r="Q50" s="99"/>
    </row>
    <row r="51" spans="1:17" ht="16.5" thickTop="1" thickBot="1" x14ac:dyDescent="0.4">
      <c r="A51" s="72"/>
      <c r="B51" s="167" t="str">
        <f>B47</f>
        <v>Average TRBAA Rate Calculation for January 2020:</v>
      </c>
      <c r="C51" s="618">
        <f>C50/2</f>
        <v>-7.3499999999999998E-4</v>
      </c>
      <c r="D51" s="124"/>
      <c r="E51" s="45"/>
      <c r="F51" s="331"/>
      <c r="G51" s="819"/>
      <c r="H51" s="45"/>
      <c r="I51" s="45"/>
      <c r="J51" s="331"/>
      <c r="K51" s="819"/>
      <c r="L51" s="45"/>
      <c r="M51" s="45"/>
      <c r="N51" s="331"/>
      <c r="O51" s="45"/>
      <c r="P51" s="138"/>
      <c r="Q51" s="99"/>
    </row>
    <row r="52" spans="1:17" ht="16" thickTop="1" x14ac:dyDescent="0.35">
      <c r="A52" s="27"/>
      <c r="B52" s="193"/>
      <c r="C52" s="197"/>
      <c r="D52" s="124"/>
      <c r="E52" s="45"/>
      <c r="F52" s="331"/>
      <c r="G52" s="819"/>
      <c r="H52" s="45"/>
      <c r="I52" s="45"/>
      <c r="J52" s="331"/>
      <c r="K52" s="819"/>
      <c r="L52" s="45"/>
      <c r="M52" s="45"/>
      <c r="N52" s="331"/>
      <c r="O52" s="45"/>
      <c r="P52" s="138"/>
      <c r="Q52" s="99"/>
    </row>
    <row r="53" spans="1:17" ht="19.5" thickBot="1" x14ac:dyDescent="0.4">
      <c r="A53" s="191"/>
      <c r="B53" s="168"/>
      <c r="C53" s="198"/>
      <c r="D53" s="1060"/>
      <c r="E53" s="87"/>
      <c r="F53" s="1024"/>
      <c r="G53" s="1035"/>
      <c r="H53" s="87"/>
      <c r="I53" s="87"/>
      <c r="J53" s="1024"/>
      <c r="K53" s="1035"/>
      <c r="L53" s="87"/>
      <c r="M53" s="87"/>
      <c r="N53" s="1024"/>
      <c r="O53" s="87"/>
      <c r="P53" s="296"/>
      <c r="Q53" s="660"/>
    </row>
    <row r="54" spans="1:17" ht="15.5" x14ac:dyDescent="0.35">
      <c r="A54" s="72"/>
      <c r="B54" s="167"/>
      <c r="C54" s="199"/>
      <c r="D54" s="17"/>
      <c r="E54" s="294"/>
      <c r="F54" s="134"/>
      <c r="G54" s="380"/>
      <c r="H54" s="190"/>
      <c r="I54" s="294"/>
      <c r="J54" s="307"/>
      <c r="K54" s="380"/>
      <c r="L54" s="294"/>
      <c r="M54" s="190"/>
      <c r="N54" s="307"/>
      <c r="O54" s="210"/>
      <c r="P54" s="138"/>
      <c r="Q54" s="134"/>
    </row>
    <row r="55" spans="1:17" ht="15.5" x14ac:dyDescent="0.35">
      <c r="A55" s="32"/>
      <c r="B55" s="194"/>
      <c r="C55" s="154" t="s">
        <v>41</v>
      </c>
      <c r="D55" s="10" t="s">
        <v>42</v>
      </c>
      <c r="E55" s="33" t="s">
        <v>43</v>
      </c>
      <c r="F55" s="406" t="s">
        <v>44</v>
      </c>
      <c r="G55" s="308" t="s">
        <v>45</v>
      </c>
      <c r="H55" s="10" t="s">
        <v>46</v>
      </c>
      <c r="I55" s="33" t="s">
        <v>48</v>
      </c>
      <c r="J55" s="309" t="s">
        <v>49</v>
      </c>
      <c r="K55" s="308" t="s">
        <v>50</v>
      </c>
      <c r="L55" s="33" t="s">
        <v>51</v>
      </c>
      <c r="M55" s="10" t="s">
        <v>52</v>
      </c>
      <c r="N55" s="309" t="s">
        <v>53</v>
      </c>
      <c r="O55" s="42"/>
      <c r="P55" s="132"/>
      <c r="Q55" s="406" t="s">
        <v>93</v>
      </c>
    </row>
    <row r="56" spans="1:17" ht="19" x14ac:dyDescent="0.35">
      <c r="A56" s="192"/>
      <c r="B56" s="158" t="s">
        <v>7</v>
      </c>
      <c r="C56" s="155">
        <f>C5</f>
        <v>2019</v>
      </c>
      <c r="D56" s="13">
        <f>C56</f>
        <v>2019</v>
      </c>
      <c r="E56" s="70">
        <f>C56</f>
        <v>2019</v>
      </c>
      <c r="F56" s="1032">
        <f>$C56+1</f>
        <v>2020</v>
      </c>
      <c r="G56" s="360">
        <f t="shared" ref="G56:N56" si="26">$C56+1</f>
        <v>2020</v>
      </c>
      <c r="H56" s="13">
        <f t="shared" si="26"/>
        <v>2020</v>
      </c>
      <c r="I56" s="70">
        <f t="shared" si="26"/>
        <v>2020</v>
      </c>
      <c r="J56" s="310">
        <f t="shared" si="26"/>
        <v>2020</v>
      </c>
      <c r="K56" s="360">
        <f t="shared" si="26"/>
        <v>2020</v>
      </c>
      <c r="L56" s="70">
        <f t="shared" si="26"/>
        <v>2020</v>
      </c>
      <c r="M56" s="13">
        <f t="shared" si="26"/>
        <v>2020</v>
      </c>
      <c r="N56" s="310">
        <f t="shared" si="26"/>
        <v>2020</v>
      </c>
      <c r="O56" s="200" t="s">
        <v>88</v>
      </c>
      <c r="P56" s="295" t="s">
        <v>91</v>
      </c>
      <c r="Q56" s="1032" t="s">
        <v>87</v>
      </c>
    </row>
    <row r="57" spans="1:17" ht="15.5" x14ac:dyDescent="0.35">
      <c r="A57" s="72"/>
      <c r="B57" s="167"/>
      <c r="C57" s="156"/>
      <c r="D57" s="7"/>
      <c r="E57" s="66"/>
      <c r="F57" s="1036"/>
      <c r="G57" s="408"/>
      <c r="H57" s="7"/>
      <c r="I57" s="66"/>
      <c r="J57" s="409"/>
      <c r="K57" s="408"/>
      <c r="L57" s="66"/>
      <c r="M57" s="7"/>
      <c r="N57" s="409"/>
      <c r="O57" s="94"/>
      <c r="P57" s="382"/>
      <c r="Q57" s="1036"/>
    </row>
    <row r="58" spans="1:17" ht="15.5" x14ac:dyDescent="0.35">
      <c r="A58" s="72"/>
      <c r="B58" s="167" t="s">
        <v>4</v>
      </c>
      <c r="C58" s="630">
        <v>5.4199999999999998E-2</v>
      </c>
      <c r="D58" s="25">
        <f>C58</f>
        <v>5.4199999999999998E-2</v>
      </c>
      <c r="E58" s="608">
        <f>C58</f>
        <v>5.4199999999999998E-2</v>
      </c>
      <c r="F58" s="1037">
        <v>4.9599999999999998E-2</v>
      </c>
      <c r="G58" s="505">
        <f>F58</f>
        <v>4.9599999999999998E-2</v>
      </c>
      <c r="H58" s="25">
        <f>F58</f>
        <v>4.9599999999999998E-2</v>
      </c>
      <c r="I58" s="608">
        <v>4.7500000000000001E-2</v>
      </c>
      <c r="J58" s="502">
        <f>I58</f>
        <v>4.7500000000000001E-2</v>
      </c>
      <c r="K58" s="503">
        <f>I58</f>
        <v>4.7500000000000001E-2</v>
      </c>
      <c r="L58" s="956">
        <v>3.4299999999999997E-2</v>
      </c>
      <c r="M58" s="506">
        <f>L58</f>
        <v>3.4299999999999997E-2</v>
      </c>
      <c r="N58" s="507">
        <f>L58</f>
        <v>3.4299999999999997E-2</v>
      </c>
      <c r="O58" s="45"/>
      <c r="P58" s="138"/>
      <c r="Q58" s="331"/>
    </row>
    <row r="59" spans="1:17" ht="15.5" x14ac:dyDescent="0.35">
      <c r="A59" s="72"/>
      <c r="B59" s="167" t="s">
        <v>5</v>
      </c>
      <c r="C59" s="957">
        <v>365</v>
      </c>
      <c r="D59" s="17">
        <f>C59</f>
        <v>365</v>
      </c>
      <c r="E59" s="99">
        <f>C59</f>
        <v>365</v>
      </c>
      <c r="F59" s="331">
        <v>366</v>
      </c>
      <c r="G59" s="501">
        <f>F59</f>
        <v>366</v>
      </c>
      <c r="H59" s="17">
        <f>F59</f>
        <v>366</v>
      </c>
      <c r="I59" s="99">
        <f>F59</f>
        <v>366</v>
      </c>
      <c r="J59" s="405">
        <f>F59</f>
        <v>366</v>
      </c>
      <c r="K59" s="388">
        <f>F59</f>
        <v>366</v>
      </c>
      <c r="L59" s="99">
        <f>G59</f>
        <v>366</v>
      </c>
      <c r="M59" s="17">
        <f>F59</f>
        <v>366</v>
      </c>
      <c r="N59" s="405">
        <f>F59</f>
        <v>366</v>
      </c>
      <c r="O59" s="45">
        <f>N59</f>
        <v>366</v>
      </c>
      <c r="P59" s="138"/>
      <c r="Q59" s="331"/>
    </row>
    <row r="60" spans="1:17" ht="15.5" x14ac:dyDescent="0.35">
      <c r="A60" s="72"/>
      <c r="B60" s="167" t="s">
        <v>6</v>
      </c>
      <c r="C60" s="957">
        <v>31</v>
      </c>
      <c r="D60" s="17">
        <v>30</v>
      </c>
      <c r="E60" s="99">
        <v>31</v>
      </c>
      <c r="F60" s="331">
        <v>31</v>
      </c>
      <c r="G60" s="501">
        <v>29</v>
      </c>
      <c r="H60" s="17">
        <v>31</v>
      </c>
      <c r="I60" s="99">
        <v>30</v>
      </c>
      <c r="J60" s="405">
        <v>31</v>
      </c>
      <c r="K60" s="388">
        <v>30</v>
      </c>
      <c r="L60" s="99">
        <v>31</v>
      </c>
      <c r="M60" s="17">
        <v>31</v>
      </c>
      <c r="N60" s="405">
        <v>30</v>
      </c>
      <c r="O60" s="45">
        <f>SUM(C60:N60)</f>
        <v>366</v>
      </c>
      <c r="P60" s="138"/>
      <c r="Q60" s="331"/>
    </row>
    <row r="61" spans="1:17" ht="15.5" x14ac:dyDescent="0.35">
      <c r="A61" s="72"/>
      <c r="B61" s="167" t="s">
        <v>8</v>
      </c>
      <c r="C61" s="630">
        <f>(C58/C59)*C60</f>
        <v>4.6032876712328768E-3</v>
      </c>
      <c r="D61" s="25">
        <f t="shared" ref="D61:N61" si="27">(D58/D59)*D60</f>
        <v>4.4547945205479448E-3</v>
      </c>
      <c r="E61" s="608">
        <f t="shared" si="27"/>
        <v>4.6032876712328768E-3</v>
      </c>
      <c r="F61" s="1037">
        <f t="shared" si="27"/>
        <v>4.2010928961748635E-3</v>
      </c>
      <c r="G61" s="505">
        <f t="shared" si="27"/>
        <v>3.9300546448087434E-3</v>
      </c>
      <c r="H61" s="25">
        <f t="shared" si="27"/>
        <v>4.2010928961748635E-3</v>
      </c>
      <c r="I61" s="608">
        <f t="shared" si="27"/>
        <v>3.8934426229508198E-3</v>
      </c>
      <c r="J61" s="502">
        <f t="shared" si="27"/>
        <v>4.0232240437158466E-3</v>
      </c>
      <c r="K61" s="503">
        <f t="shared" si="27"/>
        <v>3.8934426229508198E-3</v>
      </c>
      <c r="L61" s="608">
        <f t="shared" si="27"/>
        <v>2.9051912568306007E-3</v>
      </c>
      <c r="M61" s="25">
        <f t="shared" si="27"/>
        <v>2.9051912568306007E-3</v>
      </c>
      <c r="N61" s="502">
        <f t="shared" si="27"/>
        <v>2.8114754098360652E-3</v>
      </c>
      <c r="O61" s="1049">
        <f>SUM(C61:N61)</f>
        <v>4.6425577513286923E-2</v>
      </c>
      <c r="P61" s="138"/>
      <c r="Q61" s="331"/>
    </row>
    <row r="62" spans="1:17" ht="15.5" x14ac:dyDescent="0.35">
      <c r="A62" s="958"/>
      <c r="B62" s="167" t="s">
        <v>9</v>
      </c>
      <c r="C62" s="959">
        <v>4.5999999999999999E-3</v>
      </c>
      <c r="D62" s="875">
        <v>4.4999999999999997E-3</v>
      </c>
      <c r="E62" s="961">
        <v>4.5999999999999999E-3</v>
      </c>
      <c r="F62" s="1038">
        <v>4.1999999999999997E-3</v>
      </c>
      <c r="G62" s="960">
        <v>3.8999999999999998E-3</v>
      </c>
      <c r="H62" s="875">
        <v>4.1999999999999997E-3</v>
      </c>
      <c r="I62" s="961">
        <v>3.8999999999999998E-3</v>
      </c>
      <c r="J62" s="962">
        <v>4.0000000000000001E-3</v>
      </c>
      <c r="K62" s="963">
        <v>3.8999999999999998E-3</v>
      </c>
      <c r="L62" s="961">
        <v>2.8999999999999998E-3</v>
      </c>
      <c r="M62" s="875">
        <v>2.8999999999999998E-3</v>
      </c>
      <c r="N62" s="962">
        <v>2.8E-3</v>
      </c>
      <c r="O62" s="1050">
        <f>SUM(C62:N62)</f>
        <v>4.6399999999999997E-2</v>
      </c>
      <c r="P62" s="964"/>
      <c r="Q62" s="1052"/>
    </row>
    <row r="63" spans="1:17" ht="16" thickBot="1" x14ac:dyDescent="0.4">
      <c r="A63" s="965"/>
      <c r="B63" s="168" t="s">
        <v>66</v>
      </c>
      <c r="C63" s="631">
        <f>C61-C62</f>
        <v>3.2876712328768279E-6</v>
      </c>
      <c r="D63" s="632">
        <f t="shared" ref="D63:N63" si="28">D61-D62</f>
        <v>-4.5205479452054866E-5</v>
      </c>
      <c r="E63" s="634">
        <f t="shared" si="28"/>
        <v>3.2876712328768279E-6</v>
      </c>
      <c r="F63" s="1039">
        <f t="shared" si="28"/>
        <v>1.0928961748637653E-6</v>
      </c>
      <c r="G63" s="633">
        <f t="shared" si="28"/>
        <v>3.0054644808743571E-5</v>
      </c>
      <c r="H63" s="632">
        <f t="shared" si="28"/>
        <v>1.0928961748637653E-6</v>
      </c>
      <c r="I63" s="634">
        <f t="shared" si="28"/>
        <v>-6.5573770491799896E-6</v>
      </c>
      <c r="J63" s="635">
        <f t="shared" si="28"/>
        <v>2.3224043715846555E-5</v>
      </c>
      <c r="K63" s="636">
        <f t="shared" si="28"/>
        <v>-6.5573770491799896E-6</v>
      </c>
      <c r="L63" s="634">
        <f t="shared" si="28"/>
        <v>5.1912568306009335E-6</v>
      </c>
      <c r="M63" s="632">
        <f t="shared" si="28"/>
        <v>5.1912568306009335E-6</v>
      </c>
      <c r="N63" s="635">
        <f t="shared" si="28"/>
        <v>1.1475409836065199E-5</v>
      </c>
      <c r="O63" s="1051">
        <f>SUM(C63:N63)</f>
        <v>2.5577513286923533E-5</v>
      </c>
      <c r="P63" s="966"/>
      <c r="Q63" s="1053"/>
    </row>
    <row r="65" spans="1:17" ht="15.5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164"/>
      <c r="L65" s="22"/>
      <c r="M65" s="22"/>
      <c r="N65" s="22"/>
      <c r="O65" s="22"/>
      <c r="P65" s="22"/>
      <c r="Q65" s="22"/>
    </row>
    <row r="66" spans="1:17" ht="15.5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ht="15.5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 ht="15.5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5.5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5.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5.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5.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</sheetData>
  <printOptions horizontalCentered="1"/>
  <pageMargins left="0" right="0" top="1" bottom="0.5" header="0.5" footer="0.25"/>
  <pageSetup scale="75" orientation="portrait" r:id="rId1"/>
  <headerFooter alignWithMargins="0">
    <oddHeader>&amp;C&amp;"Times New Roman,Bold"&amp;14San Diego Gas &amp; Electric Co.
TRBAA Monthly Activities Applicable to BK1 and BK2 
For the 12-Month Period Ending September 30,&amp;KFF0000 &amp;K0000002020
2021 Annual TRBAA Rate Filing</oddHeader>
    <oddFooter>&amp;L&amp;"Times New Roman,Regular"&amp;12&amp;F&amp;C&amp;"Times New Roman,Regular"&amp;12Page 4.&amp;P&amp;R&amp;"Times New Roman,Regular"&amp;12&amp;A</oddFooter>
  </headerFooter>
  <colBreaks count="3" manualBreakCount="3">
    <brk id="6" max="43" man="1"/>
    <brk id="10" max="43" man="1"/>
    <brk id="14" max="4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12"/>
  <sheetViews>
    <sheetView zoomScale="80" zoomScaleNormal="80" workbookViewId="0"/>
  </sheetViews>
  <sheetFormatPr defaultColWidth="9.1796875" defaultRowHeight="12.5" x14ac:dyDescent="0.25"/>
  <cols>
    <col min="1" max="1" width="5.54296875" style="950" bestFit="1" customWidth="1"/>
    <col min="2" max="2" width="135.54296875" style="287" customWidth="1"/>
    <col min="3" max="3" width="5.54296875" style="950" customWidth="1"/>
    <col min="4" max="4" width="5.54296875" style="287" hidden="1" customWidth="1"/>
    <col min="5" max="5" width="11.54296875" style="287" customWidth="1"/>
    <col min="6" max="7" width="9.1796875" style="287"/>
    <col min="8" max="8" width="12.54296875" style="287" bestFit="1" customWidth="1"/>
    <col min="9" max="16384" width="9.1796875" style="287"/>
  </cols>
  <sheetData>
    <row r="1" spans="1:4" ht="16" thickBot="1" x14ac:dyDescent="0.4">
      <c r="A1" s="540"/>
      <c r="B1" s="95"/>
      <c r="C1" s="541"/>
      <c r="D1" s="22"/>
    </row>
    <row r="2" spans="1:4" ht="15.5" x14ac:dyDescent="0.35">
      <c r="A2" s="730" t="s">
        <v>93</v>
      </c>
      <c r="B2" s="725"/>
      <c r="C2" s="731" t="s">
        <v>93</v>
      </c>
      <c r="D2" s="65"/>
    </row>
    <row r="3" spans="1:4" ht="16.5" x14ac:dyDescent="0.35">
      <c r="A3" s="732" t="s">
        <v>87</v>
      </c>
      <c r="B3" s="734" t="s">
        <v>121</v>
      </c>
      <c r="C3" s="733" t="s">
        <v>87</v>
      </c>
      <c r="D3" s="70"/>
    </row>
    <row r="4" spans="1:4" ht="20" x14ac:dyDescent="0.4">
      <c r="A4" s="726"/>
      <c r="B4" s="166"/>
      <c r="C4" s="727"/>
      <c r="D4" s="165"/>
    </row>
    <row r="5" spans="1:4" ht="34.5" x14ac:dyDescent="0.4">
      <c r="A5" s="413">
        <v>1</v>
      </c>
      <c r="B5" s="1087" t="s">
        <v>277</v>
      </c>
      <c r="C5" s="417">
        <v>1</v>
      </c>
      <c r="D5" s="165"/>
    </row>
    <row r="6" spans="1:4" ht="20" x14ac:dyDescent="0.4">
      <c r="A6" s="413">
        <f>A5+1</f>
        <v>2</v>
      </c>
      <c r="B6" s="1088"/>
      <c r="C6" s="417">
        <f>C5+1</f>
        <v>2</v>
      </c>
      <c r="D6" s="165"/>
    </row>
    <row r="7" spans="1:4" ht="34.5" x14ac:dyDescent="0.4">
      <c r="A7" s="413">
        <f t="shared" ref="A7:A9" si="0">A6+1</f>
        <v>3</v>
      </c>
      <c r="B7" s="1087" t="s">
        <v>435</v>
      </c>
      <c r="C7" s="417">
        <f t="shared" ref="C7" si="1">C6+1</f>
        <v>3</v>
      </c>
      <c r="D7" s="165"/>
    </row>
    <row r="8" spans="1:4" ht="20" x14ac:dyDescent="0.4">
      <c r="A8" s="413">
        <f t="shared" si="0"/>
        <v>4</v>
      </c>
      <c r="B8" s="22"/>
      <c r="C8" s="417">
        <f t="shared" ref="C8:C9" si="2">C7+1</f>
        <v>4</v>
      </c>
      <c r="D8" s="165"/>
    </row>
    <row r="9" spans="1:4" ht="49.5" x14ac:dyDescent="0.4">
      <c r="A9" s="413">
        <f t="shared" si="0"/>
        <v>5</v>
      </c>
      <c r="B9" s="1089" t="s">
        <v>515</v>
      </c>
      <c r="C9" s="417">
        <f t="shared" si="2"/>
        <v>5</v>
      </c>
      <c r="D9" s="165"/>
    </row>
    <row r="10" spans="1:4" ht="16" thickBot="1" x14ac:dyDescent="0.35">
      <c r="A10" s="728"/>
      <c r="B10" s="59"/>
      <c r="C10" s="729"/>
      <c r="D10" s="163"/>
    </row>
    <row r="11" spans="1:4" ht="13" x14ac:dyDescent="0.3">
      <c r="A11" s="418"/>
      <c r="B11" s="1"/>
      <c r="C11" s="418"/>
      <c r="D11" s="1"/>
    </row>
    <row r="12" spans="1:4" ht="13" x14ac:dyDescent="0.3">
      <c r="A12" s="418"/>
      <c r="B12" s="1"/>
      <c r="C12" s="418"/>
      <c r="D12" s="1"/>
    </row>
  </sheetData>
  <phoneticPr fontId="15" type="noConversion"/>
  <printOptions horizontalCentered="1"/>
  <pageMargins left="0.25" right="0.25" top="1.25" bottom="0.5" header="0.5" footer="0.25"/>
  <pageSetup scale="93" orientation="landscape" r:id="rId1"/>
  <headerFooter alignWithMargins="0">
    <oddHeader xml:space="preserve">&amp;C&amp;"Times New Roman,Bold"&amp;14San Diego Gas &amp;&amp; Electric Co.
2021 &amp;K000000TRBAA Rate Filing
Monthly TRBAA Details for Period Ending September 30, 2020
</oddHeader>
    <oddFooter>&amp;L&amp;"Times New Roman,Regular"&amp;12&amp;F&amp;C&amp;"Times New Roman,Regular"&amp;12Page 4.5&amp;R&amp;"Times New Roman,Regular"&amp;12&amp;A</oddFooter>
  </headerFooter>
  <colBreaks count="1" manualBreakCount="1">
    <brk id="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2"/>
  <sheetViews>
    <sheetView zoomScale="80" zoomScaleNormal="80" workbookViewId="0">
      <pane xSplit="2" ySplit="5" topLeftCell="C6" activePane="bottomRight" state="frozen"/>
      <selection activeCell="P38" sqref="P38"/>
      <selection pane="topRight" activeCell="P38" sqref="P38"/>
      <selection pane="bottomLeft" activeCell="P38" sqref="P38"/>
      <selection pane="bottomRight" activeCell="C6" sqref="C6"/>
    </sheetView>
  </sheetViews>
  <sheetFormatPr defaultColWidth="8.81640625" defaultRowHeight="15.5" x14ac:dyDescent="0.35"/>
  <cols>
    <col min="1" max="1" width="5.54296875" style="22" customWidth="1"/>
    <col min="2" max="2" width="65.54296875" style="22" customWidth="1"/>
    <col min="3" max="14" width="15.54296875" style="22" customWidth="1"/>
    <col min="15" max="17" width="15.54296875" style="22" hidden="1" customWidth="1"/>
    <col min="18" max="18" width="15.54296875" style="22" customWidth="1"/>
    <col min="19" max="19" width="40.54296875" style="22" customWidth="1"/>
    <col min="20" max="20" width="5.54296875" style="22" customWidth="1"/>
    <col min="21" max="21" width="8.81640625" style="22"/>
    <col min="22" max="22" width="14.453125" style="22" bestFit="1" customWidth="1"/>
    <col min="23" max="16384" width="8.81640625" style="22"/>
  </cols>
  <sheetData>
    <row r="2" spans="1:22" ht="16" thickBot="1" x14ac:dyDescent="0.4">
      <c r="A2" s="45"/>
      <c r="B2" s="45"/>
      <c r="C2" s="97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2" x14ac:dyDescent="0.35">
      <c r="A3" s="334"/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2"/>
    </row>
    <row r="4" spans="1:22" x14ac:dyDescent="0.35">
      <c r="A4" s="655" t="s">
        <v>93</v>
      </c>
      <c r="B4" s="103"/>
      <c r="C4" s="82" t="s">
        <v>41</v>
      </c>
      <c r="D4" s="82" t="s">
        <v>42</v>
      </c>
      <c r="E4" s="82" t="s">
        <v>43</v>
      </c>
      <c r="F4" s="82" t="s">
        <v>44</v>
      </c>
      <c r="G4" s="82" t="s">
        <v>45</v>
      </c>
      <c r="H4" s="82" t="s">
        <v>46</v>
      </c>
      <c r="I4" s="82" t="s">
        <v>48</v>
      </c>
      <c r="J4" s="82" t="s">
        <v>49</v>
      </c>
      <c r="K4" s="82" t="s">
        <v>50</v>
      </c>
      <c r="L4" s="82" t="s">
        <v>51</v>
      </c>
      <c r="M4" s="82" t="s">
        <v>52</v>
      </c>
      <c r="N4" s="82" t="s">
        <v>53</v>
      </c>
      <c r="O4" s="82" t="s">
        <v>41</v>
      </c>
      <c r="P4" s="82" t="s">
        <v>42</v>
      </c>
      <c r="Q4" s="82" t="s">
        <v>43</v>
      </c>
      <c r="R4" s="82"/>
      <c r="S4" s="82"/>
      <c r="T4" s="656" t="s">
        <v>93</v>
      </c>
    </row>
    <row r="5" spans="1:22" ht="16" thickBot="1" x14ac:dyDescent="0.4">
      <c r="A5" s="678" t="s">
        <v>87</v>
      </c>
      <c r="B5" s="174" t="s">
        <v>119</v>
      </c>
      <c r="C5" s="174">
        <v>2019</v>
      </c>
      <c r="D5" s="174">
        <f>C5</f>
        <v>2019</v>
      </c>
      <c r="E5" s="174">
        <f>C5</f>
        <v>2019</v>
      </c>
      <c r="F5" s="174">
        <f>$C5+1</f>
        <v>2020</v>
      </c>
      <c r="G5" s="174">
        <f t="shared" ref="G5:N5" si="0">$C5+1</f>
        <v>2020</v>
      </c>
      <c r="H5" s="174">
        <f t="shared" si="0"/>
        <v>2020</v>
      </c>
      <c r="I5" s="174">
        <f t="shared" si="0"/>
        <v>2020</v>
      </c>
      <c r="J5" s="174">
        <f t="shared" si="0"/>
        <v>2020</v>
      </c>
      <c r="K5" s="174">
        <f t="shared" si="0"/>
        <v>2020</v>
      </c>
      <c r="L5" s="174">
        <f t="shared" si="0"/>
        <v>2020</v>
      </c>
      <c r="M5" s="174">
        <f t="shared" si="0"/>
        <v>2020</v>
      </c>
      <c r="N5" s="174">
        <f t="shared" si="0"/>
        <v>2020</v>
      </c>
      <c r="O5" s="174" t="s">
        <v>88</v>
      </c>
      <c r="P5" s="174"/>
      <c r="Q5" s="174"/>
      <c r="R5" s="174" t="s">
        <v>88</v>
      </c>
      <c r="S5" s="174" t="s">
        <v>91</v>
      </c>
      <c r="T5" s="679" t="s">
        <v>87</v>
      </c>
    </row>
    <row r="6" spans="1:22" x14ac:dyDescent="0.35">
      <c r="A6" s="388"/>
      <c r="B6" s="910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405"/>
    </row>
    <row r="7" spans="1:22" x14ac:dyDescent="0.35">
      <c r="A7" s="308">
        <v>1</v>
      </c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26"/>
      <c r="T7" s="309">
        <v>1</v>
      </c>
      <c r="V7" s="544"/>
    </row>
    <row r="8" spans="1:22" x14ac:dyDescent="0.35">
      <c r="A8" s="308">
        <f t="shared" ref="A8:A14" si="1">A7+1</f>
        <v>2</v>
      </c>
      <c r="B8" s="17" t="s">
        <v>77</v>
      </c>
      <c r="C8" s="162">
        <v>-1872347.59</v>
      </c>
      <c r="D8" s="162">
        <v>-820210.81</v>
      </c>
      <c r="E8" s="383">
        <v>-916031.93</v>
      </c>
      <c r="F8" s="162">
        <v>-1118172.1499999999</v>
      </c>
      <c r="G8" s="383">
        <v>-611977.38</v>
      </c>
      <c r="H8" s="162">
        <v>-680072.56</v>
      </c>
      <c r="I8" s="383">
        <v>-757066.58</v>
      </c>
      <c r="J8" s="162">
        <v>-713839.85</v>
      </c>
      <c r="K8" s="383">
        <v>-1163525.78</v>
      </c>
      <c r="L8" s="162">
        <v>-1236960.6299999999</v>
      </c>
      <c r="M8" s="383">
        <v>-3269475</v>
      </c>
      <c r="N8" s="162">
        <v>-3281911.33</v>
      </c>
      <c r="O8" s="383" t="e">
        <f>#REF!</f>
        <v>#REF!</v>
      </c>
      <c r="P8" s="383" t="e">
        <f>#REF!</f>
        <v>#REF!</v>
      </c>
      <c r="Q8" s="383" t="e">
        <f>#REF!</f>
        <v>#REF!</v>
      </c>
      <c r="R8" s="302">
        <f>SUM(C8:N8)</f>
        <v>-16441591.589999998</v>
      </c>
      <c r="S8" s="33" t="s">
        <v>70</v>
      </c>
      <c r="T8" s="309">
        <f t="shared" ref="T8:T14" si="2">T7+1</f>
        <v>2</v>
      </c>
      <c r="V8" s="545"/>
    </row>
    <row r="9" spans="1:22" x14ac:dyDescent="0.35">
      <c r="A9" s="308">
        <f t="shared" si="1"/>
        <v>3</v>
      </c>
      <c r="B9" s="17" t="s">
        <v>364</v>
      </c>
      <c r="C9" s="46">
        <v>-20774.259999999998</v>
      </c>
      <c r="D9" s="46">
        <v>0.22000000000116415</v>
      </c>
      <c r="E9" s="46">
        <v>0</v>
      </c>
      <c r="F9" s="46">
        <v>0</v>
      </c>
      <c r="G9" s="46">
        <v>0</v>
      </c>
      <c r="H9" s="46">
        <v>0</v>
      </c>
      <c r="I9" s="46">
        <v>1594.11</v>
      </c>
      <c r="J9" s="46">
        <v>0</v>
      </c>
      <c r="K9" s="46">
        <v>3745.86</v>
      </c>
      <c r="L9" s="46">
        <v>0</v>
      </c>
      <c r="M9" s="46">
        <v>22385.11</v>
      </c>
      <c r="N9" s="46">
        <v>189540.52000000002</v>
      </c>
      <c r="O9" s="162"/>
      <c r="P9" s="162"/>
      <c r="Q9" s="162"/>
      <c r="R9" s="46">
        <f>SUM(C9:Q9)</f>
        <v>196491.56000000003</v>
      </c>
      <c r="S9" s="33" t="s">
        <v>279</v>
      </c>
      <c r="T9" s="309">
        <f t="shared" si="2"/>
        <v>3</v>
      </c>
      <c r="V9" s="545"/>
    </row>
    <row r="10" spans="1:22" s="547" customFormat="1" x14ac:dyDescent="0.35">
      <c r="A10" s="735">
        <f t="shared" si="1"/>
        <v>4</v>
      </c>
      <c r="B10" s="17" t="s">
        <v>278</v>
      </c>
      <c r="C10" s="543">
        <f t="shared" ref="C10:O10" si="3">SUM(C8:C9)</f>
        <v>-1893121.85</v>
      </c>
      <c r="D10" s="543">
        <f t="shared" si="3"/>
        <v>-820210.59000000008</v>
      </c>
      <c r="E10" s="543">
        <f>SUM(E8:E9)</f>
        <v>-916031.93</v>
      </c>
      <c r="F10" s="543">
        <f t="shared" si="3"/>
        <v>-1118172.1499999999</v>
      </c>
      <c r="G10" s="543">
        <f t="shared" si="3"/>
        <v>-611977.38</v>
      </c>
      <c r="H10" s="543">
        <f t="shared" si="3"/>
        <v>-680072.56</v>
      </c>
      <c r="I10" s="543">
        <f t="shared" si="3"/>
        <v>-755472.47</v>
      </c>
      <c r="J10" s="543">
        <f t="shared" si="3"/>
        <v>-713839.85</v>
      </c>
      <c r="K10" s="543">
        <f t="shared" si="3"/>
        <v>-1159779.92</v>
      </c>
      <c r="L10" s="543">
        <f t="shared" si="3"/>
        <v>-1236960.6299999999</v>
      </c>
      <c r="M10" s="543">
        <f t="shared" si="3"/>
        <v>-3247089.89</v>
      </c>
      <c r="N10" s="543">
        <f t="shared" si="3"/>
        <v>-3092370.81</v>
      </c>
      <c r="O10" s="543" t="e">
        <f t="shared" si="3"/>
        <v>#REF!</v>
      </c>
      <c r="P10" s="546" t="s">
        <v>167</v>
      </c>
      <c r="Q10" s="542">
        <f t="shared" ref="Q10" si="4">Q9+1</f>
        <v>1</v>
      </c>
      <c r="R10" s="550">
        <f>SUM(R8:R9)</f>
        <v>-16245100.029999997</v>
      </c>
      <c r="S10" s="10"/>
      <c r="T10" s="309">
        <f t="shared" si="2"/>
        <v>4</v>
      </c>
    </row>
    <row r="11" spans="1:22" ht="16" thickBot="1" x14ac:dyDescent="0.4">
      <c r="A11" s="349">
        <f>A10+1</f>
        <v>5</v>
      </c>
      <c r="B11" s="108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480"/>
      <c r="S11" s="63"/>
      <c r="T11" s="350">
        <f>T10+1</f>
        <v>5</v>
      </c>
    </row>
    <row r="12" spans="1:22" x14ac:dyDescent="0.35">
      <c r="A12" s="308">
        <f t="shared" si="1"/>
        <v>6</v>
      </c>
      <c r="B12" s="107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271"/>
      <c r="S12" s="26"/>
      <c r="T12" s="309">
        <f t="shared" si="2"/>
        <v>6</v>
      </c>
    </row>
    <row r="13" spans="1:22" ht="16" thickBot="1" x14ac:dyDescent="0.4">
      <c r="A13" s="308">
        <f>A12+1</f>
        <v>7</v>
      </c>
      <c r="B13" s="103" t="s">
        <v>166</v>
      </c>
      <c r="C13" s="275">
        <v>1000</v>
      </c>
      <c r="D13" s="275">
        <v>1000</v>
      </c>
      <c r="E13" s="275">
        <v>1000</v>
      </c>
      <c r="F13" s="275">
        <v>1000</v>
      </c>
      <c r="G13" s="275">
        <v>1000</v>
      </c>
      <c r="H13" s="275">
        <v>1000</v>
      </c>
      <c r="I13" s="275">
        <v>1000</v>
      </c>
      <c r="J13" s="275">
        <v>1000</v>
      </c>
      <c r="K13" s="275">
        <v>1000</v>
      </c>
      <c r="L13" s="275">
        <v>1000</v>
      </c>
      <c r="M13" s="275">
        <v>1000</v>
      </c>
      <c r="N13" s="275">
        <v>1000</v>
      </c>
      <c r="O13" s="277" t="e">
        <f>#REF!</f>
        <v>#REF!</v>
      </c>
      <c r="P13" s="277" t="e">
        <f>#REF!</f>
        <v>#REF!</v>
      </c>
      <c r="Q13" s="277" t="e">
        <f>#REF!</f>
        <v>#REF!</v>
      </c>
      <c r="R13" s="219">
        <f>SUM(C13:N13)</f>
        <v>12000</v>
      </c>
      <c r="S13" s="10" t="s">
        <v>122</v>
      </c>
      <c r="T13" s="309">
        <f>T12+1</f>
        <v>7</v>
      </c>
    </row>
    <row r="14" spans="1:22" ht="16.5" thickTop="1" thickBot="1" x14ac:dyDescent="0.4">
      <c r="A14" s="349">
        <f t="shared" si="1"/>
        <v>8</v>
      </c>
      <c r="B14" s="88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480"/>
      <c r="S14" s="63"/>
      <c r="T14" s="350">
        <f t="shared" si="2"/>
        <v>8</v>
      </c>
    </row>
    <row r="15" spans="1:22" x14ac:dyDescent="0.35">
      <c r="A15" s="308">
        <f>A14+1</f>
        <v>9</v>
      </c>
      <c r="B15" s="17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1"/>
      <c r="S15" s="10"/>
      <c r="T15" s="309">
        <f t="shared" ref="T15:T20" si="5">T14+1</f>
        <v>9</v>
      </c>
    </row>
    <row r="16" spans="1:22" ht="16" thickBot="1" x14ac:dyDescent="0.4">
      <c r="A16" s="308">
        <f>A15+1</f>
        <v>10</v>
      </c>
      <c r="B16" s="81" t="s">
        <v>211</v>
      </c>
      <c r="C16" s="275">
        <f>'WP 10 ETC Costs'!D59</f>
        <v>-83196.349999999991</v>
      </c>
      <c r="D16" s="275">
        <f>'WP 10 ETC Costs'!E59</f>
        <v>-82140.98</v>
      </c>
      <c r="E16" s="275">
        <f>'WP 10 ETC Costs'!F59</f>
        <v>-44783.440000000017</v>
      </c>
      <c r="F16" s="275">
        <f>'WP 10 ETC Costs'!G59</f>
        <v>-11648.980000000001</v>
      </c>
      <c r="G16" s="275">
        <f>'WP 10 ETC Costs'!H59</f>
        <v>-24893.549999999996</v>
      </c>
      <c r="H16" s="275">
        <f>'WP 10 ETC Costs'!I59</f>
        <v>-28860.069999999989</v>
      </c>
      <c r="I16" s="275">
        <f>'WP 10 ETC Costs'!J59</f>
        <v>4225.4999999999945</v>
      </c>
      <c r="J16" s="275">
        <f>'WP 10 ETC Costs'!K59</f>
        <v>-20178.399999999998</v>
      </c>
      <c r="K16" s="275">
        <f>'WP 10 ETC Costs'!L59</f>
        <v>-31083.21000000005</v>
      </c>
      <c r="L16" s="275">
        <f>'WP 10 ETC Costs'!M59</f>
        <v>-18506.719999999998</v>
      </c>
      <c r="M16" s="275">
        <f>'WP 10 ETC Costs'!N59</f>
        <v>364743.8600000001</v>
      </c>
      <c r="N16" s="275">
        <f>'WP 10 ETC Costs'!O59</f>
        <v>749177.09999999986</v>
      </c>
      <c r="O16" s="277">
        <f>'WP 10 ETC Costs'!P63</f>
        <v>772854.75999999989</v>
      </c>
      <c r="P16" s="277">
        <f>'WP 10 ETC Costs'!Q63</f>
        <v>59</v>
      </c>
      <c r="Q16" s="277">
        <f>'WP 10 ETC Costs'!R63</f>
        <v>0</v>
      </c>
      <c r="R16" s="219">
        <f>SUM(C16:N16)</f>
        <v>772854.75999999989</v>
      </c>
      <c r="S16" s="10" t="s">
        <v>546</v>
      </c>
      <c r="T16" s="309">
        <f t="shared" si="5"/>
        <v>10</v>
      </c>
    </row>
    <row r="17" spans="1:20" ht="16.5" thickTop="1" thickBot="1" x14ac:dyDescent="0.4">
      <c r="A17" s="349">
        <f>A16+1</f>
        <v>11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548"/>
      <c r="S17" s="63"/>
      <c r="T17" s="350">
        <f t="shared" si="5"/>
        <v>11</v>
      </c>
    </row>
    <row r="18" spans="1:20" x14ac:dyDescent="0.35">
      <c r="A18" s="308">
        <f>A17+1</f>
        <v>12</v>
      </c>
      <c r="B18" s="17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1"/>
      <c r="S18" s="10"/>
      <c r="T18" s="309">
        <f t="shared" si="5"/>
        <v>12</v>
      </c>
    </row>
    <row r="19" spans="1:20" ht="16" thickBot="1" x14ac:dyDescent="0.4">
      <c r="A19" s="308">
        <f t="shared" ref="A19:A20" si="6">A18+1</f>
        <v>13</v>
      </c>
      <c r="B19" s="103" t="s">
        <v>215</v>
      </c>
      <c r="C19" s="275">
        <f>'WP 12 PTO'!D19</f>
        <v>8775.25</v>
      </c>
      <c r="D19" s="275">
        <f>'WP 12 PTO'!E19</f>
        <v>9954.1</v>
      </c>
      <c r="E19" s="275">
        <f>'WP 12 PTO'!F19</f>
        <v>5654.18</v>
      </c>
      <c r="F19" s="275">
        <f>'WP 12 PTO'!G19</f>
        <v>7880.0899999999992</v>
      </c>
      <c r="G19" s="275">
        <f>'WP 12 PTO'!H19</f>
        <v>12661.64</v>
      </c>
      <c r="H19" s="275">
        <f>'WP 12 PTO'!I19</f>
        <v>22953.13</v>
      </c>
      <c r="I19" s="275">
        <f>'WP 12 PTO'!J19</f>
        <v>14877.26</v>
      </c>
      <c r="J19" s="275">
        <f>'WP 12 PTO'!K19</f>
        <v>50847.340000000011</v>
      </c>
      <c r="K19" s="275">
        <f>'WP 12 PTO'!L19</f>
        <v>234271.13</v>
      </c>
      <c r="L19" s="275">
        <f>'WP 12 PTO'!M19</f>
        <v>174924.95</v>
      </c>
      <c r="M19" s="275">
        <f>'WP 12 PTO'!N19</f>
        <v>155025.65000000002</v>
      </c>
      <c r="N19" s="275">
        <f>'WP 12 PTO'!O19</f>
        <v>-1606527.73</v>
      </c>
      <c r="O19" s="279"/>
      <c r="P19" s="279"/>
      <c r="Q19" s="279"/>
      <c r="R19" s="219">
        <f>SUM(C19:N19)</f>
        <v>-908703.00999999989</v>
      </c>
      <c r="S19" s="10" t="s">
        <v>532</v>
      </c>
      <c r="T19" s="309">
        <f t="shared" si="5"/>
        <v>13</v>
      </c>
    </row>
    <row r="20" spans="1:20" ht="16.5" thickTop="1" thickBot="1" x14ac:dyDescent="0.4">
      <c r="A20" s="349">
        <f t="shared" si="6"/>
        <v>14</v>
      </c>
      <c r="B20" s="8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6"/>
      <c r="S20" s="63"/>
      <c r="T20" s="350">
        <f t="shared" si="5"/>
        <v>14</v>
      </c>
    </row>
    <row r="22" spans="1:20" x14ac:dyDescent="0.35">
      <c r="A22" s="42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1:20" x14ac:dyDescent="0.35">
      <c r="A23" s="42"/>
      <c r="B23" s="45" t="s">
        <v>320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</row>
    <row r="24" spans="1:20" ht="18.5" x14ac:dyDescent="0.35">
      <c r="A24" s="592"/>
      <c r="B24" s="99" t="s">
        <v>88</v>
      </c>
      <c r="C24" s="164">
        <f>C10+C13+C16+C19</f>
        <v>-1966542.9500000002</v>
      </c>
      <c r="D24" s="164">
        <f t="shared" ref="D24:Q24" si="7">D10+D13+D16+D19</f>
        <v>-891397.47000000009</v>
      </c>
      <c r="E24" s="164">
        <f t="shared" si="7"/>
        <v>-954161.19000000006</v>
      </c>
      <c r="F24" s="164">
        <f t="shared" si="7"/>
        <v>-1120941.0399999998</v>
      </c>
      <c r="G24" s="164">
        <f t="shared" si="7"/>
        <v>-623209.29</v>
      </c>
      <c r="H24" s="164">
        <f t="shared" si="7"/>
        <v>-684979.5</v>
      </c>
      <c r="I24" s="164">
        <f t="shared" si="7"/>
        <v>-735369.71</v>
      </c>
      <c r="J24" s="164">
        <f t="shared" si="7"/>
        <v>-682170.91</v>
      </c>
      <c r="K24" s="164">
        <f t="shared" si="7"/>
        <v>-955591.99999999988</v>
      </c>
      <c r="L24" s="164">
        <f t="shared" si="7"/>
        <v>-1079542.3999999999</v>
      </c>
      <c r="M24" s="164">
        <f t="shared" si="7"/>
        <v>-2726320.3800000004</v>
      </c>
      <c r="N24" s="164">
        <f t="shared" si="7"/>
        <v>-3948721.44</v>
      </c>
      <c r="O24" s="164" t="e">
        <f t="shared" si="7"/>
        <v>#REF!</v>
      </c>
      <c r="P24" s="164" t="e">
        <f t="shared" si="7"/>
        <v>#VALUE!</v>
      </c>
      <c r="Q24" s="164" t="e">
        <f t="shared" si="7"/>
        <v>#REF!</v>
      </c>
      <c r="R24" s="164">
        <f>SUM(C24:N24)</f>
        <v>-16368948.280000001</v>
      </c>
    </row>
    <row r="25" spans="1:20" ht="18.5" x14ac:dyDescent="0.35">
      <c r="A25" s="592"/>
      <c r="B25" s="99" t="s">
        <v>206</v>
      </c>
      <c r="C25" s="164">
        <v>-1966542.95</v>
      </c>
      <c r="D25" s="164">
        <v>-891397.47</v>
      </c>
      <c r="E25" s="164">
        <v>-954161.19</v>
      </c>
      <c r="F25" s="164">
        <v>-1120941.04</v>
      </c>
      <c r="G25" s="164">
        <v>-623209.29</v>
      </c>
      <c r="H25" s="164">
        <v>-684979.5</v>
      </c>
      <c r="I25" s="164">
        <v>-735369.71000000031</v>
      </c>
      <c r="J25" s="164">
        <v>-682170.91</v>
      </c>
      <c r="K25" s="164">
        <v>-955592.00000000023</v>
      </c>
      <c r="L25" s="1092">
        <v>-1079542.3999999994</v>
      </c>
      <c r="M25" s="1092">
        <v>-2726320.3800000004</v>
      </c>
      <c r="N25" s="1092">
        <v>-3948721.44</v>
      </c>
      <c r="O25" s="164"/>
      <c r="P25" s="164"/>
      <c r="Q25" s="164"/>
      <c r="R25" s="164">
        <f>SUM(C25:N25)</f>
        <v>-16368948.280000001</v>
      </c>
    </row>
    <row r="26" spans="1:20" s="45" customFormat="1" ht="19" thickBot="1" x14ac:dyDescent="0.4">
      <c r="A26" s="592"/>
      <c r="B26" s="45" t="s">
        <v>66</v>
      </c>
      <c r="C26" s="593">
        <f>C24-C25</f>
        <v>0</v>
      </c>
      <c r="D26" s="593">
        <f t="shared" ref="D26:R26" si="8">D24-D25</f>
        <v>0</v>
      </c>
      <c r="E26" s="593">
        <f t="shared" si="8"/>
        <v>0</v>
      </c>
      <c r="F26" s="593">
        <f t="shared" si="8"/>
        <v>0</v>
      </c>
      <c r="G26" s="593">
        <f t="shared" si="8"/>
        <v>0</v>
      </c>
      <c r="H26" s="593">
        <f t="shared" si="8"/>
        <v>0</v>
      </c>
      <c r="I26" s="593">
        <f t="shared" si="8"/>
        <v>0</v>
      </c>
      <c r="J26" s="593">
        <f t="shared" si="8"/>
        <v>0</v>
      </c>
      <c r="K26" s="593">
        <f t="shared" si="8"/>
        <v>0</v>
      </c>
      <c r="L26" s="593">
        <f t="shared" si="8"/>
        <v>0</v>
      </c>
      <c r="M26" s="593">
        <f t="shared" si="8"/>
        <v>0</v>
      </c>
      <c r="N26" s="593">
        <f>N24-N25</f>
        <v>0</v>
      </c>
      <c r="O26" s="593" t="e">
        <f t="shared" si="8"/>
        <v>#REF!</v>
      </c>
      <c r="P26" s="593" t="e">
        <f t="shared" si="8"/>
        <v>#VALUE!</v>
      </c>
      <c r="Q26" s="593" t="e">
        <f t="shared" si="8"/>
        <v>#REF!</v>
      </c>
      <c r="R26" s="593">
        <f t="shared" si="8"/>
        <v>0</v>
      </c>
    </row>
    <row r="27" spans="1:20" ht="19" thickTop="1" x14ac:dyDescent="0.35">
      <c r="A27" s="73"/>
      <c r="C27" s="73"/>
    </row>
    <row r="28" spans="1:20" ht="18.5" x14ac:dyDescent="0.35">
      <c r="A28" s="73"/>
      <c r="C28" s="164"/>
      <c r="R28" s="549"/>
    </row>
    <row r="29" spans="1:20" x14ac:dyDescent="0.35">
      <c r="A29" s="42"/>
    </row>
    <row r="30" spans="1:20" x14ac:dyDescent="0.35">
      <c r="A30" s="42"/>
    </row>
    <row r="31" spans="1:20" x14ac:dyDescent="0.35">
      <c r="A31" s="42"/>
    </row>
    <row r="32" spans="1:20" x14ac:dyDescent="0.35">
      <c r="A32" s="42"/>
    </row>
    <row r="33" spans="1:1" x14ac:dyDescent="0.35">
      <c r="A33" s="42"/>
    </row>
    <row r="34" spans="1:1" x14ac:dyDescent="0.35">
      <c r="A34" s="42"/>
    </row>
    <row r="35" spans="1:1" x14ac:dyDescent="0.35">
      <c r="A35" s="42"/>
    </row>
    <row r="36" spans="1:1" x14ac:dyDescent="0.35">
      <c r="A36" s="42"/>
    </row>
    <row r="37" spans="1:1" x14ac:dyDescent="0.35">
      <c r="A37" s="42"/>
    </row>
    <row r="38" spans="1:1" x14ac:dyDescent="0.35">
      <c r="A38" s="42"/>
    </row>
    <row r="39" spans="1:1" x14ac:dyDescent="0.35">
      <c r="A39" s="42"/>
    </row>
    <row r="40" spans="1:1" x14ac:dyDescent="0.35">
      <c r="A40" s="42"/>
    </row>
    <row r="41" spans="1:1" x14ac:dyDescent="0.35">
      <c r="A41" s="42"/>
    </row>
    <row r="42" spans="1:1" x14ac:dyDescent="0.35">
      <c r="A42" s="42"/>
    </row>
    <row r="43" spans="1:1" x14ac:dyDescent="0.35">
      <c r="A43" s="42"/>
    </row>
    <row r="44" spans="1:1" x14ac:dyDescent="0.35">
      <c r="A44" s="42"/>
    </row>
    <row r="45" spans="1:1" x14ac:dyDescent="0.35">
      <c r="A45" s="42"/>
    </row>
    <row r="46" spans="1:1" x14ac:dyDescent="0.35">
      <c r="A46" s="42"/>
    </row>
    <row r="47" spans="1:1" x14ac:dyDescent="0.35">
      <c r="A47" s="42"/>
    </row>
    <row r="48" spans="1:1" x14ac:dyDescent="0.35">
      <c r="A48" s="42"/>
    </row>
    <row r="49" spans="1:1" x14ac:dyDescent="0.35">
      <c r="A49" s="42"/>
    </row>
    <row r="50" spans="1:1" x14ac:dyDescent="0.35">
      <c r="A50" s="42"/>
    </row>
    <row r="51" spans="1:1" x14ac:dyDescent="0.35">
      <c r="A51" s="42"/>
    </row>
    <row r="52" spans="1:1" x14ac:dyDescent="0.35">
      <c r="A52" s="42"/>
    </row>
  </sheetData>
  <phoneticPr fontId="15" type="noConversion"/>
  <printOptions horizontalCentered="1"/>
  <pageMargins left="0" right="0" top="1" bottom="0.25" header="0.5" footer="0.25"/>
  <pageSetup scale="68" orientation="landscape" r:id="rId1"/>
  <headerFooter alignWithMargins="0">
    <oddHeader xml:space="preserve">&amp;C&amp;"Times New Roman,Bold"&amp;14San Diego Gas &amp;&amp; Electric Company
2021 TRBAA Rate Filing
CAISO Charges Oct. 2019 - Sept. 2020&amp;"Times New Roman,Regular"&amp;K000000
</oddHeader>
    <oddFooter>&amp;L&amp;"Times New Roman,Regular"&amp;14&amp;F&amp;C&amp;"Times New Roman,Regular"&amp;14Page 5.&amp;P&amp;R&amp;"Times New Roman,Regular"&amp;14WP 5  Summary of Monthly CAISO Charges</oddFooter>
  </headerFooter>
  <colBreaks count="1" manualBreakCount="1">
    <brk id="10" max="1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B551-5630-48E8-85A2-2286413BBC13}">
  <sheetPr>
    <pageSetUpPr fitToPage="1"/>
  </sheetPr>
  <dimension ref="A1:M58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86.1796875" style="2" customWidth="1"/>
    <col min="3" max="5" width="18.54296875" style="1" customWidth="1"/>
    <col min="6" max="6" width="59.54296875" style="1" bestFit="1" customWidth="1"/>
    <col min="7" max="7" width="5.54296875" style="1" customWidth="1"/>
    <col min="8" max="16384" width="8.54296875" style="1"/>
  </cols>
  <sheetData>
    <row r="1" spans="1:13" x14ac:dyDescent="0.3">
      <c r="A1" s="61"/>
      <c r="B1" s="78"/>
      <c r="C1" s="61"/>
      <c r="D1" s="61"/>
      <c r="E1" s="61"/>
      <c r="F1" s="61"/>
      <c r="G1" s="61"/>
      <c r="H1" s="347"/>
      <c r="I1" s="347"/>
      <c r="J1" s="347"/>
      <c r="K1" s="347"/>
      <c r="L1" s="347"/>
      <c r="M1" s="347"/>
    </row>
    <row r="2" spans="1:13" ht="15" x14ac:dyDescent="0.3">
      <c r="A2" s="736" t="s">
        <v>108</v>
      </c>
      <c r="B2" s="737"/>
      <c r="C2" s="737"/>
      <c r="D2" s="737"/>
      <c r="E2" s="737"/>
      <c r="F2" s="737"/>
      <c r="G2" s="737"/>
      <c r="H2" s="61"/>
      <c r="I2" s="61"/>
      <c r="J2" s="61"/>
      <c r="K2" s="61"/>
      <c r="L2" s="61"/>
      <c r="M2" s="61"/>
    </row>
    <row r="3" spans="1:13" ht="15" x14ac:dyDescent="0.3">
      <c r="A3" s="1131" t="str">
        <f>'WP 7 Wheeling Revenues'!A3:G3</f>
        <v>2021 - TRBAA Rate Filing</v>
      </c>
      <c r="B3" s="1131"/>
      <c r="C3" s="1131"/>
      <c r="D3" s="1131"/>
      <c r="E3" s="1131"/>
      <c r="F3" s="1131"/>
      <c r="G3" s="1131"/>
      <c r="H3" s="61"/>
      <c r="I3" s="61"/>
      <c r="J3" s="61"/>
      <c r="K3" s="61"/>
      <c r="L3" s="61"/>
      <c r="M3" s="61"/>
    </row>
    <row r="4" spans="1:13" ht="15" x14ac:dyDescent="0.3">
      <c r="A4" s="736" t="s">
        <v>394</v>
      </c>
      <c r="B4" s="737"/>
      <c r="C4" s="737"/>
      <c r="D4" s="737"/>
      <c r="E4" s="737"/>
      <c r="F4" s="737"/>
      <c r="G4" s="737"/>
      <c r="H4" s="61"/>
      <c r="I4" s="61"/>
      <c r="J4" s="61"/>
      <c r="K4" s="61"/>
      <c r="L4" s="61"/>
      <c r="M4" s="61"/>
    </row>
    <row r="5" spans="1:13" ht="13.5" thickBot="1" x14ac:dyDescent="0.35">
      <c r="A5" s="61"/>
      <c r="B5" s="7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ht="15" x14ac:dyDescent="0.3">
      <c r="A6" s="661" t="s">
        <v>93</v>
      </c>
      <c r="B6" s="738"/>
      <c r="C6" s="738"/>
      <c r="D6" s="738"/>
      <c r="E6" s="739"/>
      <c r="F6" s="527"/>
      <c r="G6" s="663" t="s">
        <v>93</v>
      </c>
      <c r="H6" s="61"/>
      <c r="I6" s="61"/>
      <c r="J6" s="61"/>
      <c r="K6" s="61"/>
      <c r="L6" s="61"/>
      <c r="M6" s="61"/>
    </row>
    <row r="7" spans="1:13" ht="15.5" thickBot="1" x14ac:dyDescent="0.35">
      <c r="A7" s="678" t="s">
        <v>87</v>
      </c>
      <c r="B7" s="740"/>
      <c r="C7" s="740"/>
      <c r="D7" s="740"/>
      <c r="E7" s="741"/>
      <c r="F7" s="174" t="s">
        <v>91</v>
      </c>
      <c r="G7" s="679" t="s">
        <v>87</v>
      </c>
      <c r="H7" s="61"/>
      <c r="I7" s="61"/>
      <c r="J7" s="61"/>
      <c r="K7" s="61"/>
      <c r="L7" s="61"/>
      <c r="M7" s="61"/>
    </row>
    <row r="8" spans="1:13" ht="15.5" x14ac:dyDescent="0.35">
      <c r="A8" s="308">
        <v>1</v>
      </c>
      <c r="B8" s="351" t="s">
        <v>395</v>
      </c>
      <c r="C8" s="742" t="s">
        <v>115</v>
      </c>
      <c r="D8" s="267" t="s">
        <v>132</v>
      </c>
      <c r="E8" s="267" t="s">
        <v>258</v>
      </c>
      <c r="F8" s="60"/>
      <c r="G8" s="309">
        <v>1</v>
      </c>
      <c r="H8" s="61"/>
      <c r="I8" s="61"/>
      <c r="J8" s="61"/>
      <c r="K8" s="61"/>
      <c r="L8" s="61"/>
      <c r="M8" s="61"/>
    </row>
    <row r="9" spans="1:13" ht="15.5" x14ac:dyDescent="0.35">
      <c r="A9" s="308">
        <f t="shared" ref="A9:A27" si="0">A8+1</f>
        <v>2</v>
      </c>
      <c r="B9" s="351"/>
      <c r="C9" s="268"/>
      <c r="D9" s="268"/>
      <c r="E9" s="268"/>
      <c r="F9" s="60"/>
      <c r="G9" s="309">
        <f>A9</f>
        <v>2</v>
      </c>
      <c r="H9" s="61"/>
      <c r="I9" s="61"/>
      <c r="J9" s="61"/>
      <c r="K9" s="61"/>
      <c r="L9" s="61"/>
      <c r="M9" s="61"/>
    </row>
    <row r="10" spans="1:13" ht="16" thickBot="1" x14ac:dyDescent="0.4">
      <c r="A10" s="308">
        <f t="shared" si="0"/>
        <v>3</v>
      </c>
      <c r="B10" s="351" t="s">
        <v>124</v>
      </c>
      <c r="C10" s="269" t="s">
        <v>100</v>
      </c>
      <c r="D10" s="269" t="s">
        <v>98</v>
      </c>
      <c r="E10" s="269" t="s">
        <v>88</v>
      </c>
      <c r="F10" s="82"/>
      <c r="G10" s="309">
        <f t="shared" ref="G10:G18" si="1">A10</f>
        <v>3</v>
      </c>
      <c r="H10" s="61"/>
      <c r="I10" s="61"/>
      <c r="J10" s="61"/>
      <c r="K10" s="61"/>
      <c r="L10" s="61"/>
      <c r="M10" s="61"/>
    </row>
    <row r="11" spans="1:13" ht="15.5" x14ac:dyDescent="0.35">
      <c r="A11" s="308">
        <f t="shared" si="0"/>
        <v>4</v>
      </c>
      <c r="B11" s="940"/>
      <c r="C11" s="941"/>
      <c r="D11" s="270"/>
      <c r="E11" s="270"/>
      <c r="F11" s="188"/>
      <c r="G11" s="309">
        <f t="shared" si="1"/>
        <v>4</v>
      </c>
      <c r="H11" s="61"/>
      <c r="I11" s="61"/>
      <c r="J11" s="61"/>
      <c r="K11" s="61"/>
      <c r="L11" s="61"/>
      <c r="M11" s="61"/>
    </row>
    <row r="12" spans="1:13" ht="32.15" customHeight="1" x14ac:dyDescent="0.35">
      <c r="A12" s="413">
        <f t="shared" si="0"/>
        <v>5</v>
      </c>
      <c r="B12" s="414" t="s">
        <v>499</v>
      </c>
      <c r="C12" s="415">
        <v>3773763.5967960134</v>
      </c>
      <c r="D12" s="415">
        <v>2598889.9839833342</v>
      </c>
      <c r="E12" s="415">
        <f>SUM(C12:D12)</f>
        <v>6372653.5807793476</v>
      </c>
      <c r="F12" s="217" t="s">
        <v>505</v>
      </c>
      <c r="G12" s="309">
        <f t="shared" si="1"/>
        <v>5</v>
      </c>
      <c r="H12" s="61"/>
      <c r="I12" s="61"/>
      <c r="J12" s="61"/>
      <c r="K12" s="61"/>
      <c r="L12" s="61"/>
      <c r="M12" s="61"/>
    </row>
    <row r="13" spans="1:13" ht="15.5" x14ac:dyDescent="0.35">
      <c r="A13" s="308">
        <f t="shared" si="0"/>
        <v>6</v>
      </c>
      <c r="B13" s="352"/>
      <c r="C13" s="941"/>
      <c r="D13" s="270"/>
      <c r="E13" s="270"/>
      <c r="F13" s="188"/>
      <c r="G13" s="309">
        <f t="shared" si="1"/>
        <v>6</v>
      </c>
      <c r="H13" s="61"/>
      <c r="I13" s="61"/>
      <c r="J13" s="61"/>
      <c r="K13" s="61"/>
      <c r="L13" s="61"/>
      <c r="M13" s="61"/>
    </row>
    <row r="14" spans="1:13" ht="28.5" x14ac:dyDescent="0.35">
      <c r="A14" s="413">
        <f t="shared" si="0"/>
        <v>7</v>
      </c>
      <c r="B14" s="414" t="s">
        <v>500</v>
      </c>
      <c r="C14" s="416">
        <v>182983.32279364072</v>
      </c>
      <c r="D14" s="416">
        <v>542731.45083225949</v>
      </c>
      <c r="E14" s="416">
        <f>SUM(C14:D14)</f>
        <v>725714.77362590027</v>
      </c>
      <c r="F14" s="217" t="s">
        <v>506</v>
      </c>
      <c r="G14" s="309">
        <f t="shared" si="1"/>
        <v>7</v>
      </c>
      <c r="H14" s="61"/>
      <c r="I14" s="61"/>
      <c r="J14" s="61"/>
      <c r="K14" s="61"/>
      <c r="L14" s="61"/>
      <c r="M14" s="61"/>
    </row>
    <row r="15" spans="1:13" ht="15.5" x14ac:dyDescent="0.35">
      <c r="A15" s="308">
        <f t="shared" si="0"/>
        <v>8</v>
      </c>
      <c r="B15" s="352"/>
      <c r="C15" s="270"/>
      <c r="D15" s="270"/>
      <c r="E15" s="270"/>
      <c r="F15" s="188"/>
      <c r="G15" s="309">
        <f t="shared" si="1"/>
        <v>8</v>
      </c>
      <c r="H15" s="61"/>
      <c r="I15" s="61"/>
      <c r="J15" s="61"/>
      <c r="K15" s="61"/>
      <c r="L15" s="61"/>
      <c r="M15" s="61"/>
    </row>
    <row r="16" spans="1:13" ht="16" thickBot="1" x14ac:dyDescent="0.4">
      <c r="A16" s="308">
        <f t="shared" si="0"/>
        <v>9</v>
      </c>
      <c r="B16" s="353" t="s">
        <v>151</v>
      </c>
      <c r="C16" s="219">
        <f>C12+C14</f>
        <v>3956746.9195896541</v>
      </c>
      <c r="D16" s="219">
        <f t="shared" ref="D16:E16" si="2">D12+D14</f>
        <v>3141621.4348155935</v>
      </c>
      <c r="E16" s="219">
        <f t="shared" si="2"/>
        <v>7098368.3544052476</v>
      </c>
      <c r="F16" s="286" t="s">
        <v>396</v>
      </c>
      <c r="G16" s="309">
        <f t="shared" si="1"/>
        <v>9</v>
      </c>
      <c r="H16" s="61"/>
      <c r="I16" s="61"/>
      <c r="J16" s="61"/>
      <c r="K16" s="61"/>
      <c r="L16" s="61"/>
      <c r="M16" s="61"/>
    </row>
    <row r="17" spans="1:13" ht="16" thickTop="1" x14ac:dyDescent="0.35">
      <c r="A17" s="308">
        <f t="shared" si="0"/>
        <v>10</v>
      </c>
      <c r="B17" s="353"/>
      <c r="C17" s="271"/>
      <c r="D17" s="271"/>
      <c r="E17" s="271"/>
      <c r="F17" s="286"/>
      <c r="G17" s="309">
        <f t="shared" si="1"/>
        <v>10</v>
      </c>
      <c r="H17" s="61"/>
      <c r="I17" s="61"/>
      <c r="J17" s="61"/>
      <c r="K17" s="61"/>
      <c r="L17" s="61"/>
      <c r="M17" s="61"/>
    </row>
    <row r="18" spans="1:13" ht="16" thickBot="1" x14ac:dyDescent="0.4">
      <c r="A18" s="308">
        <f t="shared" si="0"/>
        <v>11</v>
      </c>
      <c r="B18" s="353" t="s">
        <v>397</v>
      </c>
      <c r="C18" s="272">
        <f>C16/$E16</f>
        <v>0.55741639797180953</v>
      </c>
      <c r="D18" s="272">
        <f>D16/$E16</f>
        <v>0.44258360202819047</v>
      </c>
      <c r="E18" s="272">
        <f>SUM(C18:D18)</f>
        <v>1</v>
      </c>
      <c r="F18" s="286" t="s">
        <v>398</v>
      </c>
      <c r="G18" s="309">
        <f t="shared" si="1"/>
        <v>11</v>
      </c>
      <c r="H18" s="61"/>
      <c r="I18" s="61"/>
      <c r="J18" s="61"/>
      <c r="K18" s="61"/>
      <c r="L18" s="61"/>
      <c r="M18" s="61"/>
    </row>
    <row r="19" spans="1:13" ht="16.5" thickTop="1" thickBot="1" x14ac:dyDescent="0.4">
      <c r="A19" s="349">
        <f t="shared" si="0"/>
        <v>12</v>
      </c>
      <c r="B19" s="273"/>
      <c r="C19" s="274"/>
      <c r="D19" s="274"/>
      <c r="E19" s="274"/>
      <c r="F19" s="84"/>
      <c r="G19" s="350">
        <f>A19</f>
        <v>12</v>
      </c>
      <c r="H19" s="61"/>
      <c r="I19" s="61"/>
      <c r="J19" s="61"/>
      <c r="K19" s="61"/>
      <c r="L19" s="61"/>
      <c r="M19" s="61"/>
    </row>
    <row r="20" spans="1:13" s="224" customFormat="1" ht="17.5" x14ac:dyDescent="0.35">
      <c r="A20" s="870">
        <f t="shared" si="0"/>
        <v>13</v>
      </c>
      <c r="B20" s="351" t="s">
        <v>31</v>
      </c>
      <c r="C20" s="879"/>
      <c r="D20" s="879"/>
      <c r="E20" s="879"/>
      <c r="F20" s="880"/>
      <c r="G20" s="878">
        <f>A20</f>
        <v>13</v>
      </c>
      <c r="H20" s="881"/>
      <c r="I20" s="881"/>
      <c r="J20" s="881"/>
      <c r="K20" s="881"/>
      <c r="L20" s="881"/>
      <c r="M20" s="881"/>
    </row>
    <row r="21" spans="1:13" s="224" customFormat="1" ht="17.5" x14ac:dyDescent="0.35">
      <c r="A21" s="870">
        <f t="shared" si="0"/>
        <v>14</v>
      </c>
      <c r="B21" s="352"/>
      <c r="C21" s="879"/>
      <c r="D21" s="879"/>
      <c r="E21" s="942"/>
      <c r="F21" s="880"/>
      <c r="G21" s="878">
        <f t="shared" ref="G21:G26" si="3">A21</f>
        <v>14</v>
      </c>
      <c r="H21" s="881"/>
      <c r="I21" s="881"/>
      <c r="J21" s="881"/>
      <c r="K21" s="881"/>
      <c r="L21" s="881"/>
      <c r="M21" s="881"/>
    </row>
    <row r="22" spans="1:13" s="224" customFormat="1" ht="31" x14ac:dyDescent="0.35">
      <c r="A22" s="870">
        <f t="shared" si="0"/>
        <v>15</v>
      </c>
      <c r="B22" s="882" t="s">
        <v>501</v>
      </c>
      <c r="C22" s="883">
        <f>'WP 7 Wheeling Revenues'!C37</f>
        <v>-16245100.029999999</v>
      </c>
      <c r="D22" s="883">
        <f>'WP 7 Wheeling Revenues'!D37</f>
        <v>0</v>
      </c>
      <c r="E22" s="884">
        <f>SUM(C22:D22)</f>
        <v>-16245100.029999999</v>
      </c>
      <c r="F22" s="885" t="s">
        <v>410</v>
      </c>
      <c r="G22" s="878">
        <f t="shared" si="3"/>
        <v>15</v>
      </c>
      <c r="H22" s="881"/>
      <c r="I22" s="881"/>
      <c r="J22" s="881"/>
      <c r="K22" s="881"/>
      <c r="L22" s="881"/>
      <c r="M22" s="881"/>
    </row>
    <row r="23" spans="1:13" s="224" customFormat="1" ht="15.5" x14ac:dyDescent="0.35">
      <c r="A23" s="870">
        <f t="shared" si="0"/>
        <v>16</v>
      </c>
      <c r="B23" s="353"/>
      <c r="C23" s="883"/>
      <c r="D23" s="883"/>
      <c r="E23" s="884"/>
      <c r="F23" s="885"/>
      <c r="G23" s="878">
        <f t="shared" si="3"/>
        <v>16</v>
      </c>
      <c r="H23" s="881"/>
      <c r="I23" s="881"/>
      <c r="J23" s="881"/>
      <c r="K23" s="881"/>
      <c r="L23" s="881"/>
      <c r="M23" s="881"/>
    </row>
    <row r="24" spans="1:13" s="224" customFormat="1" ht="15.5" x14ac:dyDescent="0.35">
      <c r="A24" s="870">
        <f t="shared" si="0"/>
        <v>17</v>
      </c>
      <c r="B24" s="353" t="s">
        <v>399</v>
      </c>
      <c r="C24" s="886">
        <f>E18</f>
        <v>1</v>
      </c>
      <c r="D24" s="886">
        <v>0</v>
      </c>
      <c r="E24" s="886">
        <f>SUM(C24:D24)</f>
        <v>1</v>
      </c>
      <c r="F24" s="368" t="s">
        <v>190</v>
      </c>
      <c r="G24" s="878">
        <f t="shared" si="3"/>
        <v>17</v>
      </c>
      <c r="H24" s="881"/>
      <c r="I24" s="881"/>
      <c r="J24" s="881"/>
      <c r="K24" s="881"/>
      <c r="L24" s="881"/>
      <c r="M24" s="881"/>
    </row>
    <row r="25" spans="1:13" s="224" customFormat="1" ht="15.5" x14ac:dyDescent="0.35">
      <c r="A25" s="870">
        <f t="shared" si="0"/>
        <v>18</v>
      </c>
      <c r="B25" s="353"/>
      <c r="C25" s="887"/>
      <c r="D25" s="887"/>
      <c r="E25" s="887"/>
      <c r="F25" s="885"/>
      <c r="G25" s="878">
        <f t="shared" si="3"/>
        <v>18</v>
      </c>
      <c r="H25" s="881"/>
      <c r="I25" s="881"/>
      <c r="J25" s="881"/>
      <c r="K25" s="881"/>
      <c r="L25" s="881"/>
      <c r="M25" s="881"/>
    </row>
    <row r="26" spans="1:13" s="224" customFormat="1" ht="16" thickBot="1" x14ac:dyDescent="0.4">
      <c r="A26" s="870">
        <f>A25+1</f>
        <v>19</v>
      </c>
      <c r="B26" s="888" t="s">
        <v>400</v>
      </c>
      <c r="C26" s="889">
        <f>C22*C24</f>
        <v>-16245100.029999999</v>
      </c>
      <c r="D26" s="889">
        <f>D22*D24</f>
        <v>0</v>
      </c>
      <c r="E26" s="890">
        <f>SUM(C26:D26)</f>
        <v>-16245100.029999999</v>
      </c>
      <c r="F26" s="368" t="s">
        <v>401</v>
      </c>
      <c r="G26" s="878">
        <f t="shared" si="3"/>
        <v>19</v>
      </c>
      <c r="H26" s="881"/>
      <c r="I26" s="881"/>
      <c r="J26" s="881"/>
      <c r="K26" s="881"/>
      <c r="L26" s="881"/>
      <c r="M26" s="881"/>
    </row>
    <row r="27" spans="1:13" s="224" customFormat="1" ht="16.5" thickTop="1" thickBot="1" x14ac:dyDescent="0.4">
      <c r="A27" s="891">
        <f t="shared" si="0"/>
        <v>20</v>
      </c>
      <c r="B27" s="892"/>
      <c r="C27" s="943"/>
      <c r="D27" s="893"/>
      <c r="E27" s="893"/>
      <c r="F27" s="894"/>
      <c r="G27" s="895">
        <f t="shared" ref="G27" si="4">G26+1</f>
        <v>20</v>
      </c>
      <c r="H27" s="881"/>
      <c r="I27" s="881"/>
      <c r="J27" s="881"/>
      <c r="K27" s="881"/>
      <c r="L27" s="881"/>
      <c r="M27" s="881"/>
    </row>
    <row r="28" spans="1:13" ht="15.5" x14ac:dyDescent="0.35">
      <c r="A28" s="346">
        <f>A27+1</f>
        <v>21</v>
      </c>
      <c r="B28" s="743" t="s">
        <v>402</v>
      </c>
      <c r="C28" s="744"/>
      <c r="D28" s="745"/>
      <c r="E28" s="744"/>
      <c r="F28" s="701"/>
      <c r="G28" s="529">
        <f>G27+1</f>
        <v>21</v>
      </c>
      <c r="H28" s="61"/>
      <c r="I28" s="61"/>
      <c r="J28" s="61"/>
      <c r="K28" s="61"/>
      <c r="L28" s="61"/>
      <c r="M28" s="61"/>
    </row>
    <row r="29" spans="1:13" ht="15.5" x14ac:dyDescent="0.35">
      <c r="A29" s="308">
        <f>A28+1</f>
        <v>22</v>
      </c>
      <c r="B29" s="746"/>
      <c r="C29" s="181"/>
      <c r="D29" s="60"/>
      <c r="E29" s="944"/>
      <c r="F29" s="747"/>
      <c r="G29" s="406">
        <f>G28+1</f>
        <v>22</v>
      </c>
      <c r="H29" s="61"/>
      <c r="I29" s="61"/>
      <c r="J29" s="61"/>
      <c r="K29" s="61"/>
      <c r="L29" s="61"/>
      <c r="M29" s="61"/>
    </row>
    <row r="30" spans="1:13" ht="29" thickBot="1" x14ac:dyDescent="0.4">
      <c r="A30" s="308">
        <f t="shared" ref="A30:A39" si="5">A29+1</f>
        <v>23</v>
      </c>
      <c r="B30" s="862" t="s">
        <v>502</v>
      </c>
      <c r="C30" s="748"/>
      <c r="D30" s="113"/>
      <c r="E30" s="266">
        <f>'WP 8 CT4575'!C34</f>
        <v>12000</v>
      </c>
      <c r="F30" s="77" t="s">
        <v>423</v>
      </c>
      <c r="G30" s="406">
        <f t="shared" ref="G30:G33" si="6">G29+1</f>
        <v>23</v>
      </c>
      <c r="H30" s="61"/>
      <c r="I30" s="61"/>
      <c r="J30" s="61"/>
      <c r="K30" s="61"/>
      <c r="L30" s="61"/>
      <c r="M30" s="61"/>
    </row>
    <row r="31" spans="1:13" ht="16" thickTop="1" x14ac:dyDescent="0.35">
      <c r="A31" s="308">
        <f t="shared" si="5"/>
        <v>24</v>
      </c>
      <c r="B31" s="92" t="s">
        <v>71</v>
      </c>
      <c r="C31" s="181"/>
      <c r="D31" s="60"/>
      <c r="E31" s="181"/>
      <c r="F31" s="33"/>
      <c r="G31" s="406">
        <f t="shared" si="6"/>
        <v>24</v>
      </c>
      <c r="H31" s="61"/>
      <c r="I31" s="61"/>
      <c r="J31" s="61"/>
      <c r="K31" s="61"/>
      <c r="L31" s="61"/>
      <c r="M31" s="61"/>
    </row>
    <row r="32" spans="1:13" ht="15.5" x14ac:dyDescent="0.35">
      <c r="A32" s="308">
        <f t="shared" si="5"/>
        <v>25</v>
      </c>
      <c r="B32" s="92"/>
      <c r="C32" s="181"/>
      <c r="D32" s="60"/>
      <c r="E32" s="181"/>
      <c r="F32" s="33"/>
      <c r="G32" s="406">
        <f t="shared" si="6"/>
        <v>25</v>
      </c>
      <c r="H32" s="61"/>
      <c r="I32" s="61"/>
      <c r="J32" s="61"/>
      <c r="K32" s="61"/>
      <c r="L32" s="61"/>
      <c r="M32" s="61"/>
    </row>
    <row r="33" spans="1:13" ht="16" thickBot="1" x14ac:dyDescent="0.4">
      <c r="A33" s="308">
        <f t="shared" si="5"/>
        <v>26</v>
      </c>
      <c r="B33" s="81" t="s">
        <v>403</v>
      </c>
      <c r="C33" s="219">
        <f>$E$30*$C$18</f>
        <v>6688.9967756617143</v>
      </c>
      <c r="D33" s="219">
        <f>$E$30*$D$18</f>
        <v>5311.0032243382857</v>
      </c>
      <c r="E33" s="219">
        <f>SUM(C33:D33)</f>
        <v>12000</v>
      </c>
      <c r="F33" s="33" t="s">
        <v>441</v>
      </c>
      <c r="G33" s="406">
        <f t="shared" si="6"/>
        <v>26</v>
      </c>
      <c r="H33" s="61"/>
      <c r="I33" s="61"/>
      <c r="J33" s="61"/>
      <c r="K33" s="61"/>
      <c r="L33" s="61"/>
      <c r="M33" s="61"/>
    </row>
    <row r="34" spans="1:13" ht="19" thickTop="1" thickBot="1" x14ac:dyDescent="0.45">
      <c r="A34" s="349">
        <f t="shared" si="5"/>
        <v>27</v>
      </c>
      <c r="B34" s="749"/>
      <c r="C34" s="945"/>
      <c r="D34" s="750"/>
      <c r="E34" s="114"/>
      <c r="F34" s="751"/>
      <c r="G34" s="535">
        <f>G33+1</f>
        <v>27</v>
      </c>
      <c r="H34" s="61"/>
      <c r="I34" s="61"/>
      <c r="J34" s="61"/>
      <c r="K34" s="61"/>
      <c r="L34" s="61"/>
      <c r="M34" s="61"/>
    </row>
    <row r="35" spans="1:13" ht="15.5" x14ac:dyDescent="0.35">
      <c r="A35" s="308">
        <f t="shared" si="5"/>
        <v>28</v>
      </c>
      <c r="B35" s="746" t="s">
        <v>404</v>
      </c>
      <c r="C35" s="110"/>
      <c r="D35" s="946"/>
      <c r="E35" s="744"/>
      <c r="F35" s="747"/>
      <c r="G35" s="406">
        <f>G34+1</f>
        <v>28</v>
      </c>
      <c r="H35" s="61"/>
      <c r="I35" s="61"/>
      <c r="J35" s="61"/>
      <c r="K35" s="61"/>
      <c r="L35" s="61"/>
      <c r="M35" s="61"/>
    </row>
    <row r="36" spans="1:13" ht="15.5" x14ac:dyDescent="0.35">
      <c r="A36" s="308">
        <f t="shared" si="5"/>
        <v>29</v>
      </c>
      <c r="B36" s="746"/>
      <c r="C36" s="110"/>
      <c r="D36" s="947"/>
      <c r="E36" s="944"/>
      <c r="F36" s="77"/>
      <c r="G36" s="406">
        <f t="shared" ref="G36:G39" si="7">G35+1</f>
        <v>29</v>
      </c>
      <c r="H36" s="61"/>
      <c r="I36" s="61"/>
      <c r="J36" s="61"/>
      <c r="K36" s="61"/>
      <c r="L36" s="61"/>
      <c r="M36" s="61"/>
    </row>
    <row r="37" spans="1:13" ht="29" thickBot="1" x14ac:dyDescent="0.4">
      <c r="A37" s="308">
        <f t="shared" si="5"/>
        <v>30</v>
      </c>
      <c r="B37" s="862" t="s">
        <v>503</v>
      </c>
      <c r="C37" s="110"/>
      <c r="D37" s="947"/>
      <c r="E37" s="80">
        <f>'WP 9 ETC Cost Diffs'!C34</f>
        <v>772854.75999999989</v>
      </c>
      <c r="F37" s="77" t="s">
        <v>424</v>
      </c>
      <c r="G37" s="406">
        <f t="shared" si="7"/>
        <v>30</v>
      </c>
      <c r="H37" s="61"/>
      <c r="I37" s="61"/>
      <c r="J37" s="61"/>
      <c r="K37" s="61"/>
      <c r="L37" s="61"/>
      <c r="M37" s="61"/>
    </row>
    <row r="38" spans="1:13" ht="16" thickTop="1" x14ac:dyDescent="0.35">
      <c r="A38" s="308">
        <f t="shared" si="5"/>
        <v>31</v>
      </c>
      <c r="B38" s="746"/>
      <c r="C38" s="110"/>
      <c r="D38" s="947"/>
      <c r="E38" s="110"/>
      <c r="F38" s="77"/>
      <c r="G38" s="406">
        <f t="shared" si="7"/>
        <v>31</v>
      </c>
      <c r="H38" s="61"/>
      <c r="I38" s="61"/>
      <c r="J38" s="61"/>
      <c r="K38" s="61"/>
      <c r="L38" s="61"/>
      <c r="M38" s="61"/>
    </row>
    <row r="39" spans="1:13" ht="16" thickBot="1" x14ac:dyDescent="0.4">
      <c r="A39" s="308">
        <f t="shared" si="5"/>
        <v>32</v>
      </c>
      <c r="B39" s="81" t="s">
        <v>405</v>
      </c>
      <c r="C39" s="219">
        <f>$E$37*$C$18</f>
        <v>430801.91647456726</v>
      </c>
      <c r="D39" s="219">
        <f>$E$37*$D$18</f>
        <v>342052.84352543263</v>
      </c>
      <c r="E39" s="219">
        <f>SUM(C39:D39)</f>
        <v>772854.75999999989</v>
      </c>
      <c r="F39" s="33" t="s">
        <v>442</v>
      </c>
      <c r="G39" s="406">
        <f t="shared" si="7"/>
        <v>32</v>
      </c>
      <c r="H39" s="61"/>
      <c r="I39" s="61"/>
      <c r="J39" s="61"/>
      <c r="K39" s="61"/>
      <c r="L39" s="61"/>
      <c r="M39" s="61"/>
    </row>
    <row r="40" spans="1:13" ht="16.5" thickTop="1" thickBot="1" x14ac:dyDescent="0.4">
      <c r="A40" s="349">
        <f>A39+1</f>
        <v>33</v>
      </c>
      <c r="B40" s="488"/>
      <c r="C40" s="945"/>
      <c r="D40" s="87"/>
      <c r="E40" s="88"/>
      <c r="F40" s="182"/>
      <c r="G40" s="535">
        <f>G39+1</f>
        <v>33</v>
      </c>
      <c r="H40" s="61"/>
      <c r="I40" s="61"/>
      <c r="J40" s="61"/>
      <c r="K40" s="61"/>
      <c r="L40" s="61"/>
      <c r="M40" s="61"/>
    </row>
    <row r="41" spans="1:13" ht="15.5" x14ac:dyDescent="0.35">
      <c r="A41" s="752">
        <f>A40+1</f>
        <v>34</v>
      </c>
      <c r="B41" s="743" t="s">
        <v>406</v>
      </c>
      <c r="C41" s="744"/>
      <c r="D41" s="745"/>
      <c r="E41" s="528"/>
      <c r="F41" s="525"/>
      <c r="G41" s="529">
        <f>G40+1</f>
        <v>34</v>
      </c>
      <c r="H41" s="61"/>
      <c r="I41" s="61"/>
      <c r="J41" s="61"/>
      <c r="K41" s="61"/>
      <c r="L41" s="61"/>
      <c r="M41" s="61"/>
    </row>
    <row r="42" spans="1:13" ht="15.5" x14ac:dyDescent="0.35">
      <c r="A42" s="214">
        <f>A41+1</f>
        <v>35</v>
      </c>
      <c r="B42" s="746"/>
      <c r="C42" s="181"/>
      <c r="D42" s="60"/>
      <c r="E42" s="526"/>
      <c r="F42" s="181"/>
      <c r="G42" s="406">
        <f>G41+1</f>
        <v>35</v>
      </c>
      <c r="H42" s="61"/>
      <c r="I42" s="61"/>
      <c r="J42" s="61"/>
      <c r="K42" s="61"/>
      <c r="L42" s="61"/>
      <c r="M42" s="61"/>
    </row>
    <row r="43" spans="1:13" ht="32.5" customHeight="1" thickBot="1" x14ac:dyDescent="0.4">
      <c r="A43" s="214">
        <f>A42+1</f>
        <v>36</v>
      </c>
      <c r="B43" s="862" t="s">
        <v>504</v>
      </c>
      <c r="C43" s="748"/>
      <c r="D43" s="948"/>
      <c r="E43" s="277">
        <f>'WP 12 PTO'!P19</f>
        <v>-908703.00999999989</v>
      </c>
      <c r="F43" s="77" t="s">
        <v>533</v>
      </c>
      <c r="G43" s="406">
        <f t="shared" ref="G43:G49" si="8">G42+1</f>
        <v>36</v>
      </c>
      <c r="H43" s="61"/>
      <c r="I43" s="61"/>
      <c r="J43" s="61"/>
      <c r="K43" s="61"/>
      <c r="L43" s="61"/>
      <c r="M43" s="61"/>
    </row>
    <row r="44" spans="1:13" ht="18" thickTop="1" x14ac:dyDescent="0.35">
      <c r="A44" s="214">
        <f t="shared" ref="A44:A48" si="9">A43+1</f>
        <v>37</v>
      </c>
      <c r="B44" s="862"/>
      <c r="C44" s="748"/>
      <c r="D44" s="948"/>
      <c r="E44" s="1006"/>
      <c r="F44" s="77"/>
      <c r="G44" s="406">
        <f t="shared" si="8"/>
        <v>37</v>
      </c>
      <c r="H44" s="61"/>
      <c r="I44" s="61"/>
      <c r="J44" s="61"/>
      <c r="K44" s="61"/>
      <c r="L44" s="61"/>
      <c r="M44" s="61"/>
    </row>
    <row r="45" spans="1:13" ht="28.5" x14ac:dyDescent="0.35">
      <c r="A45" s="214">
        <f t="shared" si="9"/>
        <v>38</v>
      </c>
      <c r="B45" s="1110" t="s">
        <v>535</v>
      </c>
      <c r="C45" s="16">
        <f>'WP 12 PTO'!P33</f>
        <v>-1703173.05</v>
      </c>
      <c r="D45" s="1009">
        <f>'WP 12 PTO'!P34</f>
        <v>-89203.12</v>
      </c>
      <c r="E45" s="279">
        <f>SUM(C45:D45)</f>
        <v>-1792376.17</v>
      </c>
      <c r="F45" s="1109" t="s">
        <v>534</v>
      </c>
      <c r="G45" s="406">
        <f t="shared" si="8"/>
        <v>38</v>
      </c>
      <c r="H45" s="61"/>
      <c r="I45" s="61"/>
      <c r="J45" s="61"/>
      <c r="K45" s="61"/>
      <c r="L45" s="61"/>
      <c r="M45" s="61"/>
    </row>
    <row r="46" spans="1:13" ht="17.5" x14ac:dyDescent="0.35">
      <c r="A46" s="214">
        <f t="shared" si="9"/>
        <v>39</v>
      </c>
      <c r="B46" s="92"/>
      <c r="C46" s="748"/>
      <c r="D46" s="948"/>
      <c r="E46" s="279"/>
      <c r="F46" s="77"/>
      <c r="G46" s="406">
        <f t="shared" si="8"/>
        <v>39</v>
      </c>
      <c r="H46" s="61"/>
      <c r="I46" s="61"/>
      <c r="J46" s="61"/>
      <c r="K46" s="61"/>
      <c r="L46" s="61"/>
      <c r="M46" s="61"/>
    </row>
    <row r="47" spans="1:13" ht="15.5" x14ac:dyDescent="0.35">
      <c r="A47" s="214">
        <f t="shared" si="9"/>
        <v>40</v>
      </c>
      <c r="B47" s="92" t="s">
        <v>469</v>
      </c>
      <c r="C47" s="1008">
        <f>$E$47*$C$18</f>
        <v>492573.90983156656</v>
      </c>
      <c r="D47" s="1008">
        <f>$E$47*$D$18</f>
        <v>391099.25016843347</v>
      </c>
      <c r="E47" s="1007">
        <f>E43-E45</f>
        <v>883673.16</v>
      </c>
      <c r="F47" s="91" t="s">
        <v>470</v>
      </c>
      <c r="G47" s="406">
        <f t="shared" si="8"/>
        <v>40</v>
      </c>
      <c r="H47" s="61"/>
      <c r="I47" s="61"/>
      <c r="J47" s="61"/>
      <c r="K47" s="61"/>
      <c r="L47" s="61"/>
      <c r="M47" s="61"/>
    </row>
    <row r="48" spans="1:13" ht="15.5" x14ac:dyDescent="0.35">
      <c r="A48" s="214">
        <f t="shared" si="9"/>
        <v>41</v>
      </c>
      <c r="B48" s="746"/>
      <c r="C48" s="271"/>
      <c r="D48" s="799"/>
      <c r="E48" s="800"/>
      <c r="F48" s="91"/>
      <c r="G48" s="406">
        <f t="shared" si="8"/>
        <v>41</v>
      </c>
      <c r="H48" s="61"/>
      <c r="I48" s="61"/>
      <c r="J48" s="61"/>
      <c r="K48" s="61"/>
      <c r="L48" s="61"/>
      <c r="M48" s="61"/>
    </row>
    <row r="49" spans="1:13" ht="16" thickBot="1" x14ac:dyDescent="0.4">
      <c r="A49" s="214">
        <f t="shared" ref="A49" si="10">A48+1</f>
        <v>42</v>
      </c>
      <c r="B49" s="81" t="s">
        <v>479</v>
      </c>
      <c r="C49" s="219">
        <f>C45+C47</f>
        <v>-1210599.1401684335</v>
      </c>
      <c r="D49" s="219">
        <f t="shared" ref="D49" si="11">D45+D47</f>
        <v>301896.13016843348</v>
      </c>
      <c r="E49" s="219">
        <f>SUM(C49:D49)</f>
        <v>-908703.01</v>
      </c>
      <c r="F49" s="33" t="s">
        <v>439</v>
      </c>
      <c r="G49" s="406">
        <f t="shared" si="8"/>
        <v>42</v>
      </c>
      <c r="H49" s="61"/>
      <c r="I49" s="61"/>
      <c r="J49" s="61"/>
      <c r="K49" s="61"/>
      <c r="L49" s="61"/>
      <c r="M49" s="61"/>
    </row>
    <row r="50" spans="1:13" ht="19" thickTop="1" thickBot="1" x14ac:dyDescent="0.45">
      <c r="A50" s="754">
        <f>A49+1</f>
        <v>43</v>
      </c>
      <c r="B50" s="749"/>
      <c r="C50" s="945"/>
      <c r="D50" s="750"/>
      <c r="E50" s="755"/>
      <c r="F50" s="756"/>
      <c r="G50" s="535">
        <f>G49+1</f>
        <v>43</v>
      </c>
      <c r="H50" s="61"/>
      <c r="I50" s="61"/>
      <c r="J50" s="61"/>
      <c r="K50" s="61"/>
      <c r="L50" s="61"/>
      <c r="M50" s="61"/>
    </row>
    <row r="51" spans="1:13" ht="15.5" x14ac:dyDescent="0.35">
      <c r="A51" s="214"/>
      <c r="B51" s="78"/>
      <c r="C51" s="949"/>
      <c r="D51" s="61"/>
      <c r="E51" s="61"/>
      <c r="F51" s="60"/>
      <c r="G51" s="42"/>
      <c r="H51" s="61"/>
      <c r="I51" s="61"/>
      <c r="J51" s="61"/>
      <c r="K51" s="61"/>
      <c r="L51" s="61"/>
      <c r="M51" s="61"/>
    </row>
    <row r="52" spans="1:13" ht="15.5" x14ac:dyDescent="0.35">
      <c r="A52" s="214"/>
      <c r="B52" s="78"/>
      <c r="C52" s="949"/>
      <c r="D52" s="61"/>
      <c r="E52" s="61"/>
      <c r="F52" s="60"/>
      <c r="G52" s="42"/>
      <c r="H52" s="61"/>
      <c r="I52" s="61"/>
      <c r="J52" s="61"/>
      <c r="K52" s="61"/>
      <c r="L52" s="61"/>
      <c r="M52" s="61"/>
    </row>
    <row r="53" spans="1:13" ht="15.5" x14ac:dyDescent="0.35">
      <c r="A53" s="214"/>
      <c r="B53" s="78"/>
      <c r="C53" s="949"/>
      <c r="D53" s="61"/>
      <c r="E53" s="61"/>
      <c r="F53" s="60"/>
      <c r="G53" s="42"/>
      <c r="H53" s="61"/>
      <c r="I53" s="61"/>
      <c r="J53" s="61"/>
      <c r="K53" s="61"/>
      <c r="L53" s="61"/>
      <c r="M53" s="61"/>
    </row>
    <row r="54" spans="1:13" ht="15.5" x14ac:dyDescent="0.35">
      <c r="A54" s="214"/>
      <c r="B54" s="78"/>
      <c r="C54" s="949"/>
      <c r="D54" s="61"/>
      <c r="E54" s="61"/>
      <c r="F54" s="60"/>
      <c r="G54" s="42"/>
      <c r="H54" s="61"/>
      <c r="I54" s="61"/>
      <c r="J54" s="61"/>
      <c r="K54" s="61"/>
      <c r="L54" s="61"/>
      <c r="M54" s="61"/>
    </row>
    <row r="55" spans="1:13" x14ac:dyDescent="0.3">
      <c r="A55" s="757"/>
      <c r="B55" s="78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1:13" ht="18.5" x14ac:dyDescent="0.35">
      <c r="A56" s="758"/>
      <c r="B56" s="54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1:13" ht="18.5" x14ac:dyDescent="0.35">
      <c r="A57" s="759"/>
      <c r="B57" s="54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1:13" x14ac:dyDescent="0.3">
      <c r="A58" s="760"/>
      <c r="B58" s="78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</sheetData>
  <mergeCells count="1">
    <mergeCell ref="A3:G3"/>
  </mergeCells>
  <printOptions horizontalCentered="1"/>
  <pageMargins left="0.25" right="0.25" top="0.5" bottom="0.5" header="0.25" footer="0.25"/>
  <pageSetup scale="64" orientation="landscape" r:id="rId1"/>
  <headerFooter alignWithMargins="0">
    <oddFooter>&amp;L&amp;"Times New Roman,Regular"&amp;14&amp;F&amp;C&amp;"Times New Roman,Regular"&amp;14Page 6.1&amp;R&amp;"Times New Roman,Regular"&amp;14&amp;A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105"/>
  <sheetViews>
    <sheetView zoomScale="80" zoomScaleNormal="80" workbookViewId="0"/>
  </sheetViews>
  <sheetFormatPr defaultColWidth="8.54296875" defaultRowHeight="15.5" x14ac:dyDescent="0.35"/>
  <cols>
    <col min="1" max="1" width="5.54296875" style="22" customWidth="1"/>
    <col min="2" max="2" width="40.54296875" style="551" customWidth="1"/>
    <col min="3" max="4" width="19.81640625" style="22" bestFit="1" customWidth="1"/>
    <col min="5" max="5" width="17.54296875" style="22" customWidth="1"/>
    <col min="6" max="6" width="41.54296875" style="22" bestFit="1" customWidth="1"/>
    <col min="7" max="7" width="5.54296875" style="22" customWidth="1"/>
    <col min="8" max="16384" width="8.54296875" style="22"/>
  </cols>
  <sheetData>
    <row r="1" spans="1:7" x14ac:dyDescent="0.35">
      <c r="A1" s="5"/>
      <c r="B1" s="41"/>
      <c r="C1" s="41"/>
      <c r="D1" s="41"/>
      <c r="E1" s="41"/>
      <c r="F1" s="41"/>
      <c r="G1" s="41"/>
    </row>
    <row r="2" spans="1:7" x14ac:dyDescent="0.35">
      <c r="A2" s="5" t="s">
        <v>108</v>
      </c>
      <c r="B2" s="41"/>
      <c r="C2" s="41"/>
      <c r="D2" s="41"/>
      <c r="E2" s="41"/>
      <c r="F2" s="41"/>
      <c r="G2" s="41"/>
    </row>
    <row r="3" spans="1:7" x14ac:dyDescent="0.35">
      <c r="A3" s="1115" t="str">
        <f>'Stmnt BD - Recorded KWH'!$A$4</f>
        <v>2021 - TRBAA Rate Filing</v>
      </c>
      <c r="B3" s="1115"/>
      <c r="C3" s="1115"/>
      <c r="D3" s="1115"/>
      <c r="E3" s="1115"/>
      <c r="F3" s="1115"/>
      <c r="G3" s="1115"/>
    </row>
    <row r="4" spans="1:7" x14ac:dyDescent="0.35">
      <c r="A4" s="5" t="s">
        <v>2</v>
      </c>
      <c r="B4" s="41"/>
      <c r="C4" s="41"/>
      <c r="D4" s="41"/>
      <c r="E4" s="41"/>
      <c r="F4" s="41"/>
      <c r="G4" s="41"/>
    </row>
    <row r="5" spans="1:7" ht="16" thickBot="1" x14ac:dyDescent="0.4">
      <c r="A5" s="41"/>
      <c r="B5" s="41"/>
      <c r="C5" s="41"/>
      <c r="D5" s="41"/>
      <c r="E5" s="41"/>
      <c r="F5" s="41"/>
      <c r="G5" s="41"/>
    </row>
    <row r="6" spans="1:7" x14ac:dyDescent="0.35">
      <c r="A6" s="334"/>
      <c r="B6" s="698"/>
      <c r="C6" s="189" t="s">
        <v>115</v>
      </c>
      <c r="D6" s="189" t="s">
        <v>132</v>
      </c>
      <c r="E6" s="189" t="s">
        <v>229</v>
      </c>
      <c r="F6" s="189" t="s">
        <v>230</v>
      </c>
      <c r="G6" s="652"/>
    </row>
    <row r="7" spans="1:7" x14ac:dyDescent="0.35">
      <c r="A7" s="655"/>
      <c r="B7" s="81"/>
      <c r="C7" s="696" t="s">
        <v>96</v>
      </c>
      <c r="D7" s="696" t="s">
        <v>98</v>
      </c>
      <c r="E7" s="696"/>
      <c r="F7" s="696"/>
      <c r="G7" s="656"/>
    </row>
    <row r="8" spans="1:7" x14ac:dyDescent="0.35">
      <c r="A8" s="655" t="s">
        <v>93</v>
      </c>
      <c r="B8" s="82"/>
      <c r="C8" s="696" t="s">
        <v>97</v>
      </c>
      <c r="D8" s="696" t="s">
        <v>97</v>
      </c>
      <c r="E8" s="696"/>
      <c r="F8" s="696"/>
      <c r="G8" s="656" t="s">
        <v>93</v>
      </c>
    </row>
    <row r="9" spans="1:7" ht="16" thickBot="1" x14ac:dyDescent="0.4">
      <c r="A9" s="678" t="s">
        <v>95</v>
      </c>
      <c r="B9" s="393" t="s">
        <v>259</v>
      </c>
      <c r="C9" s="761" t="s">
        <v>289</v>
      </c>
      <c r="D9" s="761" t="s">
        <v>38</v>
      </c>
      <c r="E9" s="702" t="s">
        <v>88</v>
      </c>
      <c r="F9" s="702" t="s">
        <v>91</v>
      </c>
      <c r="G9" s="679" t="s">
        <v>95</v>
      </c>
    </row>
    <row r="10" spans="1:7" x14ac:dyDescent="0.35">
      <c r="A10" s="308"/>
      <c r="B10" s="910"/>
      <c r="C10" s="19"/>
      <c r="D10" s="19"/>
      <c r="E10" s="19"/>
      <c r="F10" s="19"/>
      <c r="G10" s="309"/>
    </row>
    <row r="11" spans="1:7" x14ac:dyDescent="0.35">
      <c r="A11" s="308">
        <v>1</v>
      </c>
      <c r="B11" s="762">
        <f>'Stmnt BD - Recorded KWH'!B12</f>
        <v>43739</v>
      </c>
      <c r="C11" s="19">
        <f>'WP 5 CAISO Charges'!C10</f>
        <v>-1893121.85</v>
      </c>
      <c r="D11" s="19">
        <v>0</v>
      </c>
      <c r="E11" s="19">
        <f>C11+D11</f>
        <v>-1893121.85</v>
      </c>
      <c r="F11" s="23" t="s">
        <v>296</v>
      </c>
      <c r="G11" s="309">
        <v>1</v>
      </c>
    </row>
    <row r="12" spans="1:7" x14ac:dyDescent="0.35">
      <c r="A12" s="308">
        <f>A11+1</f>
        <v>2</v>
      </c>
      <c r="B12" s="604"/>
      <c r="C12" s="19"/>
      <c r="D12" s="19"/>
      <c r="E12" s="19"/>
      <c r="F12" s="10"/>
      <c r="G12" s="309">
        <f>G11+1</f>
        <v>2</v>
      </c>
    </row>
    <row r="13" spans="1:7" x14ac:dyDescent="0.35">
      <c r="A13" s="308">
        <f t="shared" ref="A13:A37" si="0">A12+1</f>
        <v>3</v>
      </c>
      <c r="B13" s="762">
        <f>'Stmnt BD - Recorded KWH'!B13</f>
        <v>43770</v>
      </c>
      <c r="C13" s="31">
        <f>'WP 5 CAISO Charges'!D10</f>
        <v>-820210.59000000008</v>
      </c>
      <c r="D13" s="31">
        <v>0</v>
      </c>
      <c r="E13" s="31">
        <f t="shared" ref="E13:E33" si="1">C13+D13</f>
        <v>-820210.59000000008</v>
      </c>
      <c r="F13" s="23" t="str">
        <f>F11</f>
        <v>Work paper No. 5; Page 5.1 and 5.2; Line 4</v>
      </c>
      <c r="G13" s="309">
        <f t="shared" ref="G13:G37" si="2">G12+1</f>
        <v>3</v>
      </c>
    </row>
    <row r="14" spans="1:7" x14ac:dyDescent="0.35">
      <c r="A14" s="308">
        <f t="shared" si="0"/>
        <v>4</v>
      </c>
      <c r="B14" s="604"/>
      <c r="C14" s="31"/>
      <c r="D14" s="31"/>
      <c r="E14" s="31"/>
      <c r="F14" s="10"/>
      <c r="G14" s="309">
        <f t="shared" si="2"/>
        <v>4</v>
      </c>
    </row>
    <row r="15" spans="1:7" ht="16" thickBot="1" x14ac:dyDescent="0.4">
      <c r="A15" s="349">
        <f t="shared" si="0"/>
        <v>5</v>
      </c>
      <c r="B15" s="763">
        <f>'Stmnt BD - Recorded KWH'!B14</f>
        <v>43800</v>
      </c>
      <c r="C15" s="64">
        <f>'WP 5 CAISO Charges'!E10</f>
        <v>-916031.93</v>
      </c>
      <c r="D15" s="64">
        <v>0</v>
      </c>
      <c r="E15" s="64">
        <f t="shared" si="1"/>
        <v>-916031.93</v>
      </c>
      <c r="F15" s="764" t="str">
        <f>F11</f>
        <v>Work paper No. 5; Page 5.1 and 5.2; Line 4</v>
      </c>
      <c r="G15" s="350">
        <f t="shared" si="2"/>
        <v>5</v>
      </c>
    </row>
    <row r="16" spans="1:7" x14ac:dyDescent="0.35">
      <c r="A16" s="308">
        <f t="shared" si="0"/>
        <v>6</v>
      </c>
      <c r="B16" s="762"/>
      <c r="C16" s="31"/>
      <c r="D16" s="31"/>
      <c r="E16" s="31"/>
      <c r="F16" s="23"/>
      <c r="G16" s="309">
        <f t="shared" si="2"/>
        <v>6</v>
      </c>
    </row>
    <row r="17" spans="1:7" x14ac:dyDescent="0.35">
      <c r="A17" s="308">
        <f t="shared" si="0"/>
        <v>7</v>
      </c>
      <c r="B17" s="762">
        <f>'Stmnt BD - Recorded KWH'!B15</f>
        <v>43831</v>
      </c>
      <c r="C17" s="31">
        <f>'WP 5 CAISO Charges'!F10</f>
        <v>-1118172.1499999999</v>
      </c>
      <c r="D17" s="31">
        <v>0</v>
      </c>
      <c r="E17" s="31">
        <f t="shared" si="1"/>
        <v>-1118172.1499999999</v>
      </c>
      <c r="F17" s="23" t="str">
        <f>F11</f>
        <v>Work paper No. 5; Page 5.1 and 5.2; Line 4</v>
      </c>
      <c r="G17" s="309">
        <f t="shared" si="2"/>
        <v>7</v>
      </c>
    </row>
    <row r="18" spans="1:7" x14ac:dyDescent="0.35">
      <c r="A18" s="308">
        <f t="shared" si="0"/>
        <v>8</v>
      </c>
      <c r="B18" s="604"/>
      <c r="C18" s="19"/>
      <c r="D18" s="19"/>
      <c r="E18" s="31"/>
      <c r="F18" s="10"/>
      <c r="G18" s="309">
        <f t="shared" si="2"/>
        <v>8</v>
      </c>
    </row>
    <row r="19" spans="1:7" x14ac:dyDescent="0.35">
      <c r="A19" s="308">
        <f t="shared" si="0"/>
        <v>9</v>
      </c>
      <c r="B19" s="762">
        <f>'Stmnt BD - Recorded KWH'!B16</f>
        <v>43862</v>
      </c>
      <c r="C19" s="31">
        <f>'WP 5 CAISO Charges'!G10</f>
        <v>-611977.38</v>
      </c>
      <c r="D19" s="31">
        <v>0</v>
      </c>
      <c r="E19" s="31">
        <f t="shared" si="1"/>
        <v>-611977.38</v>
      </c>
      <c r="F19" s="23" t="str">
        <f>F11</f>
        <v>Work paper No. 5; Page 5.1 and 5.2; Line 4</v>
      </c>
      <c r="G19" s="309">
        <f t="shared" si="2"/>
        <v>9</v>
      </c>
    </row>
    <row r="20" spans="1:7" x14ac:dyDescent="0.35">
      <c r="A20" s="308">
        <f t="shared" si="0"/>
        <v>10</v>
      </c>
      <c r="B20" s="604"/>
      <c r="C20" s="31"/>
      <c r="D20" s="31"/>
      <c r="E20" s="31"/>
      <c r="F20" s="10"/>
      <c r="G20" s="309">
        <f t="shared" si="2"/>
        <v>10</v>
      </c>
    </row>
    <row r="21" spans="1:7" ht="16" thickBot="1" x14ac:dyDescent="0.4">
      <c r="A21" s="349">
        <f t="shared" si="0"/>
        <v>11</v>
      </c>
      <c r="B21" s="763">
        <f>'Stmnt BD - Recorded KWH'!B17</f>
        <v>43891</v>
      </c>
      <c r="C21" s="64">
        <f>'WP 5 CAISO Charges'!H10</f>
        <v>-680072.56</v>
      </c>
      <c r="D21" s="64">
        <v>0</v>
      </c>
      <c r="E21" s="64">
        <f t="shared" si="1"/>
        <v>-680072.56</v>
      </c>
      <c r="F21" s="764" t="str">
        <f>F11</f>
        <v>Work paper No. 5; Page 5.1 and 5.2; Line 4</v>
      </c>
      <c r="G21" s="350">
        <f t="shared" si="2"/>
        <v>11</v>
      </c>
    </row>
    <row r="22" spans="1:7" x14ac:dyDescent="0.35">
      <c r="A22" s="308">
        <f t="shared" si="0"/>
        <v>12</v>
      </c>
      <c r="B22" s="604"/>
      <c r="C22" s="31"/>
      <c r="D22" s="31"/>
      <c r="E22" s="31"/>
      <c r="F22" s="10"/>
      <c r="G22" s="309">
        <f t="shared" si="2"/>
        <v>12</v>
      </c>
    </row>
    <row r="23" spans="1:7" x14ac:dyDescent="0.35">
      <c r="A23" s="308">
        <f t="shared" si="0"/>
        <v>13</v>
      </c>
      <c r="B23" s="762">
        <f>'Stmnt BD - Recorded KWH'!B18</f>
        <v>43922</v>
      </c>
      <c r="C23" s="31">
        <f>'WP 5 CAISO Charges'!I10</f>
        <v>-755472.47</v>
      </c>
      <c r="D23" s="31">
        <v>0</v>
      </c>
      <c r="E23" s="31">
        <f t="shared" si="1"/>
        <v>-755472.47</v>
      </c>
      <c r="F23" s="23" t="str">
        <f>F11</f>
        <v>Work paper No. 5; Page 5.1 and 5.2; Line 4</v>
      </c>
      <c r="G23" s="309">
        <f t="shared" si="2"/>
        <v>13</v>
      </c>
    </row>
    <row r="24" spans="1:7" x14ac:dyDescent="0.35">
      <c r="A24" s="308">
        <f t="shared" si="0"/>
        <v>14</v>
      </c>
      <c r="B24" s="604"/>
      <c r="C24" s="19"/>
      <c r="D24" s="19"/>
      <c r="E24" s="31"/>
      <c r="F24" s="10"/>
      <c r="G24" s="309">
        <f t="shared" si="2"/>
        <v>14</v>
      </c>
    </row>
    <row r="25" spans="1:7" x14ac:dyDescent="0.35">
      <c r="A25" s="308">
        <f t="shared" si="0"/>
        <v>15</v>
      </c>
      <c r="B25" s="762">
        <f>'Stmnt BD - Recorded KWH'!B19</f>
        <v>43952</v>
      </c>
      <c r="C25" s="31">
        <f>'WP 5 CAISO Charges'!J10</f>
        <v>-713839.85</v>
      </c>
      <c r="D25" s="31">
        <v>0</v>
      </c>
      <c r="E25" s="31">
        <f t="shared" si="1"/>
        <v>-713839.85</v>
      </c>
      <c r="F25" s="23" t="str">
        <f>F11</f>
        <v>Work paper No. 5; Page 5.1 and 5.2; Line 4</v>
      </c>
      <c r="G25" s="309">
        <f t="shared" si="2"/>
        <v>15</v>
      </c>
    </row>
    <row r="26" spans="1:7" x14ac:dyDescent="0.35">
      <c r="A26" s="308">
        <f t="shared" si="0"/>
        <v>16</v>
      </c>
      <c r="B26" s="604"/>
      <c r="C26" s="31"/>
      <c r="D26" s="31"/>
      <c r="E26" s="31"/>
      <c r="F26" s="10"/>
      <c r="G26" s="309">
        <f t="shared" si="2"/>
        <v>16</v>
      </c>
    </row>
    <row r="27" spans="1:7" ht="16" thickBot="1" x14ac:dyDescent="0.4">
      <c r="A27" s="349">
        <f t="shared" si="0"/>
        <v>17</v>
      </c>
      <c r="B27" s="763">
        <f>'Stmnt BD - Recorded KWH'!B20</f>
        <v>43983</v>
      </c>
      <c r="C27" s="64">
        <f>'WP 5 CAISO Charges'!K10</f>
        <v>-1159779.92</v>
      </c>
      <c r="D27" s="64">
        <v>0</v>
      </c>
      <c r="E27" s="64">
        <f t="shared" si="1"/>
        <v>-1159779.92</v>
      </c>
      <c r="F27" s="764" t="str">
        <f>F11</f>
        <v>Work paper No. 5; Page 5.1 and 5.2; Line 4</v>
      </c>
      <c r="G27" s="350">
        <f t="shared" si="2"/>
        <v>17</v>
      </c>
    </row>
    <row r="28" spans="1:7" x14ac:dyDescent="0.35">
      <c r="A28" s="308">
        <f t="shared" si="0"/>
        <v>18</v>
      </c>
      <c r="B28" s="604"/>
      <c r="C28" s="31"/>
      <c r="D28" s="31"/>
      <c r="E28" s="31"/>
      <c r="F28" s="10"/>
      <c r="G28" s="309">
        <f t="shared" si="2"/>
        <v>18</v>
      </c>
    </row>
    <row r="29" spans="1:7" x14ac:dyDescent="0.35">
      <c r="A29" s="308">
        <f t="shared" si="0"/>
        <v>19</v>
      </c>
      <c r="B29" s="762">
        <f>'Stmnt BD - Recorded KWH'!B21</f>
        <v>44013</v>
      </c>
      <c r="C29" s="31">
        <f>'WP 5 CAISO Charges'!L10</f>
        <v>-1236960.6299999999</v>
      </c>
      <c r="D29" s="31">
        <v>0</v>
      </c>
      <c r="E29" s="31">
        <f t="shared" si="1"/>
        <v>-1236960.6299999999</v>
      </c>
      <c r="F29" s="23" t="str">
        <f>F11</f>
        <v>Work paper No. 5; Page 5.1 and 5.2; Line 4</v>
      </c>
      <c r="G29" s="309">
        <f t="shared" si="2"/>
        <v>19</v>
      </c>
    </row>
    <row r="30" spans="1:7" x14ac:dyDescent="0.35">
      <c r="A30" s="308">
        <f t="shared" si="0"/>
        <v>20</v>
      </c>
      <c r="B30" s="604"/>
      <c r="C30" s="19"/>
      <c r="D30" s="19"/>
      <c r="E30" s="31"/>
      <c r="F30" s="10"/>
      <c r="G30" s="309">
        <f t="shared" si="2"/>
        <v>20</v>
      </c>
    </row>
    <row r="31" spans="1:7" x14ac:dyDescent="0.35">
      <c r="A31" s="308">
        <f t="shared" si="0"/>
        <v>21</v>
      </c>
      <c r="B31" s="762">
        <f>'Stmnt BD - Recorded KWH'!B22</f>
        <v>44044</v>
      </c>
      <c r="C31" s="31">
        <f>'WP 5 CAISO Charges'!M10</f>
        <v>-3247089.89</v>
      </c>
      <c r="D31" s="31">
        <v>0</v>
      </c>
      <c r="E31" s="31">
        <f t="shared" si="1"/>
        <v>-3247089.89</v>
      </c>
      <c r="F31" s="23" t="str">
        <f>F11</f>
        <v>Work paper No. 5; Page 5.1 and 5.2; Line 4</v>
      </c>
      <c r="G31" s="309">
        <f t="shared" si="2"/>
        <v>21</v>
      </c>
    </row>
    <row r="32" spans="1:7" x14ac:dyDescent="0.35">
      <c r="A32" s="308">
        <f t="shared" si="0"/>
        <v>22</v>
      </c>
      <c r="B32" s="604"/>
      <c r="C32" s="31"/>
      <c r="D32" s="31"/>
      <c r="E32" s="31"/>
      <c r="F32" s="10"/>
      <c r="G32" s="309">
        <f t="shared" si="2"/>
        <v>22</v>
      </c>
    </row>
    <row r="33" spans="1:7" ht="16" thickBot="1" x14ac:dyDescent="0.4">
      <c r="A33" s="349">
        <f t="shared" si="0"/>
        <v>23</v>
      </c>
      <c r="B33" s="763">
        <f>'Stmnt BD - Recorded KWH'!B23</f>
        <v>44075</v>
      </c>
      <c r="C33" s="64">
        <f>'WP 5 CAISO Charges'!N10</f>
        <v>-3092370.81</v>
      </c>
      <c r="D33" s="64">
        <v>0</v>
      </c>
      <c r="E33" s="89">
        <f t="shared" si="1"/>
        <v>-3092370.81</v>
      </c>
      <c r="F33" s="764" t="str">
        <f>F11</f>
        <v>Work paper No. 5; Page 5.1 and 5.2; Line 4</v>
      </c>
      <c r="G33" s="350">
        <f t="shared" si="2"/>
        <v>23</v>
      </c>
    </row>
    <row r="34" spans="1:7" x14ac:dyDescent="0.35">
      <c r="A34" s="308">
        <f t="shared" si="0"/>
        <v>24</v>
      </c>
      <c r="B34" s="10"/>
      <c r="C34" s="19"/>
      <c r="D34" s="19"/>
      <c r="E34" s="19"/>
      <c r="F34" s="10"/>
      <c r="G34" s="309">
        <f t="shared" si="2"/>
        <v>24</v>
      </c>
    </row>
    <row r="35" spans="1:7" ht="16" thickBot="1" x14ac:dyDescent="0.4">
      <c r="A35" s="308">
        <f t="shared" si="0"/>
        <v>25</v>
      </c>
      <c r="B35" s="82" t="s">
        <v>407</v>
      </c>
      <c r="C35" s="80">
        <f>SUM(C11:C33)</f>
        <v>-16245100.029999999</v>
      </c>
      <c r="D35" s="619">
        <f>SUM(D11:D33)</f>
        <v>0</v>
      </c>
      <c r="E35" s="80">
        <f>SUM(E11:E33)</f>
        <v>-16245100.029999999</v>
      </c>
      <c r="F35" s="29" t="s">
        <v>414</v>
      </c>
      <c r="G35" s="309">
        <f t="shared" si="2"/>
        <v>25</v>
      </c>
    </row>
    <row r="36" spans="1:7" ht="16" thickTop="1" x14ac:dyDescent="0.35">
      <c r="A36" s="308">
        <f t="shared" si="0"/>
        <v>26</v>
      </c>
      <c r="B36" s="82"/>
      <c r="C36" s="939"/>
      <c r="D36" s="774"/>
      <c r="E36" s="753"/>
      <c r="F36" s="23"/>
      <c r="G36" s="309">
        <f t="shared" si="2"/>
        <v>26</v>
      </c>
    </row>
    <row r="37" spans="1:7" ht="16" thickBot="1" x14ac:dyDescent="0.4">
      <c r="A37" s="308">
        <f t="shared" si="0"/>
        <v>27</v>
      </c>
      <c r="B37" s="82" t="s">
        <v>408</v>
      </c>
      <c r="C37" s="175">
        <f>C35</f>
        <v>-16245100.029999999</v>
      </c>
      <c r="D37" s="80">
        <f>D35</f>
        <v>0</v>
      </c>
      <c r="E37" s="773">
        <f>E35</f>
        <v>-16245100.029999999</v>
      </c>
      <c r="F37" s="29" t="s">
        <v>409</v>
      </c>
      <c r="G37" s="309">
        <f t="shared" si="2"/>
        <v>27</v>
      </c>
    </row>
    <row r="38" spans="1:7" ht="16.5" thickTop="1" thickBot="1" x14ac:dyDescent="0.4">
      <c r="A38" s="349">
        <f>A37+1</f>
        <v>28</v>
      </c>
      <c r="B38" s="669"/>
      <c r="C38" s="775"/>
      <c r="D38" s="765"/>
      <c r="E38" s="766"/>
      <c r="F38" s="63"/>
      <c r="G38" s="350">
        <f>G37+1</f>
        <v>28</v>
      </c>
    </row>
    <row r="39" spans="1:7" hidden="1" x14ac:dyDescent="0.35">
      <c r="A39" s="10"/>
      <c r="B39" s="22"/>
      <c r="G39" s="10"/>
    </row>
    <row r="40" spans="1:7" ht="16" hidden="1" thickBot="1" x14ac:dyDescent="0.4">
      <c r="A40" s="63"/>
      <c r="B40" s="87"/>
      <c r="C40" s="87"/>
      <c r="D40" s="87"/>
      <c r="E40" s="713"/>
      <c r="F40" s="87"/>
      <c r="G40" s="63"/>
    </row>
    <row r="41" spans="1:7" x14ac:dyDescent="0.35">
      <c r="A41" s="42"/>
      <c r="B41" s="177"/>
      <c r="C41" s="767"/>
      <c r="D41" s="767"/>
      <c r="E41" s="42"/>
      <c r="F41" s="42"/>
      <c r="G41" s="42"/>
    </row>
    <row r="42" spans="1:7" x14ac:dyDescent="0.35">
      <c r="A42" s="42"/>
      <c r="B42" s="185"/>
      <c r="C42" s="188"/>
      <c r="D42" s="188"/>
      <c r="E42" s="188"/>
      <c r="F42" s="42"/>
      <c r="G42" s="42"/>
    </row>
    <row r="43" spans="1:7" x14ac:dyDescent="0.35">
      <c r="A43" s="42"/>
      <c r="B43" s="54"/>
      <c r="C43" s="79"/>
      <c r="D43" s="79"/>
      <c r="E43" s="42"/>
      <c r="F43" s="42"/>
      <c r="G43" s="42"/>
    </row>
    <row r="44" spans="1:7" x14ac:dyDescent="0.35">
      <c r="A44" s="42"/>
      <c r="B44" s="54"/>
      <c r="C44" s="28"/>
      <c r="D44" s="504"/>
      <c r="E44" s="42"/>
      <c r="F44" s="42"/>
      <c r="G44" s="42"/>
    </row>
    <row r="45" spans="1:7" x14ac:dyDescent="0.35">
      <c r="A45" s="42"/>
      <c r="B45" s="54"/>
      <c r="C45" s="79"/>
      <c r="D45" s="188"/>
      <c r="E45" s="42"/>
      <c r="F45" s="42"/>
      <c r="G45" s="42"/>
    </row>
    <row r="46" spans="1:7" x14ac:dyDescent="0.35">
      <c r="A46" s="42"/>
      <c r="B46" s="54"/>
      <c r="C46" s="504"/>
      <c r="D46" s="504"/>
      <c r="E46" s="42"/>
      <c r="F46" s="42"/>
      <c r="G46" s="42"/>
    </row>
    <row r="47" spans="1:7" x14ac:dyDescent="0.35">
      <c r="A47" s="42"/>
      <c r="B47" s="185"/>
      <c r="C47" s="42"/>
      <c r="D47" s="42"/>
      <c r="E47" s="42"/>
      <c r="F47" s="42"/>
      <c r="G47" s="42"/>
    </row>
    <row r="48" spans="1:7" x14ac:dyDescent="0.35">
      <c r="A48" s="42"/>
      <c r="B48" s="185"/>
      <c r="C48" s="42"/>
      <c r="D48" s="42"/>
      <c r="E48" s="42"/>
      <c r="F48" s="42"/>
      <c r="G48" s="42"/>
    </row>
    <row r="49" spans="1:7" x14ac:dyDescent="0.35">
      <c r="A49" s="42"/>
      <c r="B49" s="54"/>
      <c r="C49" s="768"/>
      <c r="D49" s="768"/>
      <c r="E49" s="42"/>
      <c r="F49" s="42"/>
      <c r="G49" s="42"/>
    </row>
    <row r="50" spans="1:7" x14ac:dyDescent="0.35">
      <c r="A50" s="42"/>
      <c r="B50" s="54"/>
      <c r="C50" s="769"/>
      <c r="D50" s="769"/>
      <c r="E50" s="42"/>
      <c r="F50" s="42"/>
      <c r="G50" s="42"/>
    </row>
    <row r="51" spans="1:7" x14ac:dyDescent="0.35">
      <c r="A51" s="42"/>
      <c r="B51" s="54"/>
      <c r="C51" s="770"/>
      <c r="D51" s="770"/>
      <c r="E51" s="42"/>
      <c r="F51" s="42"/>
      <c r="G51" s="42"/>
    </row>
    <row r="52" spans="1:7" x14ac:dyDescent="0.35">
      <c r="A52" s="42"/>
      <c r="B52" s="185"/>
      <c r="C52" s="504"/>
      <c r="D52" s="504"/>
      <c r="E52" s="42"/>
      <c r="F52" s="42"/>
      <c r="G52" s="42"/>
    </row>
    <row r="53" spans="1:7" x14ac:dyDescent="0.35">
      <c r="A53" s="42"/>
      <c r="B53" s="185"/>
      <c r="C53" s="42"/>
      <c r="D53" s="42"/>
      <c r="E53" s="42"/>
      <c r="F53" s="42"/>
      <c r="G53" s="42"/>
    </row>
    <row r="54" spans="1:7" x14ac:dyDescent="0.35">
      <c r="A54" s="42"/>
      <c r="B54" s="54"/>
      <c r="C54" s="768"/>
      <c r="D54" s="768"/>
      <c r="E54" s="42"/>
      <c r="F54" s="42"/>
      <c r="G54" s="42"/>
    </row>
    <row r="55" spans="1:7" x14ac:dyDescent="0.35">
      <c r="A55" s="42"/>
      <c r="B55" s="54"/>
      <c r="C55" s="769"/>
      <c r="D55" s="769"/>
      <c r="E55" s="42"/>
      <c r="F55" s="42"/>
      <c r="G55" s="42"/>
    </row>
    <row r="56" spans="1:7" x14ac:dyDescent="0.35">
      <c r="A56" s="42"/>
      <c r="B56" s="54"/>
      <c r="C56" s="770"/>
      <c r="D56" s="770"/>
      <c r="E56" s="42"/>
      <c r="F56" s="42"/>
      <c r="G56" s="42"/>
    </row>
    <row r="57" spans="1:7" x14ac:dyDescent="0.35">
      <c r="A57" s="42"/>
      <c r="B57" s="185"/>
      <c r="C57" s="504"/>
      <c r="D57" s="504"/>
      <c r="E57" s="42"/>
      <c r="F57" s="42"/>
      <c r="G57" s="42"/>
    </row>
    <row r="58" spans="1:7" x14ac:dyDescent="0.35">
      <c r="A58" s="42"/>
      <c r="B58" s="185"/>
      <c r="C58" s="504"/>
      <c r="D58" s="504"/>
      <c r="E58" s="42"/>
      <c r="F58" s="42"/>
      <c r="G58" s="42"/>
    </row>
    <row r="59" spans="1:7" x14ac:dyDescent="0.35">
      <c r="A59" s="42"/>
      <c r="B59" s="185"/>
      <c r="C59" s="771"/>
      <c r="D59" s="771"/>
      <c r="E59" s="42"/>
      <c r="F59" s="42"/>
      <c r="G59" s="42"/>
    </row>
    <row r="60" spans="1:7" x14ac:dyDescent="0.35">
      <c r="A60" s="42"/>
      <c r="B60" s="54"/>
      <c r="C60" s="45"/>
      <c r="D60" s="45"/>
      <c r="E60" s="42"/>
      <c r="F60" s="42"/>
      <c r="G60" s="42"/>
    </row>
    <row r="61" spans="1:7" x14ac:dyDescent="0.35">
      <c r="A61" s="42"/>
      <c r="B61" s="45"/>
      <c r="C61" s="45"/>
      <c r="D61" s="45"/>
      <c r="E61" s="45"/>
      <c r="F61" s="45"/>
      <c r="G61" s="42"/>
    </row>
    <row r="62" spans="1:7" x14ac:dyDescent="0.35">
      <c r="A62" s="42"/>
      <c r="B62" s="45"/>
      <c r="C62" s="45"/>
      <c r="D62" s="45"/>
      <c r="E62" s="188"/>
      <c r="F62" s="45"/>
      <c r="G62" s="42"/>
    </row>
    <row r="63" spans="1:7" x14ac:dyDescent="0.35">
      <c r="A63" s="42"/>
      <c r="B63" s="177"/>
      <c r="C63" s="45"/>
      <c r="D63" s="45"/>
      <c r="E63" s="42"/>
      <c r="F63" s="42"/>
      <c r="G63" s="42"/>
    </row>
    <row r="64" spans="1:7" x14ac:dyDescent="0.35">
      <c r="A64" s="42"/>
      <c r="B64" s="54"/>
      <c r="C64" s="45"/>
      <c r="D64" s="772"/>
      <c r="E64" s="42"/>
      <c r="F64" s="42"/>
      <c r="G64" s="42"/>
    </row>
    <row r="65" spans="1:7" x14ac:dyDescent="0.35">
      <c r="A65" s="42"/>
      <c r="B65" s="530"/>
      <c r="C65" s="45"/>
      <c r="D65" s="45"/>
      <c r="E65" s="188"/>
      <c r="F65" s="42"/>
      <c r="G65" s="42"/>
    </row>
    <row r="66" spans="1:7" x14ac:dyDescent="0.35">
      <c r="A66" s="42"/>
      <c r="B66" s="177"/>
      <c r="C66" s="767"/>
      <c r="D66" s="767"/>
      <c r="E66" s="42"/>
      <c r="F66" s="42"/>
      <c r="G66" s="42"/>
    </row>
    <row r="67" spans="1:7" x14ac:dyDescent="0.35">
      <c r="A67" s="42"/>
      <c r="B67" s="185"/>
      <c r="C67" s="188"/>
      <c r="D67" s="188"/>
      <c r="E67" s="42"/>
      <c r="F67" s="42"/>
      <c r="G67" s="42"/>
    </row>
    <row r="68" spans="1:7" x14ac:dyDescent="0.35">
      <c r="A68" s="42"/>
      <c r="B68" s="54"/>
      <c r="C68" s="79"/>
      <c r="D68" s="79"/>
      <c r="E68" s="42"/>
      <c r="F68" s="42"/>
      <c r="G68" s="42"/>
    </row>
    <row r="69" spans="1:7" x14ac:dyDescent="0.35">
      <c r="A69" s="42"/>
      <c r="B69" s="54"/>
      <c r="C69" s="28"/>
      <c r="D69" s="504"/>
      <c r="E69" s="42"/>
      <c r="F69" s="42"/>
      <c r="G69" s="42"/>
    </row>
    <row r="70" spans="1:7" x14ac:dyDescent="0.35">
      <c r="A70" s="42"/>
      <c r="B70" s="54"/>
      <c r="C70" s="79"/>
      <c r="D70" s="188"/>
      <c r="E70" s="42"/>
      <c r="F70" s="42"/>
      <c r="G70" s="42"/>
    </row>
    <row r="71" spans="1:7" x14ac:dyDescent="0.35">
      <c r="A71" s="42"/>
      <c r="B71" s="54"/>
      <c r="C71" s="504"/>
      <c r="D71" s="504"/>
      <c r="E71" s="42"/>
      <c r="F71" s="42"/>
      <c r="G71" s="42"/>
    </row>
    <row r="72" spans="1:7" x14ac:dyDescent="0.35">
      <c r="A72" s="42"/>
      <c r="B72" s="185"/>
      <c r="C72" s="42"/>
      <c r="D72" s="42"/>
      <c r="E72" s="42"/>
      <c r="F72" s="42"/>
      <c r="G72" s="42"/>
    </row>
    <row r="73" spans="1:7" x14ac:dyDescent="0.35">
      <c r="A73" s="42"/>
      <c r="B73" s="185"/>
      <c r="C73" s="42"/>
      <c r="D73" s="42"/>
      <c r="E73" s="42"/>
      <c r="F73" s="42"/>
      <c r="G73" s="42"/>
    </row>
    <row r="74" spans="1:7" x14ac:dyDescent="0.35">
      <c r="A74" s="42"/>
      <c r="B74" s="54"/>
      <c r="C74" s="768"/>
      <c r="D74" s="768"/>
      <c r="E74" s="42"/>
      <c r="F74" s="42"/>
      <c r="G74" s="42"/>
    </row>
    <row r="75" spans="1:7" x14ac:dyDescent="0.35">
      <c r="A75" s="42"/>
      <c r="B75" s="54"/>
      <c r="C75" s="769"/>
      <c r="D75" s="769"/>
      <c r="E75" s="42"/>
      <c r="F75" s="42"/>
      <c r="G75" s="42"/>
    </row>
    <row r="76" spans="1:7" x14ac:dyDescent="0.35">
      <c r="A76" s="42"/>
      <c r="B76" s="54"/>
      <c r="C76" s="770"/>
      <c r="D76" s="770"/>
      <c r="E76" s="42"/>
      <c r="F76" s="42"/>
      <c r="G76" s="42"/>
    </row>
    <row r="77" spans="1:7" x14ac:dyDescent="0.35">
      <c r="A77" s="42"/>
      <c r="B77" s="185"/>
      <c r="C77" s="504"/>
      <c r="D77" s="504"/>
      <c r="E77" s="42"/>
      <c r="F77" s="42"/>
      <c r="G77" s="42"/>
    </row>
    <row r="78" spans="1:7" x14ac:dyDescent="0.35">
      <c r="A78" s="42"/>
      <c r="B78" s="185"/>
      <c r="C78" s="42"/>
      <c r="D78" s="42"/>
      <c r="E78" s="42"/>
      <c r="F78" s="42"/>
      <c r="G78" s="42"/>
    </row>
    <row r="79" spans="1:7" x14ac:dyDescent="0.35">
      <c r="A79" s="42"/>
      <c r="B79" s="54"/>
      <c r="C79" s="768"/>
      <c r="D79" s="768"/>
      <c r="E79" s="42"/>
      <c r="F79" s="42"/>
      <c r="G79" s="42"/>
    </row>
    <row r="80" spans="1:7" x14ac:dyDescent="0.35">
      <c r="A80" s="42"/>
      <c r="B80" s="54"/>
      <c r="C80" s="769"/>
      <c r="D80" s="769"/>
      <c r="E80" s="42"/>
      <c r="F80" s="42"/>
      <c r="G80" s="42"/>
    </row>
    <row r="81" spans="1:7" x14ac:dyDescent="0.35">
      <c r="A81" s="42"/>
      <c r="B81" s="54"/>
      <c r="C81" s="770"/>
      <c r="D81" s="770"/>
      <c r="E81" s="42"/>
      <c r="F81" s="42"/>
      <c r="G81" s="42"/>
    </row>
    <row r="82" spans="1:7" x14ac:dyDescent="0.35">
      <c r="A82" s="42"/>
      <c r="B82" s="185"/>
      <c r="C82" s="504"/>
      <c r="D82" s="504"/>
      <c r="E82" s="42"/>
      <c r="F82" s="42"/>
      <c r="G82" s="42"/>
    </row>
    <row r="83" spans="1:7" x14ac:dyDescent="0.35">
      <c r="A83" s="42"/>
      <c r="B83" s="185"/>
      <c r="C83" s="504"/>
      <c r="D83" s="504"/>
      <c r="E83" s="42"/>
      <c r="F83" s="42"/>
      <c r="G83" s="42"/>
    </row>
    <row r="84" spans="1:7" x14ac:dyDescent="0.35">
      <c r="A84" s="42"/>
      <c r="B84" s="185"/>
      <c r="C84" s="771"/>
      <c r="D84" s="771"/>
      <c r="E84" s="42"/>
      <c r="F84" s="42"/>
      <c r="G84" s="42"/>
    </row>
    <row r="85" spans="1:7" x14ac:dyDescent="0.35">
      <c r="A85" s="42"/>
      <c r="B85" s="54"/>
      <c r="C85" s="45"/>
      <c r="D85" s="45"/>
      <c r="E85" s="42"/>
      <c r="F85" s="42"/>
      <c r="G85" s="42"/>
    </row>
    <row r="86" spans="1:7" x14ac:dyDescent="0.35">
      <c r="A86" s="45"/>
      <c r="B86" s="54"/>
      <c r="C86" s="45"/>
      <c r="D86" s="45"/>
      <c r="E86" s="45"/>
      <c r="F86" s="45"/>
      <c r="G86" s="45"/>
    </row>
    <row r="87" spans="1:7" x14ac:dyDescent="0.35">
      <c r="A87" s="45"/>
      <c r="B87" s="54"/>
      <c r="C87" s="45"/>
      <c r="D87" s="45"/>
      <c r="E87" s="45"/>
      <c r="F87" s="45"/>
      <c r="G87" s="45"/>
    </row>
    <row r="88" spans="1:7" x14ac:dyDescent="0.35">
      <c r="A88" s="45"/>
      <c r="B88" s="54"/>
      <c r="C88" s="45"/>
      <c r="D88" s="45"/>
      <c r="E88" s="45"/>
      <c r="F88" s="45"/>
      <c r="G88" s="45"/>
    </row>
    <row r="89" spans="1:7" x14ac:dyDescent="0.35">
      <c r="A89" s="45"/>
      <c r="B89" s="54"/>
      <c r="C89" s="45"/>
      <c r="D89" s="45"/>
      <c r="E89" s="45"/>
      <c r="F89" s="45"/>
      <c r="G89" s="45"/>
    </row>
    <row r="90" spans="1:7" x14ac:dyDescent="0.35">
      <c r="A90" s="45"/>
      <c r="B90" s="54"/>
      <c r="C90" s="45"/>
      <c r="D90" s="45"/>
      <c r="E90" s="45"/>
      <c r="F90" s="45"/>
      <c r="G90" s="45"/>
    </row>
    <row r="91" spans="1:7" x14ac:dyDescent="0.35">
      <c r="A91" s="45"/>
      <c r="B91" s="54"/>
      <c r="C91" s="45"/>
      <c r="D91" s="45"/>
      <c r="E91" s="45"/>
      <c r="F91" s="45"/>
      <c r="G91" s="45"/>
    </row>
    <row r="92" spans="1:7" x14ac:dyDescent="0.35">
      <c r="A92" s="45"/>
      <c r="B92" s="54"/>
      <c r="C92" s="45"/>
      <c r="D92" s="45"/>
      <c r="E92" s="45"/>
      <c r="F92" s="45"/>
      <c r="G92" s="45"/>
    </row>
    <row r="93" spans="1:7" x14ac:dyDescent="0.35">
      <c r="A93" s="45"/>
      <c r="B93" s="54"/>
      <c r="C93" s="45"/>
      <c r="D93" s="45"/>
      <c r="E93" s="45"/>
      <c r="F93" s="45"/>
      <c r="G93" s="45"/>
    </row>
    <row r="94" spans="1:7" x14ac:dyDescent="0.35">
      <c r="A94" s="45"/>
      <c r="B94" s="54"/>
      <c r="C94" s="45"/>
      <c r="D94" s="45"/>
      <c r="E94" s="45"/>
      <c r="F94" s="45"/>
      <c r="G94" s="45"/>
    </row>
    <row r="95" spans="1:7" x14ac:dyDescent="0.35">
      <c r="A95" s="45"/>
      <c r="B95" s="54"/>
      <c r="C95" s="45"/>
      <c r="D95" s="45"/>
      <c r="E95" s="45"/>
      <c r="F95" s="45"/>
      <c r="G95" s="45"/>
    </row>
    <row r="96" spans="1:7" x14ac:dyDescent="0.35">
      <c r="A96" s="45"/>
      <c r="B96" s="54"/>
      <c r="C96" s="45"/>
      <c r="D96" s="45"/>
      <c r="E96" s="45"/>
      <c r="F96" s="45"/>
      <c r="G96" s="45"/>
    </row>
    <row r="97" spans="1:7" x14ac:dyDescent="0.35">
      <c r="A97" s="45"/>
      <c r="B97" s="54"/>
      <c r="C97" s="45"/>
      <c r="D97" s="45"/>
      <c r="E97" s="45"/>
      <c r="F97" s="45"/>
      <c r="G97" s="45"/>
    </row>
    <row r="98" spans="1:7" x14ac:dyDescent="0.35">
      <c r="A98" s="45"/>
      <c r="B98" s="54"/>
      <c r="C98" s="45"/>
      <c r="D98" s="45"/>
      <c r="E98" s="45"/>
      <c r="F98" s="45"/>
      <c r="G98" s="45"/>
    </row>
    <row r="99" spans="1:7" x14ac:dyDescent="0.35">
      <c r="A99" s="45"/>
      <c r="B99" s="54"/>
      <c r="C99" s="45"/>
      <c r="D99" s="45"/>
      <c r="E99" s="45"/>
      <c r="F99" s="45"/>
      <c r="G99" s="45"/>
    </row>
    <row r="100" spans="1:7" x14ac:dyDescent="0.35">
      <c r="A100" s="45"/>
      <c r="B100" s="54"/>
      <c r="C100" s="45"/>
      <c r="D100" s="45"/>
      <c r="E100" s="45"/>
      <c r="F100" s="45"/>
      <c r="G100" s="45"/>
    </row>
    <row r="101" spans="1:7" x14ac:dyDescent="0.35">
      <c r="A101" s="45"/>
      <c r="B101" s="54"/>
      <c r="C101" s="45"/>
      <c r="D101" s="45"/>
      <c r="E101" s="45"/>
      <c r="F101" s="45"/>
      <c r="G101" s="45"/>
    </row>
    <row r="102" spans="1:7" x14ac:dyDescent="0.35">
      <c r="A102" s="45"/>
      <c r="B102" s="54"/>
      <c r="C102" s="45"/>
      <c r="D102" s="45"/>
      <c r="E102" s="45"/>
      <c r="F102" s="45"/>
      <c r="G102" s="45"/>
    </row>
    <row r="103" spans="1:7" x14ac:dyDescent="0.35">
      <c r="A103" s="45"/>
      <c r="B103" s="54"/>
      <c r="C103" s="45"/>
      <c r="D103" s="45"/>
      <c r="E103" s="45"/>
      <c r="F103" s="45"/>
      <c r="G103" s="45"/>
    </row>
    <row r="104" spans="1:7" x14ac:dyDescent="0.35">
      <c r="A104" s="45"/>
      <c r="B104" s="54"/>
      <c r="C104" s="45"/>
      <c r="D104" s="45"/>
      <c r="E104" s="45"/>
      <c r="F104" s="45"/>
      <c r="G104" s="45"/>
    </row>
    <row r="105" spans="1:7" x14ac:dyDescent="0.35">
      <c r="A105" s="45"/>
      <c r="B105" s="54"/>
      <c r="C105" s="45"/>
      <c r="D105" s="45"/>
      <c r="E105" s="45"/>
      <c r="F105" s="45"/>
      <c r="G105" s="45"/>
    </row>
  </sheetData>
  <mergeCells count="1">
    <mergeCell ref="A3:G3"/>
  </mergeCells>
  <phoneticPr fontId="15" type="noConversion"/>
  <printOptions horizontalCentered="1"/>
  <pageMargins left="0" right="0" top="0.5" bottom="0.5" header="0.25" footer="0.25"/>
  <pageSetup scale="91" orientation="landscape" r:id="rId1"/>
  <headerFooter alignWithMargins="0">
    <oddFooter>&amp;L&amp;"Times New Roman,Regular"&amp;12&amp;F&amp;C&amp;"Times New Roman,Regular"&amp;12Page 7.1&amp;R&amp;"Times New Roman,Regular"&amp;12&amp;A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G46"/>
  <sheetViews>
    <sheetView zoomScale="80" zoomScaleNormal="80" workbookViewId="0"/>
  </sheetViews>
  <sheetFormatPr defaultColWidth="9.453125" defaultRowHeight="15.5" x14ac:dyDescent="0.35"/>
  <cols>
    <col min="1" max="1" width="5.54296875" style="116" customWidth="1"/>
    <col min="2" max="2" width="51.453125" style="120" customWidth="1"/>
    <col min="3" max="3" width="25.54296875" style="122" customWidth="1"/>
    <col min="4" max="4" width="41.54296875" style="116" bestFit="1" customWidth="1"/>
    <col min="5" max="5" width="5.54296875" style="116" customWidth="1"/>
    <col min="6" max="6" width="2.453125" style="116" bestFit="1" customWidth="1"/>
    <col min="7" max="16384" width="9.453125" style="116"/>
  </cols>
  <sheetData>
    <row r="2" spans="1:7" ht="15.75" customHeight="1" x14ac:dyDescent="0.35">
      <c r="A2" s="1115" t="s">
        <v>108</v>
      </c>
      <c r="B2" s="1115"/>
      <c r="C2" s="1115"/>
      <c r="D2" s="1115"/>
      <c r="E2" s="1115"/>
      <c r="F2" s="776"/>
      <c r="G2" s="776"/>
    </row>
    <row r="3" spans="1:7" ht="15.75" customHeight="1" x14ac:dyDescent="0.35">
      <c r="A3" s="1115" t="str">
        <f>'WP 7 Wheeling Revenues'!A3:G3</f>
        <v>2021 - TRBAA Rate Filing</v>
      </c>
      <c r="B3" s="1115"/>
      <c r="C3" s="1115"/>
      <c r="D3" s="1115"/>
      <c r="E3" s="1115"/>
      <c r="F3" s="777"/>
      <c r="G3" s="777"/>
    </row>
    <row r="4" spans="1:7" ht="15.75" customHeight="1" x14ac:dyDescent="0.35">
      <c r="A4" s="1115" t="s">
        <v>411</v>
      </c>
      <c r="B4" s="1115"/>
      <c r="C4" s="1115"/>
      <c r="D4" s="1115"/>
      <c r="E4" s="1115"/>
      <c r="F4" s="776"/>
      <c r="G4" s="776"/>
    </row>
    <row r="5" spans="1:7" ht="16.399999999999999" customHeight="1" thickBot="1" x14ac:dyDescent="0.4">
      <c r="A5" s="394"/>
      <c r="B5" s="778"/>
      <c r="C5" s="779"/>
      <c r="D5" s="779"/>
      <c r="E5" s="394"/>
    </row>
    <row r="6" spans="1:7" ht="45.5" thickBot="1" x14ac:dyDescent="0.4">
      <c r="A6" s="780" t="s">
        <v>83</v>
      </c>
      <c r="B6" s="393" t="s">
        <v>259</v>
      </c>
      <c r="C6" s="781" t="s">
        <v>412</v>
      </c>
      <c r="D6" s="702" t="s">
        <v>91</v>
      </c>
      <c r="E6" s="782" t="s">
        <v>83</v>
      </c>
    </row>
    <row r="7" spans="1:7" x14ac:dyDescent="0.35">
      <c r="A7" s="783"/>
      <c r="B7" s="938"/>
      <c r="C7" s="784"/>
      <c r="D7" s="10"/>
      <c r="E7" s="785"/>
    </row>
    <row r="8" spans="1:7" x14ac:dyDescent="0.35">
      <c r="A8" s="390">
        <v>1</v>
      </c>
      <c r="B8" s="117">
        <f>'WP 7 Wheeling Revenues'!B11</f>
        <v>43739</v>
      </c>
      <c r="C8" s="19">
        <f>'WP 5 CAISO Charges'!C13</f>
        <v>1000</v>
      </c>
      <c r="D8" s="23" t="s">
        <v>413</v>
      </c>
      <c r="E8" s="391">
        <v>1</v>
      </c>
      <c r="F8" s="933"/>
    </row>
    <row r="9" spans="1:7" x14ac:dyDescent="0.35">
      <c r="A9" s="390">
        <f>A8+1</f>
        <v>2</v>
      </c>
      <c r="B9" s="117"/>
      <c r="C9" s="19"/>
      <c r="D9" s="10"/>
      <c r="E9" s="391">
        <f>A9</f>
        <v>2</v>
      </c>
      <c r="F9" s="933"/>
    </row>
    <row r="10" spans="1:7" x14ac:dyDescent="0.35">
      <c r="A10" s="390">
        <f t="shared" ref="A10:A35" si="0">A9+1</f>
        <v>3</v>
      </c>
      <c r="B10" s="117">
        <f>'WP 7 Wheeling Revenues'!B13</f>
        <v>43770</v>
      </c>
      <c r="C10" s="31">
        <f>'WP 5 CAISO Charges'!D13</f>
        <v>1000</v>
      </c>
      <c r="D10" s="23" t="str">
        <f>D8</f>
        <v>Work paper No. 5; Page 5.1 and 5.2; Line 7</v>
      </c>
      <c r="E10" s="391">
        <f t="shared" ref="E10:E34" si="1">A10</f>
        <v>3</v>
      </c>
    </row>
    <row r="11" spans="1:7" x14ac:dyDescent="0.35">
      <c r="A11" s="390">
        <f t="shared" si="0"/>
        <v>4</v>
      </c>
      <c r="B11" s="117"/>
      <c r="C11" s="31"/>
      <c r="D11" s="10"/>
      <c r="E11" s="391">
        <f t="shared" si="1"/>
        <v>4</v>
      </c>
    </row>
    <row r="12" spans="1:7" ht="16" thickBot="1" x14ac:dyDescent="0.4">
      <c r="A12" s="392">
        <f t="shared" si="0"/>
        <v>5</v>
      </c>
      <c r="B12" s="118">
        <f>'WP 7 Wheeling Revenues'!B15</f>
        <v>43800</v>
      </c>
      <c r="C12" s="64">
        <f>'WP 5 CAISO Charges'!E13</f>
        <v>1000</v>
      </c>
      <c r="D12" s="764" t="str">
        <f>D8</f>
        <v>Work paper No. 5; Page 5.1 and 5.2; Line 7</v>
      </c>
      <c r="E12" s="395">
        <f t="shared" si="1"/>
        <v>5</v>
      </c>
    </row>
    <row r="13" spans="1:7" x14ac:dyDescent="0.35">
      <c r="A13" s="390">
        <f t="shared" si="0"/>
        <v>6</v>
      </c>
      <c r="B13" s="117"/>
      <c r="C13" s="31"/>
      <c r="D13" s="23"/>
      <c r="E13" s="391">
        <f t="shared" si="1"/>
        <v>6</v>
      </c>
    </row>
    <row r="14" spans="1:7" x14ac:dyDescent="0.35">
      <c r="A14" s="390">
        <f t="shared" si="0"/>
        <v>7</v>
      </c>
      <c r="B14" s="117">
        <f>'WP 7 Wheeling Revenues'!B17</f>
        <v>43831</v>
      </c>
      <c r="C14" s="31">
        <f>'WP 5 CAISO Charges'!F13</f>
        <v>1000</v>
      </c>
      <c r="D14" s="23" t="str">
        <f>D8</f>
        <v>Work paper No. 5; Page 5.1 and 5.2; Line 7</v>
      </c>
      <c r="E14" s="391">
        <f t="shared" si="1"/>
        <v>7</v>
      </c>
    </row>
    <row r="15" spans="1:7" x14ac:dyDescent="0.35">
      <c r="A15" s="390">
        <f t="shared" si="0"/>
        <v>8</v>
      </c>
      <c r="B15" s="117"/>
      <c r="C15" s="31"/>
      <c r="D15" s="10"/>
      <c r="E15" s="391">
        <f t="shared" si="1"/>
        <v>8</v>
      </c>
    </row>
    <row r="16" spans="1:7" x14ac:dyDescent="0.35">
      <c r="A16" s="390">
        <f t="shared" si="0"/>
        <v>9</v>
      </c>
      <c r="B16" s="117">
        <f>'WP 7 Wheeling Revenues'!B19</f>
        <v>43862</v>
      </c>
      <c r="C16" s="31">
        <f>'WP 5 CAISO Charges'!G13</f>
        <v>1000</v>
      </c>
      <c r="D16" s="23" t="str">
        <f>D8</f>
        <v>Work paper No. 5; Page 5.1 and 5.2; Line 7</v>
      </c>
      <c r="E16" s="391">
        <f t="shared" si="1"/>
        <v>9</v>
      </c>
    </row>
    <row r="17" spans="1:5" x14ac:dyDescent="0.35">
      <c r="A17" s="390">
        <f t="shared" si="0"/>
        <v>10</v>
      </c>
      <c r="B17" s="117"/>
      <c r="C17" s="31"/>
      <c r="D17" s="10"/>
      <c r="E17" s="391">
        <f t="shared" si="1"/>
        <v>10</v>
      </c>
    </row>
    <row r="18" spans="1:5" ht="16" thickBot="1" x14ac:dyDescent="0.4">
      <c r="A18" s="392">
        <f t="shared" si="0"/>
        <v>11</v>
      </c>
      <c r="B18" s="118">
        <f>'WP 7 Wheeling Revenues'!B21</f>
        <v>43891</v>
      </c>
      <c r="C18" s="64">
        <f>'WP 5 CAISO Charges'!H13</f>
        <v>1000</v>
      </c>
      <c r="D18" s="764" t="str">
        <f>D8</f>
        <v>Work paper No. 5; Page 5.1 and 5.2; Line 7</v>
      </c>
      <c r="E18" s="395">
        <f t="shared" si="1"/>
        <v>11</v>
      </c>
    </row>
    <row r="19" spans="1:5" x14ac:dyDescent="0.35">
      <c r="A19" s="390">
        <f t="shared" si="0"/>
        <v>12</v>
      </c>
      <c r="B19" s="117"/>
      <c r="C19" s="31"/>
      <c r="D19" s="10"/>
      <c r="E19" s="391">
        <f t="shared" si="1"/>
        <v>12</v>
      </c>
    </row>
    <row r="20" spans="1:5" x14ac:dyDescent="0.35">
      <c r="A20" s="390">
        <f t="shared" si="0"/>
        <v>13</v>
      </c>
      <c r="B20" s="117">
        <f>'WP 7 Wheeling Revenues'!B23</f>
        <v>43922</v>
      </c>
      <c r="C20" s="31">
        <f>'WP 5 CAISO Charges'!I13</f>
        <v>1000</v>
      </c>
      <c r="D20" s="23" t="str">
        <f>D8</f>
        <v>Work paper No. 5; Page 5.1 and 5.2; Line 7</v>
      </c>
      <c r="E20" s="391">
        <f t="shared" si="1"/>
        <v>13</v>
      </c>
    </row>
    <row r="21" spans="1:5" x14ac:dyDescent="0.35">
      <c r="A21" s="390">
        <f t="shared" si="0"/>
        <v>14</v>
      </c>
      <c r="B21" s="117"/>
      <c r="C21" s="31"/>
      <c r="D21" s="10"/>
      <c r="E21" s="391">
        <f t="shared" si="1"/>
        <v>14</v>
      </c>
    </row>
    <row r="22" spans="1:5" x14ac:dyDescent="0.35">
      <c r="A22" s="390">
        <f t="shared" si="0"/>
        <v>15</v>
      </c>
      <c r="B22" s="117">
        <f>'WP 7 Wheeling Revenues'!B25</f>
        <v>43952</v>
      </c>
      <c r="C22" s="31">
        <f>'WP 5 CAISO Charges'!J13</f>
        <v>1000</v>
      </c>
      <c r="D22" s="23" t="str">
        <f>D8</f>
        <v>Work paper No. 5; Page 5.1 and 5.2; Line 7</v>
      </c>
      <c r="E22" s="391">
        <f t="shared" si="1"/>
        <v>15</v>
      </c>
    </row>
    <row r="23" spans="1:5" x14ac:dyDescent="0.35">
      <c r="A23" s="390">
        <f t="shared" si="0"/>
        <v>16</v>
      </c>
      <c r="B23" s="117"/>
      <c r="C23" s="31"/>
      <c r="D23" s="10"/>
      <c r="E23" s="391">
        <f t="shared" si="1"/>
        <v>16</v>
      </c>
    </row>
    <row r="24" spans="1:5" ht="16" thickBot="1" x14ac:dyDescent="0.4">
      <c r="A24" s="392">
        <f t="shared" si="0"/>
        <v>17</v>
      </c>
      <c r="B24" s="118">
        <f>'WP 7 Wheeling Revenues'!B27</f>
        <v>43983</v>
      </c>
      <c r="C24" s="64">
        <f>'WP 5 CAISO Charges'!K13</f>
        <v>1000</v>
      </c>
      <c r="D24" s="764" t="str">
        <f>D8</f>
        <v>Work paper No. 5; Page 5.1 and 5.2; Line 7</v>
      </c>
      <c r="E24" s="395">
        <f t="shared" si="1"/>
        <v>17</v>
      </c>
    </row>
    <row r="25" spans="1:5" x14ac:dyDescent="0.35">
      <c r="A25" s="390">
        <f t="shared" si="0"/>
        <v>18</v>
      </c>
      <c r="B25" s="117"/>
      <c r="C25" s="31"/>
      <c r="D25" s="10"/>
      <c r="E25" s="391">
        <f t="shared" si="1"/>
        <v>18</v>
      </c>
    </row>
    <row r="26" spans="1:5" x14ac:dyDescent="0.35">
      <c r="A26" s="390">
        <f t="shared" si="0"/>
        <v>19</v>
      </c>
      <c r="B26" s="117">
        <f>'WP 7 Wheeling Revenues'!B29</f>
        <v>44013</v>
      </c>
      <c r="C26" s="31">
        <f>'WP 5 CAISO Charges'!L13</f>
        <v>1000</v>
      </c>
      <c r="D26" s="23" t="str">
        <f>D8</f>
        <v>Work paper No. 5; Page 5.1 and 5.2; Line 7</v>
      </c>
      <c r="E26" s="391">
        <f t="shared" si="1"/>
        <v>19</v>
      </c>
    </row>
    <row r="27" spans="1:5" x14ac:dyDescent="0.35">
      <c r="A27" s="390">
        <f t="shared" si="0"/>
        <v>20</v>
      </c>
      <c r="B27" s="117"/>
      <c r="C27" s="31"/>
      <c r="D27" s="10"/>
      <c r="E27" s="391">
        <f t="shared" si="1"/>
        <v>20</v>
      </c>
    </row>
    <row r="28" spans="1:5" x14ac:dyDescent="0.35">
      <c r="A28" s="390">
        <f t="shared" si="0"/>
        <v>21</v>
      </c>
      <c r="B28" s="117">
        <f>'WP 7 Wheeling Revenues'!B31</f>
        <v>44044</v>
      </c>
      <c r="C28" s="31">
        <f>'WP 5 CAISO Charges'!M13</f>
        <v>1000</v>
      </c>
      <c r="D28" s="23" t="str">
        <f>D8</f>
        <v>Work paper No. 5; Page 5.1 and 5.2; Line 7</v>
      </c>
      <c r="E28" s="391">
        <f t="shared" si="1"/>
        <v>21</v>
      </c>
    </row>
    <row r="29" spans="1:5" x14ac:dyDescent="0.35">
      <c r="A29" s="390">
        <f t="shared" si="0"/>
        <v>22</v>
      </c>
      <c r="B29" s="117"/>
      <c r="C29" s="31"/>
      <c r="D29" s="10"/>
      <c r="E29" s="391">
        <f t="shared" si="1"/>
        <v>22</v>
      </c>
    </row>
    <row r="30" spans="1:5" ht="16" thickBot="1" x14ac:dyDescent="0.4">
      <c r="A30" s="392">
        <f t="shared" si="0"/>
        <v>23</v>
      </c>
      <c r="B30" s="118">
        <f>'WP 7 Wheeling Revenues'!B33</f>
        <v>44075</v>
      </c>
      <c r="C30" s="89">
        <f>'WP 5 CAISO Charges'!N13</f>
        <v>1000</v>
      </c>
      <c r="D30" s="764" t="str">
        <f>D8</f>
        <v>Work paper No. 5; Page 5.1 and 5.2; Line 7</v>
      </c>
      <c r="E30" s="395">
        <f t="shared" si="1"/>
        <v>23</v>
      </c>
    </row>
    <row r="31" spans="1:5" x14ac:dyDescent="0.35">
      <c r="A31" s="390">
        <f t="shared" si="0"/>
        <v>24</v>
      </c>
      <c r="B31" s="117"/>
      <c r="C31" s="46"/>
      <c r="D31" s="23"/>
      <c r="E31" s="391">
        <f t="shared" si="1"/>
        <v>24</v>
      </c>
    </row>
    <row r="32" spans="1:5" ht="16" thickBot="1" x14ac:dyDescent="0.4">
      <c r="A32" s="390">
        <f t="shared" si="0"/>
        <v>25</v>
      </c>
      <c r="B32" s="150" t="s">
        <v>407</v>
      </c>
      <c r="C32" s="80">
        <f>SUM(C8:C30)</f>
        <v>12000</v>
      </c>
      <c r="D32" s="29" t="s">
        <v>414</v>
      </c>
      <c r="E32" s="391">
        <f t="shared" si="1"/>
        <v>25</v>
      </c>
    </row>
    <row r="33" spans="1:5" ht="16" thickTop="1" x14ac:dyDescent="0.35">
      <c r="A33" s="390">
        <f t="shared" si="0"/>
        <v>26</v>
      </c>
      <c r="B33" s="91"/>
      <c r="C33" s="183"/>
      <c r="D33" s="149"/>
      <c r="E33" s="391">
        <f t="shared" si="1"/>
        <v>26</v>
      </c>
    </row>
    <row r="34" spans="1:5" ht="33" thickBot="1" x14ac:dyDescent="0.4">
      <c r="A34" s="786">
        <f t="shared" si="0"/>
        <v>27</v>
      </c>
      <c r="B34" s="787" t="s">
        <v>415</v>
      </c>
      <c r="C34" s="789">
        <f>C32</f>
        <v>12000</v>
      </c>
      <c r="D34" s="29" t="s">
        <v>409</v>
      </c>
      <c r="E34" s="788">
        <f t="shared" si="1"/>
        <v>27</v>
      </c>
    </row>
    <row r="35" spans="1:5" ht="16.5" thickTop="1" thickBot="1" x14ac:dyDescent="0.4">
      <c r="A35" s="392">
        <f t="shared" si="0"/>
        <v>28</v>
      </c>
      <c r="B35" s="420"/>
      <c r="C35" s="934"/>
      <c r="D35" s="293"/>
      <c r="E35" s="395">
        <f t="shared" ref="E35" si="2">E34+1</f>
        <v>28</v>
      </c>
    </row>
    <row r="36" spans="1:5" x14ac:dyDescent="0.35">
      <c r="B36" s="389"/>
      <c r="C36" s="79"/>
      <c r="D36" s="79"/>
    </row>
    <row r="37" spans="1:5" ht="20" x14ac:dyDescent="0.35">
      <c r="A37" s="187" t="s">
        <v>27</v>
      </c>
      <c r="B37" s="179" t="s">
        <v>208</v>
      </c>
      <c r="C37" s="149"/>
      <c r="D37" s="149"/>
    </row>
    <row r="38" spans="1:5" x14ac:dyDescent="0.35">
      <c r="A38" s="42"/>
      <c r="B38" s="179" t="s">
        <v>210</v>
      </c>
      <c r="C38" s="146"/>
      <c r="D38" s="146"/>
    </row>
    <row r="39" spans="1:5" x14ac:dyDescent="0.35">
      <c r="A39" s="61"/>
      <c r="B39" s="179" t="s">
        <v>209</v>
      </c>
      <c r="C39" s="146"/>
      <c r="D39" s="146"/>
    </row>
    <row r="40" spans="1:5" x14ac:dyDescent="0.35">
      <c r="B40" s="146"/>
      <c r="C40" s="147"/>
      <c r="D40" s="146"/>
    </row>
    <row r="41" spans="1:5" x14ac:dyDescent="0.35">
      <c r="B41" s="146"/>
      <c r="C41" s="147"/>
      <c r="D41" s="146"/>
    </row>
    <row r="42" spans="1:5" x14ac:dyDescent="0.35">
      <c r="B42" s="146"/>
      <c r="C42" s="147"/>
      <c r="D42" s="146"/>
    </row>
    <row r="43" spans="1:5" x14ac:dyDescent="0.35">
      <c r="B43" s="148"/>
      <c r="C43" s="123"/>
      <c r="D43" s="123"/>
    </row>
    <row r="44" spans="1:5" x14ac:dyDescent="0.35">
      <c r="B44" s="145"/>
      <c r="C44" s="121"/>
      <c r="D44" s="149"/>
    </row>
    <row r="45" spans="1:5" x14ac:dyDescent="0.35">
      <c r="B45" s="145"/>
      <c r="C45" s="121"/>
      <c r="D45" s="149"/>
    </row>
    <row r="46" spans="1:5" x14ac:dyDescent="0.35">
      <c r="B46" s="145"/>
      <c r="C46" s="121"/>
      <c r="D46" s="149"/>
    </row>
  </sheetData>
  <mergeCells count="3">
    <mergeCell ref="A2:E2"/>
    <mergeCell ref="A3:E3"/>
    <mergeCell ref="A4:E4"/>
  </mergeCells>
  <printOptions horizontalCentered="1"/>
  <pageMargins left="0" right="0" top="0.5" bottom="0.5" header="0.25" footer="0.25"/>
  <pageSetup scale="77" orientation="landscape" r:id="rId1"/>
  <headerFooter alignWithMargins="0">
    <oddFooter>&amp;L&amp;"Times New Roman,Regular"&amp;12&amp;F&amp;C&amp;"Times New Roman,Regular"&amp;12Page 8.1&amp;R&amp;"Times New Roman,Regular"&amp;12&amp;A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1F82-ACDE-4E3C-B78C-2E7BFB04A471}">
  <sheetPr>
    <pageSetUpPr fitToPage="1"/>
  </sheetPr>
  <dimension ref="A2:F46"/>
  <sheetViews>
    <sheetView zoomScale="80" zoomScaleNormal="80" workbookViewId="0"/>
  </sheetViews>
  <sheetFormatPr defaultColWidth="9.453125" defaultRowHeight="15.5" x14ac:dyDescent="0.35"/>
  <cols>
    <col min="1" max="1" width="5.453125" style="116" bestFit="1" customWidth="1"/>
    <col min="2" max="2" width="46" style="151" bestFit="1" customWidth="1"/>
    <col min="3" max="3" width="22" style="116" bestFit="1" customWidth="1"/>
    <col min="4" max="4" width="42.54296875" style="116" bestFit="1" customWidth="1"/>
    <col min="5" max="5" width="5.453125" style="116" bestFit="1" customWidth="1"/>
    <col min="6" max="6" width="2.453125" style="116" bestFit="1" customWidth="1"/>
    <col min="7" max="16384" width="9.453125" style="116"/>
  </cols>
  <sheetData>
    <row r="2" spans="1:6" x14ac:dyDescent="0.35">
      <c r="A2" s="1115" t="s">
        <v>108</v>
      </c>
      <c r="B2" s="1115"/>
      <c r="C2" s="1115"/>
      <c r="D2" s="1115"/>
      <c r="E2" s="1115"/>
    </row>
    <row r="3" spans="1:6" x14ac:dyDescent="0.35">
      <c r="A3" s="1115" t="str">
        <f>'WP 7 Wheeling Revenues'!A3:G3</f>
        <v>2021 - TRBAA Rate Filing</v>
      </c>
      <c r="B3" s="1115"/>
      <c r="C3" s="1115"/>
      <c r="D3" s="1115"/>
      <c r="E3" s="1115"/>
    </row>
    <row r="4" spans="1:6" x14ac:dyDescent="0.35">
      <c r="A4" s="1115" t="s">
        <v>416</v>
      </c>
      <c r="B4" s="1115"/>
      <c r="C4" s="1115"/>
      <c r="D4" s="1115"/>
      <c r="E4" s="1115"/>
    </row>
    <row r="5" spans="1:6" ht="16" thickBot="1" x14ac:dyDescent="0.4">
      <c r="A5" s="394"/>
      <c r="B5" s="778"/>
      <c r="C5" s="779"/>
      <c r="D5" s="779"/>
      <c r="E5" s="394"/>
    </row>
    <row r="6" spans="1:6" ht="52.4" customHeight="1" thickBot="1" x14ac:dyDescent="0.4">
      <c r="A6" s="780" t="s">
        <v>83</v>
      </c>
      <c r="B6" s="393" t="s">
        <v>259</v>
      </c>
      <c r="C6" s="790" t="s">
        <v>417</v>
      </c>
      <c r="D6" s="702" t="s">
        <v>91</v>
      </c>
      <c r="E6" s="782" t="s">
        <v>83</v>
      </c>
    </row>
    <row r="7" spans="1:6" x14ac:dyDescent="0.35">
      <c r="A7" s="791"/>
      <c r="B7" s="937"/>
      <c r="C7" s="499"/>
      <c r="D7" s="499"/>
      <c r="E7" s="792"/>
    </row>
    <row r="8" spans="1:6" x14ac:dyDescent="0.35">
      <c r="A8" s="390">
        <v>1</v>
      </c>
      <c r="B8" s="117">
        <f>'WP 7 Wheeling Revenues'!B11</f>
        <v>43739</v>
      </c>
      <c r="C8" s="19">
        <f>'WP 5 CAISO Charges'!C16</f>
        <v>-83196.349999999991</v>
      </c>
      <c r="D8" s="23" t="s">
        <v>418</v>
      </c>
      <c r="E8" s="391">
        <f>A8</f>
        <v>1</v>
      </c>
      <c r="F8" s="933"/>
    </row>
    <row r="9" spans="1:6" x14ac:dyDescent="0.35">
      <c r="A9" s="390">
        <f>A8+1</f>
        <v>2</v>
      </c>
      <c r="B9" s="117"/>
      <c r="C9" s="19"/>
      <c r="D9" s="10"/>
      <c r="E9" s="391">
        <f t="shared" ref="E9:E34" si="0">A9</f>
        <v>2</v>
      </c>
      <c r="F9" s="933"/>
    </row>
    <row r="10" spans="1:6" x14ac:dyDescent="0.35">
      <c r="A10" s="390">
        <f t="shared" ref="A10:A35" si="1">A9+1</f>
        <v>3</v>
      </c>
      <c r="B10" s="117">
        <f>'WP 7 Wheeling Revenues'!B13</f>
        <v>43770</v>
      </c>
      <c r="C10" s="31">
        <f>'WP 5 CAISO Charges'!D16</f>
        <v>-82140.98</v>
      </c>
      <c r="D10" s="23" t="str">
        <f>D8</f>
        <v>Work paper No. 5; Page 5.1 and 5.2; Line 10</v>
      </c>
      <c r="E10" s="391">
        <f t="shared" si="0"/>
        <v>3</v>
      </c>
    </row>
    <row r="11" spans="1:6" x14ac:dyDescent="0.35">
      <c r="A11" s="390">
        <f t="shared" si="1"/>
        <v>4</v>
      </c>
      <c r="B11" s="117"/>
      <c r="C11" s="31"/>
      <c r="D11" s="10"/>
      <c r="E11" s="391">
        <f t="shared" si="0"/>
        <v>4</v>
      </c>
    </row>
    <row r="12" spans="1:6" ht="16" thickBot="1" x14ac:dyDescent="0.4">
      <c r="A12" s="392">
        <f t="shared" si="1"/>
        <v>5</v>
      </c>
      <c r="B12" s="118">
        <f>'WP 7 Wheeling Revenues'!B15</f>
        <v>43800</v>
      </c>
      <c r="C12" s="64">
        <f>'WP 5 CAISO Charges'!E16</f>
        <v>-44783.440000000017</v>
      </c>
      <c r="D12" s="764" t="str">
        <f>D8</f>
        <v>Work paper No. 5; Page 5.1 and 5.2; Line 10</v>
      </c>
      <c r="E12" s="395">
        <f t="shared" si="0"/>
        <v>5</v>
      </c>
    </row>
    <row r="13" spans="1:6" x14ac:dyDescent="0.35">
      <c r="A13" s="390">
        <f t="shared" si="1"/>
        <v>6</v>
      </c>
      <c r="B13" s="117"/>
      <c r="C13" s="31"/>
      <c r="D13" s="23"/>
      <c r="E13" s="391">
        <f t="shared" si="0"/>
        <v>6</v>
      </c>
    </row>
    <row r="14" spans="1:6" x14ac:dyDescent="0.35">
      <c r="A14" s="390">
        <f t="shared" si="1"/>
        <v>7</v>
      </c>
      <c r="B14" s="117">
        <f>'WP 7 Wheeling Revenues'!B17</f>
        <v>43831</v>
      </c>
      <c r="C14" s="31">
        <f>'WP 5 CAISO Charges'!F16</f>
        <v>-11648.980000000001</v>
      </c>
      <c r="D14" s="23" t="str">
        <f>D8</f>
        <v>Work paper No. 5; Page 5.1 and 5.2; Line 10</v>
      </c>
      <c r="E14" s="391">
        <f t="shared" si="0"/>
        <v>7</v>
      </c>
    </row>
    <row r="15" spans="1:6" x14ac:dyDescent="0.35">
      <c r="A15" s="390">
        <f t="shared" si="1"/>
        <v>8</v>
      </c>
      <c r="B15" s="117"/>
      <c r="C15" s="31"/>
      <c r="D15" s="10"/>
      <c r="E15" s="391">
        <f t="shared" si="0"/>
        <v>8</v>
      </c>
    </row>
    <row r="16" spans="1:6" x14ac:dyDescent="0.35">
      <c r="A16" s="390">
        <f t="shared" si="1"/>
        <v>9</v>
      </c>
      <c r="B16" s="117">
        <f>'WP 7 Wheeling Revenues'!B19</f>
        <v>43862</v>
      </c>
      <c r="C16" s="31">
        <f>'WP 5 CAISO Charges'!G16</f>
        <v>-24893.549999999996</v>
      </c>
      <c r="D16" s="23" t="str">
        <f>D8</f>
        <v>Work paper No. 5; Page 5.1 and 5.2; Line 10</v>
      </c>
      <c r="E16" s="391">
        <f t="shared" si="0"/>
        <v>9</v>
      </c>
    </row>
    <row r="17" spans="1:5" x14ac:dyDescent="0.35">
      <c r="A17" s="390">
        <f t="shared" si="1"/>
        <v>10</v>
      </c>
      <c r="B17" s="117"/>
      <c r="C17" s="31"/>
      <c r="D17" s="10"/>
      <c r="E17" s="391">
        <f t="shared" si="0"/>
        <v>10</v>
      </c>
    </row>
    <row r="18" spans="1:5" ht="16" thickBot="1" x14ac:dyDescent="0.4">
      <c r="A18" s="392">
        <f t="shared" si="1"/>
        <v>11</v>
      </c>
      <c r="B18" s="118">
        <f>'WP 7 Wheeling Revenues'!B21</f>
        <v>43891</v>
      </c>
      <c r="C18" s="64">
        <f>'WP 5 CAISO Charges'!H16</f>
        <v>-28860.069999999989</v>
      </c>
      <c r="D18" s="764" t="str">
        <f>D8</f>
        <v>Work paper No. 5; Page 5.1 and 5.2; Line 10</v>
      </c>
      <c r="E18" s="395">
        <f t="shared" si="0"/>
        <v>11</v>
      </c>
    </row>
    <row r="19" spans="1:5" x14ac:dyDescent="0.35">
      <c r="A19" s="390">
        <f t="shared" si="1"/>
        <v>12</v>
      </c>
      <c r="B19" s="117"/>
      <c r="C19" s="31"/>
      <c r="D19" s="10"/>
      <c r="E19" s="391">
        <f t="shared" si="0"/>
        <v>12</v>
      </c>
    </row>
    <row r="20" spans="1:5" x14ac:dyDescent="0.35">
      <c r="A20" s="390">
        <f t="shared" si="1"/>
        <v>13</v>
      </c>
      <c r="B20" s="117">
        <f>'WP 7 Wheeling Revenues'!B23</f>
        <v>43922</v>
      </c>
      <c r="C20" s="31">
        <f>'WP 5 CAISO Charges'!I16</f>
        <v>4225.4999999999945</v>
      </c>
      <c r="D20" s="23" t="str">
        <f>D8</f>
        <v>Work paper No. 5; Page 5.1 and 5.2; Line 10</v>
      </c>
      <c r="E20" s="391">
        <f t="shared" si="0"/>
        <v>13</v>
      </c>
    </row>
    <row r="21" spans="1:5" x14ac:dyDescent="0.35">
      <c r="A21" s="390">
        <f t="shared" si="1"/>
        <v>14</v>
      </c>
      <c r="B21" s="117"/>
      <c r="C21" s="31"/>
      <c r="D21" s="10"/>
      <c r="E21" s="391">
        <f t="shared" si="0"/>
        <v>14</v>
      </c>
    </row>
    <row r="22" spans="1:5" x14ac:dyDescent="0.35">
      <c r="A22" s="390">
        <f t="shared" si="1"/>
        <v>15</v>
      </c>
      <c r="B22" s="117">
        <f>'WP 7 Wheeling Revenues'!B25</f>
        <v>43952</v>
      </c>
      <c r="C22" s="31">
        <f>'WP 5 CAISO Charges'!J16</f>
        <v>-20178.399999999998</v>
      </c>
      <c r="D22" s="23" t="str">
        <f>D8</f>
        <v>Work paper No. 5; Page 5.1 and 5.2; Line 10</v>
      </c>
      <c r="E22" s="391">
        <f t="shared" si="0"/>
        <v>15</v>
      </c>
    </row>
    <row r="23" spans="1:5" x14ac:dyDescent="0.35">
      <c r="A23" s="390">
        <f t="shared" si="1"/>
        <v>16</v>
      </c>
      <c r="B23" s="117"/>
      <c r="C23" s="31"/>
      <c r="D23" s="10"/>
      <c r="E23" s="391">
        <f t="shared" si="0"/>
        <v>16</v>
      </c>
    </row>
    <row r="24" spans="1:5" ht="16" thickBot="1" x14ac:dyDescent="0.4">
      <c r="A24" s="392">
        <f t="shared" si="1"/>
        <v>17</v>
      </c>
      <c r="B24" s="118">
        <f>'WP 7 Wheeling Revenues'!B27</f>
        <v>43983</v>
      </c>
      <c r="C24" s="64">
        <f>'WP 5 CAISO Charges'!K16</f>
        <v>-31083.21000000005</v>
      </c>
      <c r="D24" s="764" t="str">
        <f>D8</f>
        <v>Work paper No. 5; Page 5.1 and 5.2; Line 10</v>
      </c>
      <c r="E24" s="395">
        <f t="shared" si="0"/>
        <v>17</v>
      </c>
    </row>
    <row r="25" spans="1:5" x14ac:dyDescent="0.35">
      <c r="A25" s="390">
        <f t="shared" si="1"/>
        <v>18</v>
      </c>
      <c r="B25" s="117"/>
      <c r="C25" s="31"/>
      <c r="D25" s="10"/>
      <c r="E25" s="391">
        <f t="shared" si="0"/>
        <v>18</v>
      </c>
    </row>
    <row r="26" spans="1:5" x14ac:dyDescent="0.35">
      <c r="A26" s="390">
        <f t="shared" si="1"/>
        <v>19</v>
      </c>
      <c r="B26" s="117">
        <f>'WP 7 Wheeling Revenues'!B29</f>
        <v>44013</v>
      </c>
      <c r="C26" s="31">
        <f>'WP 5 CAISO Charges'!L16</f>
        <v>-18506.719999999998</v>
      </c>
      <c r="D26" s="23" t="str">
        <f>D8</f>
        <v>Work paper No. 5; Page 5.1 and 5.2; Line 10</v>
      </c>
      <c r="E26" s="391">
        <f t="shared" si="0"/>
        <v>19</v>
      </c>
    </row>
    <row r="27" spans="1:5" x14ac:dyDescent="0.35">
      <c r="A27" s="390">
        <f t="shared" si="1"/>
        <v>20</v>
      </c>
      <c r="B27" s="117"/>
      <c r="C27" s="31"/>
      <c r="D27" s="10"/>
      <c r="E27" s="391">
        <f t="shared" si="0"/>
        <v>20</v>
      </c>
    </row>
    <row r="28" spans="1:5" x14ac:dyDescent="0.35">
      <c r="A28" s="390">
        <f t="shared" si="1"/>
        <v>21</v>
      </c>
      <c r="B28" s="117">
        <f>'WP 7 Wheeling Revenues'!B31</f>
        <v>44044</v>
      </c>
      <c r="C28" s="31">
        <f>'WP 5 CAISO Charges'!M16</f>
        <v>364743.8600000001</v>
      </c>
      <c r="D28" s="23" t="str">
        <f>D8</f>
        <v>Work paper No. 5; Page 5.1 and 5.2; Line 10</v>
      </c>
      <c r="E28" s="391">
        <f t="shared" si="0"/>
        <v>21</v>
      </c>
    </row>
    <row r="29" spans="1:5" x14ac:dyDescent="0.35">
      <c r="A29" s="390">
        <f t="shared" si="1"/>
        <v>22</v>
      </c>
      <c r="B29" s="117"/>
      <c r="C29" s="31"/>
      <c r="D29" s="10"/>
      <c r="E29" s="391">
        <f t="shared" si="0"/>
        <v>22</v>
      </c>
    </row>
    <row r="30" spans="1:5" ht="16" thickBot="1" x14ac:dyDescent="0.4">
      <c r="A30" s="392">
        <f t="shared" si="1"/>
        <v>23</v>
      </c>
      <c r="B30" s="118">
        <f>'WP 7 Wheeling Revenues'!B33</f>
        <v>44075</v>
      </c>
      <c r="C30" s="89">
        <f>'WP 5 CAISO Charges'!N16</f>
        <v>749177.09999999986</v>
      </c>
      <c r="D30" s="764" t="str">
        <f>D8</f>
        <v>Work paper No. 5; Page 5.1 and 5.2; Line 10</v>
      </c>
      <c r="E30" s="395">
        <f t="shared" si="0"/>
        <v>23</v>
      </c>
    </row>
    <row r="31" spans="1:5" x14ac:dyDescent="0.35">
      <c r="A31" s="390">
        <f t="shared" si="1"/>
        <v>24</v>
      </c>
      <c r="B31" s="117"/>
      <c r="C31" s="46"/>
      <c r="D31" s="23"/>
      <c r="E31" s="391">
        <f t="shared" si="0"/>
        <v>24</v>
      </c>
    </row>
    <row r="32" spans="1:5" ht="16" thickBot="1" x14ac:dyDescent="0.4">
      <c r="A32" s="390">
        <f t="shared" si="1"/>
        <v>25</v>
      </c>
      <c r="B32" s="150" t="s">
        <v>407</v>
      </c>
      <c r="C32" s="80">
        <f>SUM(C8:C30)</f>
        <v>772854.75999999989</v>
      </c>
      <c r="D32" s="29" t="s">
        <v>414</v>
      </c>
      <c r="E32" s="391">
        <f t="shared" si="0"/>
        <v>25</v>
      </c>
    </row>
    <row r="33" spans="1:5" ht="16" thickTop="1" x14ac:dyDescent="0.35">
      <c r="A33" s="390">
        <f t="shared" si="1"/>
        <v>26</v>
      </c>
      <c r="B33" s="10"/>
      <c r="C33" s="19"/>
      <c r="E33" s="391">
        <f t="shared" si="0"/>
        <v>26</v>
      </c>
    </row>
    <row r="34" spans="1:5" ht="35.5" customHeight="1" thickBot="1" x14ac:dyDescent="0.4">
      <c r="A34" s="786">
        <f t="shared" si="1"/>
        <v>27</v>
      </c>
      <c r="B34" s="793" t="s">
        <v>416</v>
      </c>
      <c r="C34" s="219">
        <f>C32</f>
        <v>772854.75999999989</v>
      </c>
      <c r="D34" s="29" t="s">
        <v>409</v>
      </c>
      <c r="E34" s="788">
        <f t="shared" si="0"/>
        <v>27</v>
      </c>
    </row>
    <row r="35" spans="1:5" ht="16.5" thickTop="1" thickBot="1" x14ac:dyDescent="0.4">
      <c r="A35" s="392">
        <f t="shared" si="1"/>
        <v>28</v>
      </c>
      <c r="B35" s="420"/>
      <c r="C35" s="934"/>
      <c r="D35" s="293"/>
      <c r="E35" s="395">
        <f t="shared" ref="E35" si="2">E34+1</f>
        <v>28</v>
      </c>
    </row>
    <row r="36" spans="1:5" x14ac:dyDescent="0.35">
      <c r="B36" s="389"/>
      <c r="C36" s="79"/>
      <c r="D36" s="79"/>
    </row>
    <row r="37" spans="1:5" ht="18.5" x14ac:dyDescent="0.35">
      <c r="A37" s="794"/>
      <c r="B37" s="149"/>
      <c r="C37" s="119"/>
      <c r="D37" s="119"/>
    </row>
    <row r="38" spans="1:5" ht="12.75" customHeight="1" x14ac:dyDescent="0.35">
      <c r="A38" s="794"/>
      <c r="B38" s="149"/>
      <c r="C38" s="119"/>
      <c r="D38" s="119"/>
    </row>
    <row r="39" spans="1:5" ht="18.5" x14ac:dyDescent="0.35">
      <c r="A39" s="794"/>
      <c r="B39" s="152"/>
      <c r="C39" s="149"/>
      <c r="D39" s="149"/>
    </row>
    <row r="40" spans="1:5" x14ac:dyDescent="0.35">
      <c r="B40" s="146"/>
      <c r="C40" s="146"/>
      <c r="D40" s="146"/>
    </row>
    <row r="41" spans="1:5" x14ac:dyDescent="0.35">
      <c r="B41" s="146"/>
      <c r="C41" s="146"/>
      <c r="D41" s="146"/>
    </row>
    <row r="42" spans="1:5" x14ac:dyDescent="0.35">
      <c r="B42" s="146"/>
      <c r="C42" s="146"/>
      <c r="D42" s="146"/>
    </row>
    <row r="43" spans="1:5" x14ac:dyDescent="0.35">
      <c r="B43" s="148"/>
      <c r="C43" s="123"/>
      <c r="D43" s="123"/>
    </row>
    <row r="44" spans="1:5" x14ac:dyDescent="0.35">
      <c r="B44" s="148"/>
      <c r="C44" s="149"/>
      <c r="D44" s="149"/>
    </row>
    <row r="45" spans="1:5" x14ac:dyDescent="0.35">
      <c r="B45" s="148"/>
      <c r="C45" s="149"/>
      <c r="D45" s="149"/>
    </row>
    <row r="46" spans="1:5" x14ac:dyDescent="0.35">
      <c r="B46" s="148"/>
      <c r="C46" s="149"/>
      <c r="D46" s="149"/>
    </row>
  </sheetData>
  <mergeCells count="3">
    <mergeCell ref="A2:E2"/>
    <mergeCell ref="A3:E3"/>
    <mergeCell ref="A4:E4"/>
  </mergeCells>
  <printOptions horizontalCentered="1"/>
  <pageMargins left="0.25" right="0.25" top="0.5" bottom="0.5" header="0.25" footer="0.25"/>
  <pageSetup scale="76" orientation="landscape" r:id="rId1"/>
  <headerFooter alignWithMargins="0">
    <oddFooter>&amp;L&amp;"Times New Roman,Regular"&amp;12&amp;F&amp;C&amp;"Times New Roman,Regular"&amp;12Page 9.1&amp;R&amp;"Times New Roman,Regular"&amp;12&amp;A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S104"/>
  <sheetViews>
    <sheetView zoomScale="80" zoomScaleNormal="80" zoomScaleSheetLayoutView="70" workbookViewId="0">
      <pane xSplit="3" ySplit="3" topLeftCell="D4" activePane="bottomRight" state="frozen"/>
      <selection activeCell="P38" sqref="P38"/>
      <selection pane="topRight" activeCell="P38" sqref="P38"/>
      <selection pane="bottomLeft" activeCell="P38" sqref="P38"/>
      <selection pane="bottomRight" activeCell="D4" sqref="D4"/>
    </sheetView>
  </sheetViews>
  <sheetFormatPr defaultColWidth="9.453125" defaultRowHeight="12.5" x14ac:dyDescent="0.25"/>
  <cols>
    <col min="1" max="1" width="5.54296875" style="396" customWidth="1"/>
    <col min="2" max="2" width="8.54296875" style="287" customWidth="1"/>
    <col min="3" max="3" width="57.54296875" style="287" customWidth="1"/>
    <col min="4" max="15" width="13.54296875" style="436" customWidth="1"/>
    <col min="16" max="16" width="15.54296875" style="437" customWidth="1"/>
    <col min="17" max="17" width="5.54296875" style="396" customWidth="1"/>
    <col min="18" max="16384" width="9.453125" style="396"/>
  </cols>
  <sheetData>
    <row r="2" spans="1:18" s="426" customFormat="1" ht="16" thickBot="1" x14ac:dyDescent="0.4">
      <c r="A2" s="59"/>
      <c r="B2" s="363"/>
      <c r="C2" s="93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87"/>
      <c r="Q2" s="59"/>
    </row>
    <row r="3" spans="1:18" s="287" customFormat="1" ht="38.15" customHeight="1" thickBot="1" x14ac:dyDescent="0.35">
      <c r="A3" s="1018" t="s">
        <v>83</v>
      </c>
      <c r="B3" s="369" t="s">
        <v>185</v>
      </c>
      <c r="C3" s="1025" t="s">
        <v>212</v>
      </c>
      <c r="D3" s="429">
        <f>'WP 1.1 Recorded Sales'!C5</f>
        <v>43739</v>
      </c>
      <c r="E3" s="428">
        <f>'WP 1.1 Recorded Sales'!D5</f>
        <v>43770</v>
      </c>
      <c r="F3" s="428">
        <f>'WP 1.1 Recorded Sales'!E5</f>
        <v>43800</v>
      </c>
      <c r="G3" s="430">
        <f>'WP 1.1 Recorded Sales'!F5</f>
        <v>43831</v>
      </c>
      <c r="H3" s="429">
        <f>'WP 1.1 Recorded Sales'!G5</f>
        <v>43862</v>
      </c>
      <c r="I3" s="428">
        <f>'WP 1.1 Recorded Sales'!H5</f>
        <v>43891</v>
      </c>
      <c r="J3" s="427">
        <f>'WP 1.1 Recorded Sales'!I5</f>
        <v>43922</v>
      </c>
      <c r="K3" s="1061">
        <f>'WP 1.1 Recorded Sales'!J5</f>
        <v>43952</v>
      </c>
      <c r="L3" s="429">
        <f>'WP 1.1 Recorded Sales'!K5</f>
        <v>43983</v>
      </c>
      <c r="M3" s="428">
        <f>'WP 1.1 Recorded Sales'!L5</f>
        <v>44013</v>
      </c>
      <c r="N3" s="428">
        <f>'WP 1.1 Recorded Sales'!M5</f>
        <v>44044</v>
      </c>
      <c r="O3" s="430">
        <f>'WP 1.1 Recorded Sales'!N5</f>
        <v>44075</v>
      </c>
      <c r="P3" s="444" t="s">
        <v>88</v>
      </c>
      <c r="Q3" s="533" t="s">
        <v>83</v>
      </c>
    </row>
    <row r="4" spans="1:18" s="287" customFormat="1" ht="15" x14ac:dyDescent="0.3">
      <c r="A4" s="1019"/>
      <c r="B4" s="367"/>
      <c r="C4" s="1026" t="s">
        <v>184</v>
      </c>
      <c r="D4" s="432"/>
      <c r="E4" s="431"/>
      <c r="F4" s="936"/>
      <c r="G4" s="840"/>
      <c r="H4" s="432"/>
      <c r="I4" s="431"/>
      <c r="J4" s="639"/>
      <c r="K4" s="1062"/>
      <c r="L4" s="432"/>
      <c r="M4" s="431"/>
      <c r="N4" s="431"/>
      <c r="O4" s="840"/>
      <c r="P4" s="538"/>
      <c r="Q4" s="534"/>
    </row>
    <row r="5" spans="1:18" ht="15.5" x14ac:dyDescent="0.35">
      <c r="A5" s="214">
        <v>1</v>
      </c>
      <c r="B5" s="615">
        <v>1592</v>
      </c>
      <c r="C5" s="161" t="s">
        <v>11</v>
      </c>
      <c r="D5" s="407">
        <v>0</v>
      </c>
      <c r="E5" s="162">
        <v>0</v>
      </c>
      <c r="F5" s="162">
        <v>0</v>
      </c>
      <c r="G5" s="384">
        <v>0</v>
      </c>
      <c r="H5" s="407">
        <v>0</v>
      </c>
      <c r="I5" s="162">
        <v>0</v>
      </c>
      <c r="J5" s="383">
        <v>0</v>
      </c>
      <c r="K5" s="312">
        <v>-3981.0499999999997</v>
      </c>
      <c r="L5" s="407">
        <v>0</v>
      </c>
      <c r="M5" s="162">
        <v>-4.6800000000000006</v>
      </c>
      <c r="N5" s="162">
        <v>0</v>
      </c>
      <c r="O5" s="384">
        <v>0</v>
      </c>
      <c r="P5" s="539">
        <f t="shared" ref="P5:P28" si="0">SUM(D5:O5)</f>
        <v>-3985.7299999999996</v>
      </c>
      <c r="Q5" s="406">
        <f>A5</f>
        <v>1</v>
      </c>
      <c r="R5" s="100"/>
    </row>
    <row r="6" spans="1:18" ht="17.25" customHeight="1" x14ac:dyDescent="0.35">
      <c r="A6" s="214">
        <f t="shared" ref="A6:A65" si="1">A5+1</f>
        <v>2</v>
      </c>
      <c r="B6" s="615">
        <v>4989</v>
      </c>
      <c r="C6" s="161" t="s">
        <v>357</v>
      </c>
      <c r="D6" s="127">
        <v>0</v>
      </c>
      <c r="E6" s="46">
        <v>0</v>
      </c>
      <c r="F6" s="46">
        <v>0</v>
      </c>
      <c r="G6" s="130">
        <v>0</v>
      </c>
      <c r="H6" s="127">
        <v>0</v>
      </c>
      <c r="I6" s="46">
        <v>0</v>
      </c>
      <c r="J6" s="102">
        <v>0</v>
      </c>
      <c r="K6" s="1063">
        <v>0</v>
      </c>
      <c r="L6" s="127">
        <v>0</v>
      </c>
      <c r="M6" s="46">
        <v>0</v>
      </c>
      <c r="N6" s="46">
        <v>0</v>
      </c>
      <c r="O6" s="130">
        <v>0</v>
      </c>
      <c r="P6" s="169">
        <f t="shared" si="0"/>
        <v>0</v>
      </c>
      <c r="Q6" s="406">
        <f t="shared" ref="Q6:Q65" si="2">A6</f>
        <v>2</v>
      </c>
      <c r="R6" s="100"/>
    </row>
    <row r="7" spans="1:18" ht="17.25" customHeight="1" x14ac:dyDescent="0.35">
      <c r="A7" s="214">
        <f t="shared" si="1"/>
        <v>3</v>
      </c>
      <c r="B7" s="615">
        <v>5999</v>
      </c>
      <c r="C7" s="161" t="s">
        <v>536</v>
      </c>
      <c r="D7" s="127">
        <v>0</v>
      </c>
      <c r="E7" s="46">
        <v>0</v>
      </c>
      <c r="F7" s="46">
        <v>0</v>
      </c>
      <c r="G7" s="130">
        <v>0</v>
      </c>
      <c r="H7" s="127">
        <v>0</v>
      </c>
      <c r="I7" s="46">
        <v>0</v>
      </c>
      <c r="J7" s="102">
        <v>0</v>
      </c>
      <c r="K7" s="1063">
        <v>0</v>
      </c>
      <c r="L7" s="127">
        <v>0</v>
      </c>
      <c r="M7" s="46">
        <v>0</v>
      </c>
      <c r="N7" s="46">
        <v>0</v>
      </c>
      <c r="O7" s="130">
        <v>0</v>
      </c>
      <c r="P7" s="169">
        <f t="shared" si="0"/>
        <v>0</v>
      </c>
      <c r="Q7" s="406">
        <f t="shared" si="2"/>
        <v>3</v>
      </c>
      <c r="R7" s="100"/>
    </row>
    <row r="8" spans="1:18" s="433" customFormat="1" ht="16" thickBot="1" x14ac:dyDescent="0.4">
      <c r="A8" s="754">
        <f t="shared" si="1"/>
        <v>4</v>
      </c>
      <c r="B8" s="141">
        <v>6011</v>
      </c>
      <c r="C8" s="245" t="s">
        <v>12</v>
      </c>
      <c r="D8" s="128">
        <v>-14397.23</v>
      </c>
      <c r="E8" s="89">
        <v>-27907.78</v>
      </c>
      <c r="F8" s="89">
        <v>3944.26</v>
      </c>
      <c r="G8" s="131">
        <v>33686.19</v>
      </c>
      <c r="H8" s="128">
        <v>11898.57</v>
      </c>
      <c r="I8" s="89">
        <v>-11485.35</v>
      </c>
      <c r="J8" s="361">
        <v>684.49</v>
      </c>
      <c r="K8" s="1064">
        <v>10240.870000000001</v>
      </c>
      <c r="L8" s="128">
        <v>21633.7</v>
      </c>
      <c r="M8" s="89">
        <v>23003.62</v>
      </c>
      <c r="N8" s="89">
        <v>34657.06</v>
      </c>
      <c r="O8" s="131">
        <v>71342.539999999994</v>
      </c>
      <c r="P8" s="845">
        <f t="shared" si="0"/>
        <v>157300.94</v>
      </c>
      <c r="Q8" s="535">
        <f t="shared" si="2"/>
        <v>4</v>
      </c>
      <c r="R8" s="161"/>
    </row>
    <row r="9" spans="1:18" s="433" customFormat="1" ht="15.5" x14ac:dyDescent="0.35">
      <c r="A9" s="214">
        <f t="shared" si="1"/>
        <v>5</v>
      </c>
      <c r="B9" s="139">
        <v>6051</v>
      </c>
      <c r="C9" s="1084" t="s">
        <v>537</v>
      </c>
      <c r="D9" s="127">
        <v>0</v>
      </c>
      <c r="E9" s="46">
        <v>0</v>
      </c>
      <c r="F9" s="46">
        <v>0</v>
      </c>
      <c r="G9" s="130">
        <v>0</v>
      </c>
      <c r="H9" s="127">
        <v>0</v>
      </c>
      <c r="I9" s="46">
        <v>0</v>
      </c>
      <c r="J9" s="102">
        <v>0</v>
      </c>
      <c r="K9" s="1063">
        <v>0</v>
      </c>
      <c r="L9" s="127">
        <v>0</v>
      </c>
      <c r="M9" s="46">
        <v>0</v>
      </c>
      <c r="N9" s="46">
        <v>0</v>
      </c>
      <c r="O9" s="130">
        <v>0</v>
      </c>
      <c r="P9" s="169">
        <f t="shared" si="0"/>
        <v>0</v>
      </c>
      <c r="Q9" s="406">
        <f t="shared" si="2"/>
        <v>5</v>
      </c>
      <c r="R9" s="161"/>
    </row>
    <row r="10" spans="1:18" s="433" customFormat="1" ht="15.5" x14ac:dyDescent="0.35">
      <c r="A10" s="214">
        <f t="shared" si="1"/>
        <v>6</v>
      </c>
      <c r="B10" s="139">
        <v>6090</v>
      </c>
      <c r="C10" s="138" t="s">
        <v>517</v>
      </c>
      <c r="D10" s="127">
        <v>0</v>
      </c>
      <c r="E10" s="46">
        <v>0</v>
      </c>
      <c r="F10" s="46">
        <v>0</v>
      </c>
      <c r="G10" s="130">
        <v>0</v>
      </c>
      <c r="H10" s="127">
        <v>0</v>
      </c>
      <c r="I10" s="46">
        <v>0</v>
      </c>
      <c r="J10" s="102">
        <v>-0.56000000000000005</v>
      </c>
      <c r="K10" s="1063">
        <v>-0.77</v>
      </c>
      <c r="L10" s="127">
        <v>-0.33</v>
      </c>
      <c r="M10" s="46">
        <v>-1.64</v>
      </c>
      <c r="N10" s="46">
        <v>-10.39</v>
      </c>
      <c r="O10" s="130">
        <v>-462.3</v>
      </c>
      <c r="P10" s="169">
        <f t="shared" si="0"/>
        <v>-475.99</v>
      </c>
      <c r="Q10" s="406">
        <f t="shared" si="2"/>
        <v>6</v>
      </c>
      <c r="R10" s="161"/>
    </row>
    <row r="11" spans="1:18" ht="15.5" x14ac:dyDescent="0.35">
      <c r="A11" s="214">
        <f t="shared" si="1"/>
        <v>7</v>
      </c>
      <c r="B11" s="139">
        <v>6194</v>
      </c>
      <c r="C11" s="161" t="s">
        <v>13</v>
      </c>
      <c r="D11" s="127">
        <v>-137.38</v>
      </c>
      <c r="E11" s="46">
        <v>-97.28</v>
      </c>
      <c r="F11" s="46">
        <v>-53.72</v>
      </c>
      <c r="G11" s="130">
        <v>-39.409999999999997</v>
      </c>
      <c r="H11" s="127">
        <v>-38.82</v>
      </c>
      <c r="I11" s="46">
        <v>-35.08</v>
      </c>
      <c r="J11" s="102">
        <v>-20.12</v>
      </c>
      <c r="K11" s="1063">
        <v>-21.75</v>
      </c>
      <c r="L11" s="127">
        <v>-70.72</v>
      </c>
      <c r="M11" s="46">
        <v>-23.3</v>
      </c>
      <c r="N11" s="46">
        <v>1360.41</v>
      </c>
      <c r="O11" s="130">
        <v>5861.7</v>
      </c>
      <c r="P11" s="169">
        <f t="shared" si="0"/>
        <v>6684.53</v>
      </c>
      <c r="Q11" s="406">
        <f t="shared" si="2"/>
        <v>7</v>
      </c>
      <c r="R11" s="100"/>
    </row>
    <row r="12" spans="1:18" s="433" customFormat="1" ht="15.5" x14ac:dyDescent="0.35">
      <c r="A12" s="214">
        <f t="shared" si="1"/>
        <v>8</v>
      </c>
      <c r="B12" s="139">
        <v>6294</v>
      </c>
      <c r="C12" s="161" t="s">
        <v>14</v>
      </c>
      <c r="D12" s="127">
        <v>-25.14</v>
      </c>
      <c r="E12" s="46">
        <v>-30.47</v>
      </c>
      <c r="F12" s="46">
        <v>1.21</v>
      </c>
      <c r="G12" s="130">
        <v>-1.86</v>
      </c>
      <c r="H12" s="127">
        <v>0.66</v>
      </c>
      <c r="I12" s="46">
        <v>-5.46</v>
      </c>
      <c r="J12" s="102">
        <v>-3.23</v>
      </c>
      <c r="K12" s="1063">
        <v>-2.86</v>
      </c>
      <c r="L12" s="127">
        <v>-11.2</v>
      </c>
      <c r="M12" s="46">
        <v>-11.36</v>
      </c>
      <c r="N12" s="46">
        <v>1120.29</v>
      </c>
      <c r="O12" s="130">
        <v>5901.52</v>
      </c>
      <c r="P12" s="169">
        <f t="shared" si="0"/>
        <v>6932.1</v>
      </c>
      <c r="Q12" s="406">
        <f t="shared" si="2"/>
        <v>8</v>
      </c>
      <c r="R12" s="161"/>
    </row>
    <row r="13" spans="1:18" ht="16" thickBot="1" x14ac:dyDescent="0.4">
      <c r="A13" s="754">
        <f t="shared" si="1"/>
        <v>9</v>
      </c>
      <c r="B13" s="141">
        <v>6457</v>
      </c>
      <c r="C13" s="1028" t="s">
        <v>84</v>
      </c>
      <c r="D13" s="128">
        <v>6.41</v>
      </c>
      <c r="E13" s="89">
        <v>0</v>
      </c>
      <c r="F13" s="89">
        <v>0</v>
      </c>
      <c r="G13" s="131">
        <v>0</v>
      </c>
      <c r="H13" s="128">
        <v>0</v>
      </c>
      <c r="I13" s="89">
        <v>0</v>
      </c>
      <c r="J13" s="361">
        <v>-0.04</v>
      </c>
      <c r="K13" s="1064">
        <v>0</v>
      </c>
      <c r="L13" s="128">
        <v>-0.4</v>
      </c>
      <c r="M13" s="89">
        <v>0</v>
      </c>
      <c r="N13" s="89">
        <v>-7.78</v>
      </c>
      <c r="O13" s="131">
        <v>-434.28</v>
      </c>
      <c r="P13" s="845">
        <f t="shared" si="0"/>
        <v>-436.09</v>
      </c>
      <c r="Q13" s="535">
        <f t="shared" si="2"/>
        <v>9</v>
      </c>
      <c r="R13" s="100"/>
    </row>
    <row r="14" spans="1:18" ht="15.5" x14ac:dyDescent="0.35">
      <c r="A14" s="214">
        <f t="shared" si="1"/>
        <v>10</v>
      </c>
      <c r="B14" s="139">
        <v>6478</v>
      </c>
      <c r="C14" s="348" t="s">
        <v>254</v>
      </c>
      <c r="D14" s="127">
        <v>0</v>
      </c>
      <c r="E14" s="46">
        <v>17.34</v>
      </c>
      <c r="F14" s="46">
        <v>6.69</v>
      </c>
      <c r="G14" s="130">
        <v>-6.43</v>
      </c>
      <c r="H14" s="127">
        <v>-22.17</v>
      </c>
      <c r="I14" s="46">
        <v>-10.220000000000001</v>
      </c>
      <c r="J14" s="102">
        <v>-418.42</v>
      </c>
      <c r="K14" s="1063">
        <v>402.32</v>
      </c>
      <c r="L14" s="127">
        <v>0.63</v>
      </c>
      <c r="M14" s="46">
        <v>-3.09</v>
      </c>
      <c r="N14" s="46">
        <v>2.12</v>
      </c>
      <c r="O14" s="130">
        <v>-36.340000000000003</v>
      </c>
      <c r="P14" s="169">
        <f t="shared" si="0"/>
        <v>-67.57000000000005</v>
      </c>
      <c r="Q14" s="406">
        <f t="shared" si="2"/>
        <v>10</v>
      </c>
      <c r="R14" s="100"/>
    </row>
    <row r="15" spans="1:18" ht="15.5" x14ac:dyDescent="0.35">
      <c r="A15" s="214">
        <f t="shared" si="1"/>
        <v>11</v>
      </c>
      <c r="B15" s="139">
        <v>6620</v>
      </c>
      <c r="C15" s="348" t="s">
        <v>518</v>
      </c>
      <c r="D15" s="127">
        <v>0</v>
      </c>
      <c r="E15" s="46">
        <v>0</v>
      </c>
      <c r="F15" s="46">
        <v>0</v>
      </c>
      <c r="G15" s="130">
        <v>0</v>
      </c>
      <c r="H15" s="127">
        <v>0</v>
      </c>
      <c r="I15" s="46">
        <v>0</v>
      </c>
      <c r="J15" s="102">
        <v>0</v>
      </c>
      <c r="K15" s="1063">
        <v>0</v>
      </c>
      <c r="L15" s="127">
        <v>0</v>
      </c>
      <c r="M15" s="46">
        <v>0</v>
      </c>
      <c r="N15" s="46">
        <v>0</v>
      </c>
      <c r="O15" s="130">
        <v>0</v>
      </c>
      <c r="P15" s="169">
        <f t="shared" si="0"/>
        <v>0</v>
      </c>
      <c r="Q15" s="406">
        <f t="shared" si="2"/>
        <v>11</v>
      </c>
      <c r="R15" s="100"/>
    </row>
    <row r="16" spans="1:18" ht="15.5" x14ac:dyDescent="0.35">
      <c r="A16" s="214">
        <f t="shared" si="1"/>
        <v>12</v>
      </c>
      <c r="B16" s="139">
        <v>6706</v>
      </c>
      <c r="C16" s="161" t="s">
        <v>459</v>
      </c>
      <c r="D16" s="127">
        <v>172.07</v>
      </c>
      <c r="E16" s="46">
        <v>-0.200000000000045</v>
      </c>
      <c r="F16" s="46">
        <v>0</v>
      </c>
      <c r="G16" s="130">
        <v>0</v>
      </c>
      <c r="H16" s="127">
        <v>0</v>
      </c>
      <c r="I16" s="46">
        <v>0</v>
      </c>
      <c r="J16" s="102">
        <v>-18.88</v>
      </c>
      <c r="K16" s="1063">
        <v>0</v>
      </c>
      <c r="L16" s="127">
        <v>-77.040000000000006</v>
      </c>
      <c r="M16" s="46">
        <v>0</v>
      </c>
      <c r="N16" s="46">
        <v>-479.49</v>
      </c>
      <c r="O16" s="130">
        <v>-14372.46</v>
      </c>
      <c r="P16" s="169">
        <f t="shared" si="0"/>
        <v>-14776</v>
      </c>
      <c r="Q16" s="406">
        <f t="shared" si="2"/>
        <v>12</v>
      </c>
      <c r="R16" s="100"/>
    </row>
    <row r="17" spans="1:19" s="433" customFormat="1" ht="15.5" x14ac:dyDescent="0.35">
      <c r="A17" s="214">
        <f t="shared" si="1"/>
        <v>13</v>
      </c>
      <c r="B17" s="139">
        <v>6788</v>
      </c>
      <c r="C17" s="161" t="s">
        <v>19</v>
      </c>
      <c r="D17" s="127">
        <v>-2950.04</v>
      </c>
      <c r="E17" s="46">
        <v>-8676.61</v>
      </c>
      <c r="F17" s="46">
        <v>-9443.26</v>
      </c>
      <c r="G17" s="130">
        <v>25317.8</v>
      </c>
      <c r="H17" s="127">
        <v>-13367.17</v>
      </c>
      <c r="I17" s="46">
        <v>3150.32</v>
      </c>
      <c r="J17" s="102">
        <v>41796.75</v>
      </c>
      <c r="K17" s="1063">
        <v>-1271.3699999999999</v>
      </c>
      <c r="L17" s="127">
        <v>805.69</v>
      </c>
      <c r="M17" s="46">
        <v>2481.79</v>
      </c>
      <c r="N17" s="46">
        <v>58851.040000000001</v>
      </c>
      <c r="O17" s="130">
        <v>188734.93</v>
      </c>
      <c r="P17" s="169">
        <f t="shared" si="0"/>
        <v>285429.87</v>
      </c>
      <c r="Q17" s="406">
        <f t="shared" si="2"/>
        <v>13</v>
      </c>
      <c r="R17" s="161"/>
    </row>
    <row r="18" spans="1:19" s="433" customFormat="1" ht="16" thickBot="1" x14ac:dyDescent="0.4">
      <c r="A18" s="754">
        <f t="shared" si="1"/>
        <v>14</v>
      </c>
      <c r="B18" s="616" t="s">
        <v>0</v>
      </c>
      <c r="C18" s="245" t="s">
        <v>1</v>
      </c>
      <c r="D18" s="128">
        <v>3.47</v>
      </c>
      <c r="E18" s="89">
        <v>0</v>
      </c>
      <c r="F18" s="89">
        <v>0</v>
      </c>
      <c r="G18" s="131">
        <v>0</v>
      </c>
      <c r="H18" s="128">
        <v>0</v>
      </c>
      <c r="I18" s="89">
        <v>0</v>
      </c>
      <c r="J18" s="361">
        <v>-0.53</v>
      </c>
      <c r="K18" s="1064">
        <v>0</v>
      </c>
      <c r="L18" s="128">
        <v>-0.77</v>
      </c>
      <c r="M18" s="89">
        <v>0</v>
      </c>
      <c r="N18" s="89">
        <v>-4.79</v>
      </c>
      <c r="O18" s="131">
        <v>-19.670000000000002</v>
      </c>
      <c r="P18" s="845">
        <f t="shared" si="0"/>
        <v>-22.290000000000003</v>
      </c>
      <c r="Q18" s="535">
        <f t="shared" si="2"/>
        <v>14</v>
      </c>
      <c r="R18" s="45"/>
      <c r="S18" s="426"/>
    </row>
    <row r="19" spans="1:19" s="433" customFormat="1" ht="15.5" x14ac:dyDescent="0.35">
      <c r="A19" s="752">
        <f t="shared" si="1"/>
        <v>15</v>
      </c>
      <c r="B19" s="171">
        <v>6947</v>
      </c>
      <c r="C19" s="348" t="s">
        <v>538</v>
      </c>
      <c r="D19" s="609">
        <v>-114572.02</v>
      </c>
      <c r="E19" s="610">
        <v>-83029.490000000005</v>
      </c>
      <c r="F19" s="610">
        <v>-90370.53</v>
      </c>
      <c r="G19" s="841">
        <v>-114080.64</v>
      </c>
      <c r="H19" s="609">
        <v>-66973.440000000002</v>
      </c>
      <c r="I19" s="610">
        <v>-65147.68</v>
      </c>
      <c r="J19" s="102">
        <v>-43357.05</v>
      </c>
      <c r="K19" s="1063">
        <v>-74031.460000000006</v>
      </c>
      <c r="L19" s="127">
        <v>-99471</v>
      </c>
      <c r="M19" s="610">
        <v>-91520.17</v>
      </c>
      <c r="N19" s="610">
        <v>-126729.4</v>
      </c>
      <c r="O19" s="841">
        <v>-244130.17</v>
      </c>
      <c r="P19" s="169">
        <f t="shared" si="0"/>
        <v>-1213413.05</v>
      </c>
      <c r="Q19" s="529">
        <f t="shared" si="2"/>
        <v>15</v>
      </c>
      <c r="R19" s="161"/>
    </row>
    <row r="20" spans="1:19" s="626" customFormat="1" ht="31" x14ac:dyDescent="0.35">
      <c r="A20" s="1020">
        <f t="shared" si="1"/>
        <v>16</v>
      </c>
      <c r="B20" s="621">
        <v>6977</v>
      </c>
      <c r="C20" s="1027" t="s">
        <v>21</v>
      </c>
      <c r="D20" s="622">
        <v>98.19</v>
      </c>
      <c r="E20" s="623">
        <v>17.149999999999999</v>
      </c>
      <c r="F20" s="623">
        <v>-26.59</v>
      </c>
      <c r="G20" s="842">
        <v>17.809999999999999</v>
      </c>
      <c r="H20" s="622">
        <v>-14.33</v>
      </c>
      <c r="I20" s="623">
        <v>-24.58</v>
      </c>
      <c r="J20" s="624">
        <v>28.94</v>
      </c>
      <c r="K20" s="1065">
        <v>-43.91</v>
      </c>
      <c r="L20" s="622">
        <v>12.15</v>
      </c>
      <c r="M20" s="1090">
        <v>5.83</v>
      </c>
      <c r="N20" s="623">
        <v>-696.21</v>
      </c>
      <c r="O20" s="842">
        <v>-2405.52</v>
      </c>
      <c r="P20" s="846">
        <f t="shared" si="0"/>
        <v>-3031.07</v>
      </c>
      <c r="Q20" s="406">
        <f t="shared" si="2"/>
        <v>16</v>
      </c>
      <c r="R20" s="625"/>
    </row>
    <row r="21" spans="1:19" s="433" customFormat="1" ht="15.5" x14ac:dyDescent="0.35">
      <c r="A21" s="214">
        <f t="shared" si="1"/>
        <v>17</v>
      </c>
      <c r="B21" s="139">
        <v>7057</v>
      </c>
      <c r="C21" s="348" t="s">
        <v>156</v>
      </c>
      <c r="D21" s="127">
        <v>0</v>
      </c>
      <c r="E21" s="46">
        <v>0</v>
      </c>
      <c r="F21" s="46">
        <v>0</v>
      </c>
      <c r="G21" s="130">
        <v>0</v>
      </c>
      <c r="H21" s="127">
        <v>0</v>
      </c>
      <c r="I21" s="46">
        <v>0</v>
      </c>
      <c r="J21" s="102">
        <v>0</v>
      </c>
      <c r="K21" s="1063">
        <v>0</v>
      </c>
      <c r="L21" s="127">
        <v>0</v>
      </c>
      <c r="M21" s="46">
        <v>0</v>
      </c>
      <c r="N21" s="46">
        <v>0</v>
      </c>
      <c r="O21" s="130">
        <v>0</v>
      </c>
      <c r="P21" s="169">
        <f t="shared" si="0"/>
        <v>0</v>
      </c>
      <c r="Q21" s="406">
        <f t="shared" si="2"/>
        <v>17</v>
      </c>
      <c r="R21" s="161"/>
    </row>
    <row r="22" spans="1:19" s="433" customFormat="1" ht="15.5" x14ac:dyDescent="0.35">
      <c r="A22" s="214">
        <f t="shared" si="1"/>
        <v>18</v>
      </c>
      <c r="B22" s="139">
        <v>7070</v>
      </c>
      <c r="C22" s="348" t="s">
        <v>352</v>
      </c>
      <c r="D22" s="127">
        <v>0</v>
      </c>
      <c r="E22" s="46">
        <v>-2662.86</v>
      </c>
      <c r="F22" s="46">
        <v>11798.62</v>
      </c>
      <c r="G22" s="130">
        <v>0</v>
      </c>
      <c r="H22" s="127">
        <v>0</v>
      </c>
      <c r="I22" s="46">
        <v>0</v>
      </c>
      <c r="J22" s="102">
        <v>0</v>
      </c>
      <c r="K22" s="1063">
        <v>0</v>
      </c>
      <c r="L22" s="127">
        <v>-0.32</v>
      </c>
      <c r="M22" s="46">
        <v>0</v>
      </c>
      <c r="N22" s="46">
        <v>6094.92</v>
      </c>
      <c r="O22" s="130">
        <v>-5263</v>
      </c>
      <c r="P22" s="169">
        <f t="shared" si="0"/>
        <v>9967.36</v>
      </c>
      <c r="Q22" s="406">
        <f t="shared" si="2"/>
        <v>18</v>
      </c>
      <c r="R22" s="161"/>
    </row>
    <row r="23" spans="1:19" s="433" customFormat="1" ht="16" thickBot="1" x14ac:dyDescent="0.4">
      <c r="A23" s="754">
        <f t="shared" si="1"/>
        <v>19</v>
      </c>
      <c r="B23" s="141">
        <v>7078</v>
      </c>
      <c r="C23" s="1028" t="s">
        <v>353</v>
      </c>
      <c r="D23" s="128">
        <v>583.88</v>
      </c>
      <c r="E23" s="89">
        <v>-929.11</v>
      </c>
      <c r="F23" s="89">
        <v>-2040.6</v>
      </c>
      <c r="G23" s="131">
        <v>-82.57</v>
      </c>
      <c r="H23" s="128">
        <v>-710.22</v>
      </c>
      <c r="I23" s="89">
        <v>41.31</v>
      </c>
      <c r="J23" s="361">
        <v>121.62</v>
      </c>
      <c r="K23" s="1064">
        <v>1.25</v>
      </c>
      <c r="L23" s="128">
        <v>4.2699999999999996</v>
      </c>
      <c r="M23" s="89">
        <v>-0.130000000000003</v>
      </c>
      <c r="N23" s="89">
        <v>-90.4</v>
      </c>
      <c r="O23" s="131">
        <v>-89.63</v>
      </c>
      <c r="P23" s="845">
        <f t="shared" si="0"/>
        <v>-3190.3300000000004</v>
      </c>
      <c r="Q23" s="535">
        <f t="shared" si="2"/>
        <v>19</v>
      </c>
      <c r="R23" s="161"/>
    </row>
    <row r="24" spans="1:19" ht="15.5" x14ac:dyDescent="0.35">
      <c r="A24" s="752">
        <f t="shared" si="1"/>
        <v>20</v>
      </c>
      <c r="B24" s="139">
        <v>7989</v>
      </c>
      <c r="C24" s="262" t="s">
        <v>126</v>
      </c>
      <c r="D24" s="127">
        <v>-56.25</v>
      </c>
      <c r="E24" s="46">
        <v>-431.39</v>
      </c>
      <c r="F24" s="46">
        <v>-103.53999999999999</v>
      </c>
      <c r="G24" s="841">
        <v>-147.46000000000004</v>
      </c>
      <c r="H24" s="609">
        <v>-428.45</v>
      </c>
      <c r="I24" s="610">
        <v>-200.38</v>
      </c>
      <c r="J24" s="102">
        <v>-67.899999999999991</v>
      </c>
      <c r="K24" s="1063">
        <v>-164.2</v>
      </c>
      <c r="L24" s="127">
        <v>-337.99</v>
      </c>
      <c r="M24" s="610">
        <v>-252.70000000000002</v>
      </c>
      <c r="N24" s="610">
        <v>-83.71</v>
      </c>
      <c r="O24" s="841">
        <v>-114.8</v>
      </c>
      <c r="P24" s="169">
        <f t="shared" si="0"/>
        <v>-2388.77</v>
      </c>
      <c r="Q24" s="529">
        <f t="shared" si="2"/>
        <v>20</v>
      </c>
      <c r="R24" s="100"/>
    </row>
    <row r="25" spans="1:19" ht="15.5" x14ac:dyDescent="0.35">
      <c r="A25" s="214">
        <f t="shared" si="1"/>
        <v>21</v>
      </c>
      <c r="B25" s="139">
        <v>8526</v>
      </c>
      <c r="C25" s="161" t="s">
        <v>198</v>
      </c>
      <c r="D25" s="127">
        <v>0</v>
      </c>
      <c r="E25" s="46">
        <v>0</v>
      </c>
      <c r="F25" s="46">
        <v>0</v>
      </c>
      <c r="G25" s="130">
        <v>0</v>
      </c>
      <c r="H25" s="127">
        <v>0</v>
      </c>
      <c r="I25" s="46">
        <v>0</v>
      </c>
      <c r="J25" s="102">
        <v>0</v>
      </c>
      <c r="K25" s="1063">
        <v>-1513.59</v>
      </c>
      <c r="L25" s="127">
        <v>0</v>
      </c>
      <c r="M25" s="46">
        <v>0</v>
      </c>
      <c r="N25" s="46">
        <v>0</v>
      </c>
      <c r="O25" s="130">
        <v>0</v>
      </c>
      <c r="P25" s="169">
        <f t="shared" si="0"/>
        <v>-1513.59</v>
      </c>
      <c r="Q25" s="406">
        <f t="shared" si="2"/>
        <v>21</v>
      </c>
      <c r="R25" s="100"/>
    </row>
    <row r="26" spans="1:19" ht="15.5" x14ac:dyDescent="0.35">
      <c r="A26" s="214">
        <f t="shared" si="1"/>
        <v>22</v>
      </c>
      <c r="B26" s="139">
        <v>8989</v>
      </c>
      <c r="C26" s="161" t="s">
        <v>516</v>
      </c>
      <c r="D26" s="127">
        <v>-178.4</v>
      </c>
      <c r="E26" s="46">
        <v>0</v>
      </c>
      <c r="F26" s="46">
        <v>0</v>
      </c>
      <c r="G26" s="130">
        <v>0</v>
      </c>
      <c r="H26" s="127">
        <v>0</v>
      </c>
      <c r="I26" s="46">
        <v>0</v>
      </c>
      <c r="J26" s="102">
        <v>0</v>
      </c>
      <c r="K26" s="1063">
        <v>0</v>
      </c>
      <c r="L26" s="127">
        <v>0</v>
      </c>
      <c r="M26" s="46">
        <v>0</v>
      </c>
      <c r="N26" s="46">
        <v>0</v>
      </c>
      <c r="O26" s="130">
        <v>0</v>
      </c>
      <c r="P26" s="169">
        <f t="shared" si="0"/>
        <v>-178.4</v>
      </c>
      <c r="Q26" s="406">
        <f t="shared" si="2"/>
        <v>22</v>
      </c>
      <c r="R26" s="100"/>
    </row>
    <row r="27" spans="1:19" ht="15.5" x14ac:dyDescent="0.35">
      <c r="A27" s="214">
        <f t="shared" si="1"/>
        <v>23</v>
      </c>
      <c r="B27" s="139">
        <v>8999</v>
      </c>
      <c r="C27" s="161" t="s">
        <v>72</v>
      </c>
      <c r="D27" s="127">
        <v>0</v>
      </c>
      <c r="E27" s="46">
        <v>0</v>
      </c>
      <c r="F27" s="46">
        <v>0</v>
      </c>
      <c r="G27" s="130">
        <v>0</v>
      </c>
      <c r="H27" s="127">
        <v>0</v>
      </c>
      <c r="I27" s="46">
        <v>0</v>
      </c>
      <c r="J27" s="102">
        <v>0</v>
      </c>
      <c r="K27" s="1063">
        <v>0</v>
      </c>
      <c r="L27" s="127">
        <v>0</v>
      </c>
      <c r="M27" s="46">
        <v>0</v>
      </c>
      <c r="N27" s="46">
        <v>0</v>
      </c>
      <c r="O27" s="130">
        <v>0</v>
      </c>
      <c r="P27" s="169">
        <f t="shared" si="0"/>
        <v>0</v>
      </c>
      <c r="Q27" s="406">
        <f t="shared" si="2"/>
        <v>23</v>
      </c>
      <c r="R27" s="100"/>
    </row>
    <row r="28" spans="1:19" s="433" customFormat="1" ht="15.5" x14ac:dyDescent="0.35">
      <c r="A28" s="214">
        <f t="shared" si="1"/>
        <v>24</v>
      </c>
      <c r="B28" s="139"/>
      <c r="C28" s="161" t="s">
        <v>529</v>
      </c>
      <c r="D28" s="127">
        <v>0</v>
      </c>
      <c r="E28" s="46">
        <v>0</v>
      </c>
      <c r="F28" s="46">
        <v>0</v>
      </c>
      <c r="G28" s="130">
        <v>0</v>
      </c>
      <c r="H28" s="127">
        <v>0</v>
      </c>
      <c r="I28" s="46">
        <v>0</v>
      </c>
      <c r="J28" s="102">
        <v>0</v>
      </c>
      <c r="K28" s="1063">
        <v>0</v>
      </c>
      <c r="L28" s="127">
        <v>0</v>
      </c>
      <c r="M28" s="46">
        <v>0</v>
      </c>
      <c r="N28" s="46">
        <v>0</v>
      </c>
      <c r="O28" s="130">
        <v>0</v>
      </c>
      <c r="P28" s="169">
        <f t="shared" si="0"/>
        <v>0</v>
      </c>
      <c r="Q28" s="406">
        <f t="shared" si="2"/>
        <v>24</v>
      </c>
      <c r="R28" s="161"/>
    </row>
    <row r="29" spans="1:19" ht="16" thickBot="1" x14ac:dyDescent="0.4">
      <c r="A29" s="754">
        <f t="shared" si="1"/>
        <v>25</v>
      </c>
      <c r="B29" s="141"/>
      <c r="C29" s="245"/>
      <c r="D29" s="128"/>
      <c r="E29" s="89"/>
      <c r="F29" s="89"/>
      <c r="G29" s="131"/>
      <c r="H29" s="128"/>
      <c r="I29" s="89"/>
      <c r="J29" s="361"/>
      <c r="K29" s="1064"/>
      <c r="L29" s="128"/>
      <c r="M29" s="89"/>
      <c r="N29" s="89"/>
      <c r="O29" s="131"/>
      <c r="P29" s="845"/>
      <c r="Q29" s="535">
        <f t="shared" si="2"/>
        <v>25</v>
      </c>
      <c r="R29" s="100"/>
    </row>
    <row r="30" spans="1:19" s="287" customFormat="1" ht="15.5" x14ac:dyDescent="0.35">
      <c r="A30" s="1021">
        <f t="shared" si="1"/>
        <v>26</v>
      </c>
      <c r="B30" s="638"/>
      <c r="C30" s="1026" t="s">
        <v>358</v>
      </c>
      <c r="D30" s="640"/>
      <c r="E30" s="641"/>
      <c r="F30" s="641"/>
      <c r="G30" s="840"/>
      <c r="H30" s="640"/>
      <c r="I30" s="431"/>
      <c r="J30" s="645"/>
      <c r="K30" s="1066"/>
      <c r="L30" s="640"/>
      <c r="M30" s="431"/>
      <c r="N30" s="641"/>
      <c r="O30" s="840"/>
      <c r="P30" s="847"/>
      <c r="Q30" s="529">
        <f t="shared" si="2"/>
        <v>26</v>
      </c>
    </row>
    <row r="31" spans="1:19" s="287" customFormat="1" ht="15.5" x14ac:dyDescent="0.35">
      <c r="A31" s="1085">
        <f t="shared" si="1"/>
        <v>27</v>
      </c>
      <c r="B31" s="1086" t="s">
        <v>519</v>
      </c>
      <c r="C31" s="161" t="s">
        <v>520</v>
      </c>
      <c r="D31" s="127">
        <v>0</v>
      </c>
      <c r="E31" s="46">
        <v>0</v>
      </c>
      <c r="F31" s="46">
        <v>0</v>
      </c>
      <c r="G31" s="130">
        <v>0</v>
      </c>
      <c r="H31" s="127">
        <v>0</v>
      </c>
      <c r="I31" s="46">
        <v>0</v>
      </c>
      <c r="J31" s="46">
        <v>0</v>
      </c>
      <c r="K31" s="130">
        <v>0</v>
      </c>
      <c r="L31" s="127">
        <v>0</v>
      </c>
      <c r="M31" s="46">
        <v>0</v>
      </c>
      <c r="N31" s="46">
        <v>1.42</v>
      </c>
      <c r="O31" s="130">
        <v>0</v>
      </c>
      <c r="P31" s="169">
        <f t="shared" ref="P31:P57" si="3">SUM(D31:O31)</f>
        <v>1.42</v>
      </c>
      <c r="Q31" s="406">
        <f t="shared" si="2"/>
        <v>27</v>
      </c>
    </row>
    <row r="32" spans="1:19" s="287" customFormat="1" ht="15.5" x14ac:dyDescent="0.35">
      <c r="A32" s="214">
        <f t="shared" si="1"/>
        <v>28</v>
      </c>
      <c r="B32" s="615" t="s">
        <v>75</v>
      </c>
      <c r="C32" s="161" t="s">
        <v>76</v>
      </c>
      <c r="D32" s="127">
        <v>-126.81</v>
      </c>
      <c r="E32" s="46">
        <v>0</v>
      </c>
      <c r="F32" s="46">
        <v>0</v>
      </c>
      <c r="G32" s="130">
        <v>0</v>
      </c>
      <c r="H32" s="127">
        <v>0</v>
      </c>
      <c r="I32" s="46">
        <v>0</v>
      </c>
      <c r="J32" s="102">
        <v>9.5900000000000034</v>
      </c>
      <c r="K32" s="1063">
        <v>0</v>
      </c>
      <c r="L32" s="127">
        <v>22.909999999999997</v>
      </c>
      <c r="M32" s="46">
        <v>0</v>
      </c>
      <c r="N32" s="46">
        <v>134.51</v>
      </c>
      <c r="O32" s="130">
        <v>1132.99</v>
      </c>
      <c r="P32" s="169">
        <f t="shared" si="3"/>
        <v>1173.19</v>
      </c>
      <c r="Q32" s="406">
        <f t="shared" si="2"/>
        <v>28</v>
      </c>
      <c r="R32" s="100"/>
      <c r="S32" s="396"/>
    </row>
    <row r="33" spans="1:19" s="287" customFormat="1" ht="15.5" x14ac:dyDescent="0.35">
      <c r="A33" s="214">
        <f t="shared" si="1"/>
        <v>29</v>
      </c>
      <c r="B33" s="615">
        <v>1303</v>
      </c>
      <c r="C33" s="161" t="s">
        <v>521</v>
      </c>
      <c r="D33" s="127">
        <v>0</v>
      </c>
      <c r="E33" s="46">
        <v>0</v>
      </c>
      <c r="F33" s="46">
        <v>0</v>
      </c>
      <c r="G33" s="130">
        <v>0</v>
      </c>
      <c r="H33" s="127">
        <v>0</v>
      </c>
      <c r="I33" s="46">
        <v>0</v>
      </c>
      <c r="J33" s="102">
        <v>0</v>
      </c>
      <c r="K33" s="1063">
        <v>0</v>
      </c>
      <c r="L33" s="127">
        <v>0</v>
      </c>
      <c r="M33" s="46">
        <v>0</v>
      </c>
      <c r="N33" s="46">
        <v>0</v>
      </c>
      <c r="O33" s="130">
        <v>0</v>
      </c>
      <c r="P33" s="169">
        <f t="shared" si="3"/>
        <v>0</v>
      </c>
      <c r="Q33" s="406">
        <f t="shared" si="2"/>
        <v>29</v>
      </c>
      <c r="R33" s="100"/>
      <c r="S33" s="396"/>
    </row>
    <row r="34" spans="1:19" s="287" customFormat="1" ht="16" thickBot="1" x14ac:dyDescent="0.4">
      <c r="A34" s="754">
        <f t="shared" si="1"/>
        <v>30</v>
      </c>
      <c r="B34" s="616">
        <v>4512</v>
      </c>
      <c r="C34" s="245" t="s">
        <v>539</v>
      </c>
      <c r="D34" s="128">
        <v>0</v>
      </c>
      <c r="E34" s="89">
        <v>0</v>
      </c>
      <c r="F34" s="89">
        <v>0</v>
      </c>
      <c r="G34" s="131">
        <v>0</v>
      </c>
      <c r="H34" s="128">
        <v>0</v>
      </c>
      <c r="I34" s="89">
        <v>0</v>
      </c>
      <c r="J34" s="361">
        <v>0</v>
      </c>
      <c r="K34" s="1064">
        <v>0</v>
      </c>
      <c r="L34" s="128">
        <v>0</v>
      </c>
      <c r="M34" s="89">
        <v>0</v>
      </c>
      <c r="N34" s="89">
        <v>0</v>
      </c>
      <c r="O34" s="131">
        <v>0</v>
      </c>
      <c r="P34" s="845">
        <f t="shared" si="3"/>
        <v>0</v>
      </c>
      <c r="Q34" s="535">
        <f t="shared" si="2"/>
        <v>30</v>
      </c>
      <c r="R34" s="100"/>
      <c r="S34" s="396"/>
    </row>
    <row r="35" spans="1:19" s="433" customFormat="1" ht="15.5" x14ac:dyDescent="0.35">
      <c r="A35" s="214">
        <f t="shared" si="1"/>
        <v>31</v>
      </c>
      <c r="B35" s="615" t="s">
        <v>154</v>
      </c>
      <c r="C35" s="161" t="s">
        <v>155</v>
      </c>
      <c r="D35" s="127">
        <v>45.28</v>
      </c>
      <c r="E35" s="46">
        <v>37.739999999999995</v>
      </c>
      <c r="F35" s="46">
        <v>35.229999999999997</v>
      </c>
      <c r="G35" s="130">
        <v>38.4</v>
      </c>
      <c r="H35" s="127">
        <v>33.08</v>
      </c>
      <c r="I35" s="46">
        <v>43.22</v>
      </c>
      <c r="J35" s="102">
        <v>31.22</v>
      </c>
      <c r="K35" s="1063">
        <v>37.479999999999997</v>
      </c>
      <c r="L35" s="127">
        <v>44.4</v>
      </c>
      <c r="M35" s="46">
        <v>33.6</v>
      </c>
      <c r="N35" s="46">
        <v>33.6</v>
      </c>
      <c r="O35" s="130">
        <v>42</v>
      </c>
      <c r="P35" s="169">
        <f t="shared" si="3"/>
        <v>455.25000000000006</v>
      </c>
      <c r="Q35" s="406">
        <f t="shared" si="2"/>
        <v>31</v>
      </c>
      <c r="R35" s="161"/>
    </row>
    <row r="36" spans="1:19" s="433" customFormat="1" ht="15.5" x14ac:dyDescent="0.35">
      <c r="A36" s="214">
        <f t="shared" si="1"/>
        <v>32</v>
      </c>
      <c r="B36" s="139">
        <v>4560</v>
      </c>
      <c r="C36" s="161" t="s">
        <v>181</v>
      </c>
      <c r="D36" s="127">
        <v>1423.3199999999997</v>
      </c>
      <c r="E36" s="46">
        <v>688.68000000000006</v>
      </c>
      <c r="F36" s="46">
        <v>1736.28</v>
      </c>
      <c r="G36" s="130">
        <v>408.68</v>
      </c>
      <c r="H36" s="127">
        <v>1059.8899999999999</v>
      </c>
      <c r="I36" s="46">
        <v>1222.99</v>
      </c>
      <c r="J36" s="102">
        <v>1294.3000000000002</v>
      </c>
      <c r="K36" s="1063">
        <v>677.21</v>
      </c>
      <c r="L36" s="127">
        <v>671.42000000000007</v>
      </c>
      <c r="M36" s="46">
        <v>277.14</v>
      </c>
      <c r="N36" s="46">
        <v>1427.6299999999999</v>
      </c>
      <c r="O36" s="130">
        <v>4777.2700000000004</v>
      </c>
      <c r="P36" s="169">
        <f t="shared" si="3"/>
        <v>15664.81</v>
      </c>
      <c r="Q36" s="406">
        <f t="shared" si="2"/>
        <v>32</v>
      </c>
      <c r="R36" s="161"/>
    </row>
    <row r="37" spans="1:19" ht="15.5" x14ac:dyDescent="0.35">
      <c r="A37" s="214">
        <f t="shared" si="1"/>
        <v>33</v>
      </c>
      <c r="B37" s="139">
        <v>4561</v>
      </c>
      <c r="C37" s="161" t="s">
        <v>182</v>
      </c>
      <c r="D37" s="127">
        <v>464.59000000000003</v>
      </c>
      <c r="E37" s="46">
        <v>369.77</v>
      </c>
      <c r="F37" s="46">
        <v>123.07</v>
      </c>
      <c r="G37" s="130">
        <v>15.129999999999967</v>
      </c>
      <c r="H37" s="127">
        <v>206.86999999999995</v>
      </c>
      <c r="I37" s="46">
        <v>648.07000000000005</v>
      </c>
      <c r="J37" s="102">
        <v>-36.20999999999998</v>
      </c>
      <c r="K37" s="1063">
        <v>363.96</v>
      </c>
      <c r="L37" s="127">
        <v>165.87000000000003</v>
      </c>
      <c r="M37" s="46">
        <v>207.73000000000002</v>
      </c>
      <c r="N37" s="46">
        <v>1407.5700000000002</v>
      </c>
      <c r="O37" s="130">
        <v>4347.5199999999995</v>
      </c>
      <c r="P37" s="169">
        <f t="shared" si="3"/>
        <v>8283.9399999999987</v>
      </c>
      <c r="Q37" s="406">
        <f t="shared" si="2"/>
        <v>33</v>
      </c>
      <c r="R37" s="100"/>
    </row>
    <row r="38" spans="1:19" ht="15.5" x14ac:dyDescent="0.35">
      <c r="A38" s="214">
        <f t="shared" si="1"/>
        <v>34</v>
      </c>
      <c r="B38" s="139">
        <v>4563</v>
      </c>
      <c r="C38" s="161" t="s">
        <v>183</v>
      </c>
      <c r="D38" s="127">
        <v>40958.639999999999</v>
      </c>
      <c r="E38" s="46">
        <v>28550.519999999997</v>
      </c>
      <c r="F38" s="46">
        <v>30777.06</v>
      </c>
      <c r="G38" s="130">
        <v>40435.160000000003</v>
      </c>
      <c r="H38" s="127">
        <v>35675.64</v>
      </c>
      <c r="I38" s="46">
        <v>47375.520000000004</v>
      </c>
      <c r="J38" s="102">
        <v>31442.659999999996</v>
      </c>
      <c r="K38" s="1063">
        <v>40440.9</v>
      </c>
      <c r="L38" s="127">
        <v>51268.2</v>
      </c>
      <c r="M38" s="46">
        <v>44790.240000000005</v>
      </c>
      <c r="N38" s="46">
        <v>45243.479999999996</v>
      </c>
      <c r="O38" s="130">
        <v>51261.119999999995</v>
      </c>
      <c r="P38" s="169">
        <f t="shared" si="3"/>
        <v>488219.14</v>
      </c>
      <c r="Q38" s="406">
        <f t="shared" si="2"/>
        <v>34</v>
      </c>
      <c r="R38" s="100"/>
    </row>
    <row r="39" spans="1:19" s="433" customFormat="1" ht="17.25" customHeight="1" thickBot="1" x14ac:dyDescent="0.4">
      <c r="A39" s="754">
        <f t="shared" si="1"/>
        <v>35</v>
      </c>
      <c r="B39" s="616" t="s">
        <v>73</v>
      </c>
      <c r="C39" s="245" t="s">
        <v>74</v>
      </c>
      <c r="D39" s="128">
        <v>1000</v>
      </c>
      <c r="E39" s="89">
        <v>1000</v>
      </c>
      <c r="F39" s="89">
        <v>1000</v>
      </c>
      <c r="G39" s="131">
        <v>1000</v>
      </c>
      <c r="H39" s="128">
        <v>1000</v>
      </c>
      <c r="I39" s="89">
        <v>1000</v>
      </c>
      <c r="J39" s="361">
        <v>1000</v>
      </c>
      <c r="K39" s="1064">
        <v>1000</v>
      </c>
      <c r="L39" s="128">
        <v>1000</v>
      </c>
      <c r="M39" s="89">
        <v>1000</v>
      </c>
      <c r="N39" s="89">
        <v>1000</v>
      </c>
      <c r="O39" s="131">
        <v>1000</v>
      </c>
      <c r="P39" s="845">
        <f t="shared" si="3"/>
        <v>12000</v>
      </c>
      <c r="Q39" s="535">
        <f t="shared" si="2"/>
        <v>35</v>
      </c>
      <c r="R39" s="161"/>
    </row>
    <row r="40" spans="1:19" ht="15.5" x14ac:dyDescent="0.35">
      <c r="A40" s="214">
        <f t="shared" si="1"/>
        <v>36</v>
      </c>
      <c r="B40" s="139">
        <v>6196</v>
      </c>
      <c r="C40" s="161" t="s">
        <v>276</v>
      </c>
      <c r="D40" s="127">
        <v>0</v>
      </c>
      <c r="E40" s="46">
        <v>0</v>
      </c>
      <c r="F40" s="46">
        <v>0</v>
      </c>
      <c r="G40" s="130">
        <v>0</v>
      </c>
      <c r="H40" s="127">
        <v>0</v>
      </c>
      <c r="I40" s="46">
        <v>0</v>
      </c>
      <c r="J40" s="102">
        <v>-6.62</v>
      </c>
      <c r="K40" s="1063">
        <v>14.65</v>
      </c>
      <c r="L40" s="127">
        <v>0.67</v>
      </c>
      <c r="M40" s="46">
        <v>2.76</v>
      </c>
      <c r="N40" s="46">
        <v>285.26</v>
      </c>
      <c r="O40" s="130">
        <v>1828.62</v>
      </c>
      <c r="P40" s="169">
        <f t="shared" si="3"/>
        <v>2125.3399999999997</v>
      </c>
      <c r="Q40" s="406">
        <f t="shared" si="2"/>
        <v>36</v>
      </c>
      <c r="R40" s="100"/>
    </row>
    <row r="41" spans="1:19" ht="15.5" x14ac:dyDescent="0.35">
      <c r="A41" s="214">
        <f t="shared" si="1"/>
        <v>37</v>
      </c>
      <c r="B41" s="139">
        <v>6296</v>
      </c>
      <c r="C41" s="161" t="s">
        <v>522</v>
      </c>
      <c r="D41" s="127">
        <v>0</v>
      </c>
      <c r="E41" s="46">
        <v>0</v>
      </c>
      <c r="F41" s="46">
        <v>0</v>
      </c>
      <c r="G41" s="130">
        <v>0</v>
      </c>
      <c r="H41" s="127">
        <v>0</v>
      </c>
      <c r="I41" s="46">
        <v>0</v>
      </c>
      <c r="J41" s="102">
        <v>-4.21</v>
      </c>
      <c r="K41" s="1063">
        <v>0.64</v>
      </c>
      <c r="L41" s="127">
        <v>-0.01</v>
      </c>
      <c r="M41" s="46">
        <v>0.61</v>
      </c>
      <c r="N41" s="46">
        <v>214.45000000000002</v>
      </c>
      <c r="O41" s="130">
        <v>1834.22</v>
      </c>
      <c r="P41" s="169">
        <f t="shared" si="3"/>
        <v>2045.7</v>
      </c>
      <c r="Q41" s="406">
        <f t="shared" si="2"/>
        <v>37</v>
      </c>
      <c r="R41" s="100"/>
    </row>
    <row r="42" spans="1:19" s="433" customFormat="1" ht="15.5" x14ac:dyDescent="0.35">
      <c r="A42" s="214">
        <f t="shared" si="1"/>
        <v>38</v>
      </c>
      <c r="B42" s="139">
        <v>6455</v>
      </c>
      <c r="C42" s="161" t="s">
        <v>540</v>
      </c>
      <c r="D42" s="127">
        <v>0</v>
      </c>
      <c r="E42" s="46">
        <v>0</v>
      </c>
      <c r="F42" s="46">
        <v>0</v>
      </c>
      <c r="G42" s="130">
        <v>0</v>
      </c>
      <c r="H42" s="127">
        <v>0</v>
      </c>
      <c r="I42" s="46">
        <v>0</v>
      </c>
      <c r="J42" s="102">
        <v>0</v>
      </c>
      <c r="K42" s="1063">
        <v>0</v>
      </c>
      <c r="L42" s="127">
        <v>0</v>
      </c>
      <c r="M42" s="46">
        <v>0</v>
      </c>
      <c r="N42" s="46">
        <v>0</v>
      </c>
      <c r="O42" s="130">
        <v>0</v>
      </c>
      <c r="P42" s="169">
        <f t="shared" si="3"/>
        <v>0</v>
      </c>
      <c r="Q42" s="406">
        <f t="shared" si="2"/>
        <v>38</v>
      </c>
      <c r="R42" s="161"/>
    </row>
    <row r="43" spans="1:19" s="433" customFormat="1" ht="15.5" x14ac:dyDescent="0.35">
      <c r="A43" s="214">
        <f t="shared" si="1"/>
        <v>39</v>
      </c>
      <c r="B43" s="139" t="s">
        <v>168</v>
      </c>
      <c r="C43" s="161" t="s">
        <v>169</v>
      </c>
      <c r="D43" s="127">
        <v>1978.19</v>
      </c>
      <c r="E43" s="46">
        <v>8368.6099999999988</v>
      </c>
      <c r="F43" s="46">
        <v>9970.35</v>
      </c>
      <c r="G43" s="130">
        <v>5089.2699999999995</v>
      </c>
      <c r="H43" s="127">
        <v>-955.69999999999993</v>
      </c>
      <c r="I43" s="46">
        <v>-8248.01</v>
      </c>
      <c r="J43" s="102">
        <v>-4997.12</v>
      </c>
      <c r="K43" s="1063">
        <v>7009.09</v>
      </c>
      <c r="L43" s="127">
        <v>-184.91999999999996</v>
      </c>
      <c r="M43" s="46">
        <v>4140.2299999999996</v>
      </c>
      <c r="N43" s="46">
        <v>226307.02000000002</v>
      </c>
      <c r="O43" s="130">
        <v>161657.69</v>
      </c>
      <c r="P43" s="169">
        <f t="shared" si="3"/>
        <v>410134.7</v>
      </c>
      <c r="Q43" s="406">
        <f t="shared" si="2"/>
        <v>39</v>
      </c>
      <c r="R43" s="161"/>
    </row>
    <row r="44" spans="1:19" ht="16" thickBot="1" x14ac:dyDescent="0.4">
      <c r="A44" s="754">
        <f t="shared" si="1"/>
        <v>40</v>
      </c>
      <c r="B44" s="141">
        <v>6470</v>
      </c>
      <c r="C44" s="245" t="s">
        <v>15</v>
      </c>
      <c r="D44" s="128">
        <v>2574.1500000000005</v>
      </c>
      <c r="E44" s="89">
        <v>2840.0000000000005</v>
      </c>
      <c r="F44" s="89">
        <v>2394.1799999999998</v>
      </c>
      <c r="G44" s="131">
        <v>-3036.2800000000007</v>
      </c>
      <c r="H44" s="128">
        <v>7372.5699999999988</v>
      </c>
      <c r="I44" s="89">
        <v>-416.70999999999987</v>
      </c>
      <c r="J44" s="361">
        <v>-21374.390000000003</v>
      </c>
      <c r="K44" s="1064">
        <v>-75.790000000000006</v>
      </c>
      <c r="L44" s="128">
        <v>860.06000000000006</v>
      </c>
      <c r="M44" s="89">
        <v>-595.4899999999999</v>
      </c>
      <c r="N44" s="89">
        <v>84690.3</v>
      </c>
      <c r="O44" s="131">
        <v>438654.59</v>
      </c>
      <c r="P44" s="845">
        <f t="shared" si="3"/>
        <v>513887.19000000006</v>
      </c>
      <c r="Q44" s="535">
        <f t="shared" si="2"/>
        <v>40</v>
      </c>
      <c r="R44" s="100"/>
    </row>
    <row r="45" spans="1:19" s="433" customFormat="1" ht="15.5" x14ac:dyDescent="0.35">
      <c r="A45" s="214">
        <f t="shared" si="1"/>
        <v>41</v>
      </c>
      <c r="B45" s="139">
        <v>6477</v>
      </c>
      <c r="C45" s="161" t="s">
        <v>16</v>
      </c>
      <c r="D45" s="127">
        <v>-436.08000000000004</v>
      </c>
      <c r="E45" s="46">
        <v>411.3900000000001</v>
      </c>
      <c r="F45" s="46">
        <v>-281.37</v>
      </c>
      <c r="G45" s="130">
        <v>-112.45999999999995</v>
      </c>
      <c r="H45" s="127">
        <v>-66.019999999999982</v>
      </c>
      <c r="I45" s="46">
        <v>244.68</v>
      </c>
      <c r="J45" s="102">
        <v>-677.02</v>
      </c>
      <c r="K45" s="1063">
        <v>778.94999999999993</v>
      </c>
      <c r="L45" s="127">
        <v>-783.2</v>
      </c>
      <c r="M45" s="46">
        <v>-114.46000000000001</v>
      </c>
      <c r="N45" s="46">
        <v>16555.8</v>
      </c>
      <c r="O45" s="130">
        <v>41974.99</v>
      </c>
      <c r="P45" s="169">
        <f t="shared" si="3"/>
        <v>57495.199999999997</v>
      </c>
      <c r="Q45" s="406">
        <f t="shared" si="2"/>
        <v>41</v>
      </c>
      <c r="R45" s="161"/>
    </row>
    <row r="46" spans="1:19" s="433" customFormat="1" ht="15.5" x14ac:dyDescent="0.35">
      <c r="A46" s="214">
        <f t="shared" si="1"/>
        <v>42</v>
      </c>
      <c r="B46" s="139">
        <v>6480</v>
      </c>
      <c r="C46" s="161" t="s">
        <v>460</v>
      </c>
      <c r="D46" s="127">
        <v>0</v>
      </c>
      <c r="E46" s="46">
        <v>0</v>
      </c>
      <c r="F46" s="46">
        <v>0</v>
      </c>
      <c r="G46" s="130">
        <v>0.1</v>
      </c>
      <c r="H46" s="127">
        <v>-0.1</v>
      </c>
      <c r="I46" s="46">
        <v>0.5</v>
      </c>
      <c r="J46" s="102">
        <v>-0.5</v>
      </c>
      <c r="K46" s="1063">
        <v>0</v>
      </c>
      <c r="L46" s="127">
        <v>0</v>
      </c>
      <c r="M46" s="46">
        <v>0</v>
      </c>
      <c r="N46" s="46">
        <v>3393.41</v>
      </c>
      <c r="O46" s="130">
        <v>-2227.89</v>
      </c>
      <c r="P46" s="169">
        <f t="shared" si="3"/>
        <v>1165.52</v>
      </c>
      <c r="Q46" s="406">
        <f t="shared" si="2"/>
        <v>42</v>
      </c>
      <c r="R46" s="161"/>
    </row>
    <row r="47" spans="1:19" s="433" customFormat="1" ht="15.5" x14ac:dyDescent="0.35">
      <c r="A47" s="214">
        <f t="shared" si="1"/>
        <v>43</v>
      </c>
      <c r="B47" s="139">
        <v>6636</v>
      </c>
      <c r="C47" s="161" t="s">
        <v>360</v>
      </c>
      <c r="D47" s="127">
        <v>0</v>
      </c>
      <c r="E47" s="46">
        <v>0</v>
      </c>
      <c r="F47" s="46">
        <v>0</v>
      </c>
      <c r="G47" s="130">
        <v>0</v>
      </c>
      <c r="H47" s="127">
        <v>0</v>
      </c>
      <c r="I47" s="46">
        <v>0</v>
      </c>
      <c r="J47" s="102">
        <v>0</v>
      </c>
      <c r="K47" s="1063">
        <v>0</v>
      </c>
      <c r="L47" s="127">
        <v>0</v>
      </c>
      <c r="M47" s="46">
        <v>0</v>
      </c>
      <c r="N47" s="46">
        <v>0</v>
      </c>
      <c r="O47" s="130">
        <v>0</v>
      </c>
      <c r="P47" s="169">
        <f t="shared" si="3"/>
        <v>0</v>
      </c>
      <c r="Q47" s="406">
        <f t="shared" si="2"/>
        <v>43</v>
      </c>
      <c r="R47" s="161"/>
    </row>
    <row r="48" spans="1:19" ht="15.5" x14ac:dyDescent="0.35">
      <c r="A48" s="214">
        <f t="shared" si="1"/>
        <v>44</v>
      </c>
      <c r="B48" s="139">
        <v>6678</v>
      </c>
      <c r="C48" s="161" t="s">
        <v>17</v>
      </c>
      <c r="D48" s="127">
        <v>113.75999999999999</v>
      </c>
      <c r="E48" s="46">
        <v>-140.01</v>
      </c>
      <c r="F48" s="46">
        <v>241.01</v>
      </c>
      <c r="G48" s="130">
        <v>-117.58</v>
      </c>
      <c r="H48" s="127">
        <v>-15.700000000000005</v>
      </c>
      <c r="I48" s="46">
        <v>142.58999999999997</v>
      </c>
      <c r="J48" s="102">
        <v>-156.35999999999999</v>
      </c>
      <c r="K48" s="1063">
        <v>-7.92</v>
      </c>
      <c r="L48" s="127">
        <v>5.0100000000000016</v>
      </c>
      <c r="M48" s="46">
        <v>15.7</v>
      </c>
      <c r="N48" s="46">
        <v>4336.26</v>
      </c>
      <c r="O48" s="130">
        <v>14888.92</v>
      </c>
      <c r="P48" s="169">
        <f t="shared" si="3"/>
        <v>19305.68</v>
      </c>
      <c r="Q48" s="406">
        <f t="shared" si="2"/>
        <v>44</v>
      </c>
      <c r="R48" s="100"/>
    </row>
    <row r="49" spans="1:19" s="433" customFormat="1" ht="17.149999999999999" customHeight="1" thickBot="1" x14ac:dyDescent="0.4">
      <c r="A49" s="754">
        <f t="shared" si="1"/>
        <v>45</v>
      </c>
      <c r="B49" s="141">
        <v>6774</v>
      </c>
      <c r="C49" s="245" t="s">
        <v>18</v>
      </c>
      <c r="D49" s="128">
        <v>-222.27999999999997</v>
      </c>
      <c r="E49" s="89">
        <v>364.72999999999996</v>
      </c>
      <c r="F49" s="89">
        <v>-405.66</v>
      </c>
      <c r="G49" s="131">
        <v>-174.80000000000007</v>
      </c>
      <c r="H49" s="128">
        <v>38.78000000000003</v>
      </c>
      <c r="I49" s="89">
        <v>-8.5100000000000016</v>
      </c>
      <c r="J49" s="361">
        <v>-25.449999999999996</v>
      </c>
      <c r="K49" s="1064">
        <v>9.569999999999979</v>
      </c>
      <c r="L49" s="128">
        <v>6.9199999999999946</v>
      </c>
      <c r="M49" s="89">
        <v>-39.700000000000003</v>
      </c>
      <c r="N49" s="89">
        <v>7640.96</v>
      </c>
      <c r="O49" s="131">
        <v>17567.440000000002</v>
      </c>
      <c r="P49" s="845">
        <f t="shared" si="3"/>
        <v>24752.000000000004</v>
      </c>
      <c r="Q49" s="535">
        <f t="shared" si="2"/>
        <v>45</v>
      </c>
      <c r="R49" s="161"/>
    </row>
    <row r="50" spans="1:19" s="433" customFormat="1" ht="15.5" x14ac:dyDescent="0.35">
      <c r="A50" s="214">
        <f t="shared" si="1"/>
        <v>46</v>
      </c>
      <c r="B50" s="139">
        <v>6790</v>
      </c>
      <c r="C50" s="161" t="s">
        <v>20</v>
      </c>
      <c r="D50" s="127">
        <v>-177.57999999999998</v>
      </c>
      <c r="E50" s="46">
        <v>163.72000000000003</v>
      </c>
      <c r="F50" s="46">
        <v>-266.12</v>
      </c>
      <c r="G50" s="130">
        <v>542.40000000000009</v>
      </c>
      <c r="H50" s="127">
        <v>-113.17</v>
      </c>
      <c r="I50" s="46">
        <v>-266.65000000000003</v>
      </c>
      <c r="J50" s="102">
        <v>127.47000000000001</v>
      </c>
      <c r="K50" s="1063">
        <v>-84.539999999999992</v>
      </c>
      <c r="L50" s="127">
        <v>157.72</v>
      </c>
      <c r="M50" s="46">
        <v>-31.380000000000003</v>
      </c>
      <c r="N50" s="46">
        <v>-300.21999999999997</v>
      </c>
      <c r="O50" s="130">
        <v>3508.45</v>
      </c>
      <c r="P50" s="169">
        <f t="shared" si="3"/>
        <v>3260.1</v>
      </c>
      <c r="Q50" s="406">
        <f t="shared" si="2"/>
        <v>46</v>
      </c>
      <c r="R50" s="161"/>
    </row>
    <row r="51" spans="1:19" ht="15.5" x14ac:dyDescent="0.35">
      <c r="A51" s="214">
        <f t="shared" si="1"/>
        <v>47</v>
      </c>
      <c r="B51" s="139">
        <v>6985</v>
      </c>
      <c r="C51" s="161" t="s">
        <v>180</v>
      </c>
      <c r="D51" s="127">
        <v>-287.88</v>
      </c>
      <c r="E51" s="46">
        <v>-1478.1800000000003</v>
      </c>
      <c r="F51" s="46">
        <v>-3501.18</v>
      </c>
      <c r="G51" s="130">
        <v>-668</v>
      </c>
      <c r="H51" s="127">
        <v>145.88000000000025</v>
      </c>
      <c r="I51" s="46">
        <v>2566.79</v>
      </c>
      <c r="J51" s="102">
        <v>-1061.77</v>
      </c>
      <c r="K51" s="1063">
        <v>-87.759999999999991</v>
      </c>
      <c r="L51" s="127">
        <v>-6812.0800000000008</v>
      </c>
      <c r="M51" s="46">
        <v>-2055.9899999999998</v>
      </c>
      <c r="N51" s="46">
        <v>-1695.1600000000003</v>
      </c>
      <c r="O51" s="130">
        <v>-2783.5500000000011</v>
      </c>
      <c r="P51" s="169">
        <f t="shared" si="3"/>
        <v>-17718.88</v>
      </c>
      <c r="Q51" s="406">
        <f t="shared" si="2"/>
        <v>47</v>
      </c>
      <c r="R51" s="100"/>
    </row>
    <row r="52" spans="1:19" ht="15.5" x14ac:dyDescent="0.35">
      <c r="A52" s="214">
        <f t="shared" si="1"/>
        <v>48</v>
      </c>
      <c r="B52" s="615" t="s">
        <v>152</v>
      </c>
      <c r="C52" s="161" t="s">
        <v>153</v>
      </c>
      <c r="D52" s="127">
        <v>0</v>
      </c>
      <c r="E52" s="46">
        <v>0</v>
      </c>
      <c r="F52" s="46">
        <v>0</v>
      </c>
      <c r="G52" s="130">
        <v>0</v>
      </c>
      <c r="H52" s="127">
        <v>0</v>
      </c>
      <c r="I52" s="46">
        <v>0</v>
      </c>
      <c r="J52" s="102">
        <v>0</v>
      </c>
      <c r="K52" s="1063">
        <v>0</v>
      </c>
      <c r="L52" s="127">
        <v>0</v>
      </c>
      <c r="M52" s="46">
        <v>0</v>
      </c>
      <c r="N52" s="46">
        <v>0</v>
      </c>
      <c r="O52" s="130">
        <v>0</v>
      </c>
      <c r="P52" s="169">
        <f t="shared" si="3"/>
        <v>0</v>
      </c>
      <c r="Q52" s="406">
        <f t="shared" si="2"/>
        <v>48</v>
      </c>
      <c r="R52" s="100"/>
    </row>
    <row r="53" spans="1:19" s="433" customFormat="1" ht="15.5" x14ac:dyDescent="0.35">
      <c r="A53" s="214">
        <f t="shared" si="1"/>
        <v>49</v>
      </c>
      <c r="B53" s="615">
        <v>7058</v>
      </c>
      <c r="C53" s="161" t="s">
        <v>157</v>
      </c>
      <c r="D53" s="127">
        <v>0</v>
      </c>
      <c r="E53" s="46">
        <v>0</v>
      </c>
      <c r="F53" s="46">
        <v>0</v>
      </c>
      <c r="G53" s="130">
        <v>0</v>
      </c>
      <c r="H53" s="127">
        <v>0</v>
      </c>
      <c r="I53" s="46">
        <v>0</v>
      </c>
      <c r="J53" s="102">
        <v>0</v>
      </c>
      <c r="K53" s="1063">
        <v>0</v>
      </c>
      <c r="L53" s="127">
        <v>0</v>
      </c>
      <c r="M53" s="46">
        <v>0</v>
      </c>
      <c r="N53" s="46">
        <v>0</v>
      </c>
      <c r="O53" s="130">
        <v>0</v>
      </c>
      <c r="P53" s="169">
        <f t="shared" si="3"/>
        <v>0</v>
      </c>
      <c r="Q53" s="406">
        <f t="shared" si="2"/>
        <v>49</v>
      </c>
      <c r="R53" s="161"/>
    </row>
    <row r="54" spans="1:19" s="433" customFormat="1" ht="16" thickBot="1" x14ac:dyDescent="0.4">
      <c r="A54" s="754">
        <f t="shared" si="1"/>
        <v>50</v>
      </c>
      <c r="B54" s="141">
        <v>7077</v>
      </c>
      <c r="C54" s="1028" t="s">
        <v>362</v>
      </c>
      <c r="D54" s="128">
        <v>948.68</v>
      </c>
      <c r="E54" s="89">
        <v>214.51999999999998</v>
      </c>
      <c r="F54" s="89">
        <v>-903.36</v>
      </c>
      <c r="G54" s="131">
        <v>171.94</v>
      </c>
      <c r="H54" s="128">
        <v>-227.5</v>
      </c>
      <c r="I54" s="89">
        <v>15.79</v>
      </c>
      <c r="J54" s="361">
        <v>-132.44</v>
      </c>
      <c r="K54" s="1064">
        <v>0</v>
      </c>
      <c r="L54" s="128">
        <v>-0.06</v>
      </c>
      <c r="M54" s="89">
        <v>90.19</v>
      </c>
      <c r="N54" s="89">
        <v>68.240000000000009</v>
      </c>
      <c r="O54" s="131">
        <v>4356.5899999999992</v>
      </c>
      <c r="P54" s="845">
        <f t="shared" si="3"/>
        <v>4602.5899999999992</v>
      </c>
      <c r="Q54" s="535">
        <f t="shared" si="2"/>
        <v>50</v>
      </c>
      <c r="R54" s="161"/>
    </row>
    <row r="55" spans="1:19" s="433" customFormat="1" ht="15.5" x14ac:dyDescent="0.35">
      <c r="A55" s="214">
        <f t="shared" si="1"/>
        <v>51</v>
      </c>
      <c r="B55" s="139">
        <v>7087</v>
      </c>
      <c r="C55" s="348" t="s">
        <v>361</v>
      </c>
      <c r="D55" s="127">
        <v>0</v>
      </c>
      <c r="E55" s="46">
        <v>195.49</v>
      </c>
      <c r="F55" s="46">
        <v>-6.51</v>
      </c>
      <c r="G55" s="130">
        <v>0</v>
      </c>
      <c r="H55" s="127">
        <v>353.7</v>
      </c>
      <c r="I55" s="46">
        <v>0</v>
      </c>
      <c r="J55" s="102">
        <v>0</v>
      </c>
      <c r="K55" s="1063">
        <v>0</v>
      </c>
      <c r="L55" s="127">
        <v>0.20000000000000284</v>
      </c>
      <c r="M55" s="46">
        <v>-0.2</v>
      </c>
      <c r="N55" s="46">
        <v>0</v>
      </c>
      <c r="O55" s="130">
        <v>0</v>
      </c>
      <c r="P55" s="169">
        <f t="shared" si="3"/>
        <v>542.68000000000006</v>
      </c>
      <c r="Q55" s="406">
        <f t="shared" si="2"/>
        <v>51</v>
      </c>
      <c r="R55" s="161"/>
    </row>
    <row r="56" spans="1:19" s="433" customFormat="1" ht="15.5" x14ac:dyDescent="0.35">
      <c r="A56" s="214">
        <f t="shared" si="1"/>
        <v>52</v>
      </c>
      <c r="B56" s="139">
        <v>7088</v>
      </c>
      <c r="C56" s="348" t="s">
        <v>359</v>
      </c>
      <c r="D56" s="127">
        <v>0</v>
      </c>
      <c r="E56" s="46">
        <v>0</v>
      </c>
      <c r="F56" s="46">
        <v>-646.20000000000005</v>
      </c>
      <c r="G56" s="130">
        <v>0</v>
      </c>
      <c r="H56" s="127">
        <v>216.25</v>
      </c>
      <c r="I56" s="46">
        <v>-0.57000000000000028</v>
      </c>
      <c r="J56" s="102">
        <v>-2.7</v>
      </c>
      <c r="K56" s="1063">
        <v>1.28</v>
      </c>
      <c r="L56" s="127">
        <v>1.7199999999999989</v>
      </c>
      <c r="M56" s="46">
        <v>13.190000000000026</v>
      </c>
      <c r="N56" s="46">
        <v>0</v>
      </c>
      <c r="O56" s="130">
        <v>6.0000000000000053E-2</v>
      </c>
      <c r="P56" s="169">
        <f t="shared" si="3"/>
        <v>-416.96999999999997</v>
      </c>
      <c r="Q56" s="406">
        <f t="shared" si="2"/>
        <v>52</v>
      </c>
      <c r="R56" s="161"/>
    </row>
    <row r="57" spans="1:19" ht="15.5" x14ac:dyDescent="0.35">
      <c r="A57" s="214">
        <f t="shared" si="1"/>
        <v>53</v>
      </c>
      <c r="B57" s="139">
        <v>7999</v>
      </c>
      <c r="C57" s="161" t="s">
        <v>127</v>
      </c>
      <c r="D57" s="559">
        <v>0.11000000000058208</v>
      </c>
      <c r="E57" s="55">
        <v>2.7400000000016007</v>
      </c>
      <c r="F57" s="55">
        <v>1237.2399999999998</v>
      </c>
      <c r="G57" s="560">
        <v>95.630000000001019</v>
      </c>
      <c r="H57" s="559">
        <v>37.350000000000364</v>
      </c>
      <c r="I57" s="55">
        <v>537.35000000000218</v>
      </c>
      <c r="J57" s="561">
        <v>49.979999999999563</v>
      </c>
      <c r="K57" s="1076">
        <v>130.39999999999418</v>
      </c>
      <c r="L57" s="559">
        <v>5.2899999999790452</v>
      </c>
      <c r="M57" s="55">
        <v>84.940000000002328</v>
      </c>
      <c r="N57" s="55">
        <v>15.660000000003492</v>
      </c>
      <c r="O57" s="560">
        <v>843.54999999998836</v>
      </c>
      <c r="P57" s="566">
        <f t="shared" si="3"/>
        <v>3040.2399999999725</v>
      </c>
      <c r="Q57" s="1032">
        <f t="shared" si="2"/>
        <v>53</v>
      </c>
      <c r="R57" s="100"/>
    </row>
    <row r="58" spans="1:19" ht="15.5" x14ac:dyDescent="0.35">
      <c r="A58" s="214">
        <f t="shared" si="1"/>
        <v>54</v>
      </c>
      <c r="B58" s="139"/>
      <c r="C58" s="161"/>
      <c r="D58" s="127"/>
      <c r="E58" s="46"/>
      <c r="F58" s="46"/>
      <c r="G58" s="130"/>
      <c r="H58" s="127"/>
      <c r="I58" s="46"/>
      <c r="J58" s="102"/>
      <c r="K58" s="1063"/>
      <c r="L58" s="127"/>
      <c r="M58" s="46"/>
      <c r="N58" s="46"/>
      <c r="O58" s="130"/>
      <c r="P58" s="169"/>
      <c r="Q58" s="406">
        <f t="shared" si="2"/>
        <v>54</v>
      </c>
      <c r="R58" s="100"/>
    </row>
    <row r="59" spans="1:19" ht="16" thickBot="1" x14ac:dyDescent="0.4">
      <c r="A59" s="214">
        <f t="shared" si="1"/>
        <v>55</v>
      </c>
      <c r="B59" s="445"/>
      <c r="C59" s="1029" t="s">
        <v>3</v>
      </c>
      <c r="D59" s="569">
        <f t="shared" ref="D59:P59" si="4">SUM(D4:D57)</f>
        <v>-83196.349999999991</v>
      </c>
      <c r="E59" s="219">
        <f t="shared" si="4"/>
        <v>-82140.98</v>
      </c>
      <c r="F59" s="219">
        <f t="shared" si="4"/>
        <v>-44783.440000000017</v>
      </c>
      <c r="G59" s="570">
        <f t="shared" si="4"/>
        <v>-11648.980000000001</v>
      </c>
      <c r="H59" s="569">
        <f t="shared" si="4"/>
        <v>-24893.549999999996</v>
      </c>
      <c r="I59" s="219">
        <f t="shared" si="4"/>
        <v>-28860.069999999989</v>
      </c>
      <c r="J59" s="565">
        <f t="shared" si="4"/>
        <v>4225.4999999999945</v>
      </c>
      <c r="K59" s="637">
        <f t="shared" si="4"/>
        <v>-20178.399999999998</v>
      </c>
      <c r="L59" s="569">
        <f t="shared" si="4"/>
        <v>-31083.21000000005</v>
      </c>
      <c r="M59" s="219">
        <f t="shared" si="4"/>
        <v>-18506.719999999998</v>
      </c>
      <c r="N59" s="219">
        <f t="shared" si="4"/>
        <v>364743.8600000001</v>
      </c>
      <c r="O59" s="570">
        <f t="shared" si="4"/>
        <v>749177.09999999986</v>
      </c>
      <c r="P59" s="568">
        <f t="shared" si="4"/>
        <v>772854.76000000013</v>
      </c>
      <c r="Q59" s="406">
        <f t="shared" si="2"/>
        <v>55</v>
      </c>
      <c r="R59" s="100"/>
    </row>
    <row r="60" spans="1:19" ht="16.5" thickTop="1" thickBot="1" x14ac:dyDescent="0.4">
      <c r="A60" s="1022">
        <f t="shared" si="1"/>
        <v>56</v>
      </c>
      <c r="B60" s="296"/>
      <c r="C60" s="1030"/>
      <c r="D60" s="843"/>
      <c r="E60" s="627"/>
      <c r="F60" s="627"/>
      <c r="G60" s="844"/>
      <c r="H60" s="843"/>
      <c r="I60" s="627"/>
      <c r="J60" s="372"/>
      <c r="K60" s="1067"/>
      <c r="L60" s="519"/>
      <c r="M60" s="627"/>
      <c r="N60" s="627"/>
      <c r="O60" s="844"/>
      <c r="P60" s="521"/>
      <c r="Q60" s="536">
        <f t="shared" si="2"/>
        <v>56</v>
      </c>
      <c r="R60" s="100"/>
      <c r="S60" s="435"/>
    </row>
    <row r="61" spans="1:19" ht="15.5" x14ac:dyDescent="0.35">
      <c r="A61" s="1023">
        <f t="shared" si="1"/>
        <v>57</v>
      </c>
      <c r="B61" s="291"/>
      <c r="C61" s="1031"/>
      <c r="D61" s="365"/>
      <c r="E61" s="364"/>
      <c r="F61" s="364"/>
      <c r="G61" s="613"/>
      <c r="H61" s="614"/>
      <c r="I61" s="354"/>
      <c r="J61" s="646"/>
      <c r="K61" s="1068"/>
      <c r="L61" s="365"/>
      <c r="M61" s="364"/>
      <c r="N61" s="364"/>
      <c r="O61" s="366"/>
      <c r="P61" s="848"/>
      <c r="Q61" s="628">
        <f t="shared" si="2"/>
        <v>57</v>
      </c>
      <c r="R61" s="100"/>
      <c r="S61" s="435"/>
    </row>
    <row r="62" spans="1:19" ht="15.5" x14ac:dyDescent="0.35">
      <c r="A62" s="362">
        <f t="shared" si="1"/>
        <v>58</v>
      </c>
      <c r="B62" s="138"/>
      <c r="C62" s="45" t="s">
        <v>547</v>
      </c>
      <c r="D62" s="421">
        <f t="shared" ref="D62:P62" si="5">D59</f>
        <v>-83196.349999999991</v>
      </c>
      <c r="E62" s="271">
        <f t="shared" si="5"/>
        <v>-82140.98</v>
      </c>
      <c r="F62" s="271">
        <f t="shared" si="5"/>
        <v>-44783.440000000017</v>
      </c>
      <c r="G62" s="422">
        <f t="shared" si="5"/>
        <v>-11648.980000000001</v>
      </c>
      <c r="H62" s="421">
        <f t="shared" si="5"/>
        <v>-24893.549999999996</v>
      </c>
      <c r="I62" s="271">
        <f t="shared" si="5"/>
        <v>-28860.069999999989</v>
      </c>
      <c r="J62" s="643">
        <f t="shared" si="5"/>
        <v>4225.4999999999945</v>
      </c>
      <c r="K62" s="1069">
        <f t="shared" si="5"/>
        <v>-20178.399999999998</v>
      </c>
      <c r="L62" s="421">
        <f t="shared" si="5"/>
        <v>-31083.21000000005</v>
      </c>
      <c r="M62" s="271">
        <f t="shared" si="5"/>
        <v>-18506.719999999998</v>
      </c>
      <c r="N62" s="271">
        <f t="shared" si="5"/>
        <v>364743.8600000001</v>
      </c>
      <c r="O62" s="422">
        <f t="shared" si="5"/>
        <v>749177.09999999986</v>
      </c>
      <c r="P62" s="849">
        <f t="shared" si="5"/>
        <v>772854.76000000013</v>
      </c>
      <c r="Q62" s="537">
        <f t="shared" si="2"/>
        <v>58</v>
      </c>
      <c r="R62" s="100"/>
    </row>
    <row r="63" spans="1:19" ht="15.5" x14ac:dyDescent="0.35">
      <c r="A63" s="362">
        <f t="shared" si="1"/>
        <v>59</v>
      </c>
      <c r="B63" s="138"/>
      <c r="C63" s="45" t="s">
        <v>275</v>
      </c>
      <c r="D63" s="423">
        <f>'WP 4 Monthly TRBAA '!C19</f>
        <v>-83196.349999999991</v>
      </c>
      <c r="E63" s="175">
        <f>'WP 4 Monthly TRBAA '!D19</f>
        <v>-82140.98</v>
      </c>
      <c r="F63" s="175">
        <f>'WP 4 Monthly TRBAA '!E19</f>
        <v>-44783.440000000017</v>
      </c>
      <c r="G63" s="424">
        <f>'WP 4 Monthly TRBAA '!F19</f>
        <v>-11648.980000000001</v>
      </c>
      <c r="H63" s="423">
        <f>'WP 4 Monthly TRBAA '!G19</f>
        <v>-24893.549999999996</v>
      </c>
      <c r="I63" s="175">
        <f>'WP 4 Monthly TRBAA '!H19</f>
        <v>-28860.069999999989</v>
      </c>
      <c r="J63" s="425">
        <f>'WP 4 Monthly TRBAA '!I19</f>
        <v>4225.4999999999945</v>
      </c>
      <c r="K63" s="1070">
        <f>'WP 4 Monthly TRBAA '!J19</f>
        <v>-20178.399999999998</v>
      </c>
      <c r="L63" s="423">
        <f>'WP 4 Monthly TRBAA '!K19</f>
        <v>-31083.21000000005</v>
      </c>
      <c r="M63" s="218">
        <f>'WP 4 Monthly TRBAA '!L19</f>
        <v>-18506.719999999998</v>
      </c>
      <c r="N63" s="175">
        <f>'WP 4 Monthly TRBAA '!M19</f>
        <v>364743.8600000001</v>
      </c>
      <c r="O63" s="424">
        <f>'WP 4 Monthly TRBAA '!N19</f>
        <v>749177.09999999986</v>
      </c>
      <c r="P63" s="850">
        <f>SUM(D63:O63)</f>
        <v>772854.75999999989</v>
      </c>
      <c r="Q63" s="537">
        <f t="shared" si="2"/>
        <v>59</v>
      </c>
      <c r="R63" s="100"/>
    </row>
    <row r="64" spans="1:19" ht="16" thickBot="1" x14ac:dyDescent="0.4">
      <c r="A64" s="362">
        <f t="shared" si="1"/>
        <v>60</v>
      </c>
      <c r="B64" s="138"/>
      <c r="C64" s="45" t="s">
        <v>66</v>
      </c>
      <c r="D64" s="376">
        <f>D62-D63</f>
        <v>0</v>
      </c>
      <c r="E64" s="375">
        <f t="shared" ref="E64:P64" si="6">E62-E63</f>
        <v>0</v>
      </c>
      <c r="F64" s="375">
        <f t="shared" si="6"/>
        <v>0</v>
      </c>
      <c r="G64" s="377">
        <f t="shared" si="6"/>
        <v>0</v>
      </c>
      <c r="H64" s="376">
        <f t="shared" si="6"/>
        <v>0</v>
      </c>
      <c r="I64" s="176">
        <f t="shared" si="6"/>
        <v>0</v>
      </c>
      <c r="J64" s="374">
        <f t="shared" si="6"/>
        <v>0</v>
      </c>
      <c r="K64" s="1071">
        <f t="shared" si="6"/>
        <v>0</v>
      </c>
      <c r="L64" s="376">
        <f t="shared" si="6"/>
        <v>0</v>
      </c>
      <c r="M64" s="1091">
        <f t="shared" si="6"/>
        <v>0</v>
      </c>
      <c r="N64" s="176">
        <f t="shared" si="6"/>
        <v>0</v>
      </c>
      <c r="O64" s="377">
        <f t="shared" si="6"/>
        <v>0</v>
      </c>
      <c r="P64" s="851">
        <f t="shared" si="6"/>
        <v>0</v>
      </c>
      <c r="Q64" s="537">
        <f t="shared" si="2"/>
        <v>60</v>
      </c>
      <c r="R64" s="100"/>
    </row>
    <row r="65" spans="1:18" ht="16.5" thickTop="1" thickBot="1" x14ac:dyDescent="0.4">
      <c r="A65" s="1022">
        <f t="shared" si="1"/>
        <v>61</v>
      </c>
      <c r="B65" s="296"/>
      <c r="C65" s="87"/>
      <c r="D65" s="379"/>
      <c r="E65" s="355"/>
      <c r="F65" s="355"/>
      <c r="G65" s="144"/>
      <c r="H65" s="143"/>
      <c r="I65" s="355"/>
      <c r="J65" s="644"/>
      <c r="K65" s="1072"/>
      <c r="L65" s="143"/>
      <c r="M65" s="355"/>
      <c r="N65" s="355"/>
      <c r="O65" s="144"/>
      <c r="P65" s="852"/>
      <c r="Q65" s="536">
        <f t="shared" si="2"/>
        <v>61</v>
      </c>
      <c r="R65" s="100"/>
    </row>
    <row r="66" spans="1:18" ht="15.5" x14ac:dyDescent="0.35">
      <c r="B66" s="22"/>
      <c r="C66" s="22"/>
      <c r="D66" s="356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160"/>
    </row>
    <row r="67" spans="1:18" ht="15.5" x14ac:dyDescent="0.35">
      <c r="B67" s="22"/>
      <c r="C67" s="22"/>
      <c r="D67" s="357"/>
      <c r="E67" s="358"/>
      <c r="F67" s="358"/>
      <c r="G67" s="358"/>
      <c r="H67" s="358"/>
      <c r="I67" s="358"/>
      <c r="J67" s="358"/>
      <c r="K67" s="358"/>
      <c r="L67" s="358"/>
      <c r="M67" s="358"/>
      <c r="N67" s="358"/>
      <c r="O67" s="358"/>
      <c r="P67" s="172"/>
    </row>
    <row r="68" spans="1:18" ht="15.5" x14ac:dyDescent="0.35">
      <c r="B68" s="22"/>
      <c r="C68" s="22"/>
      <c r="D68" s="356"/>
      <c r="E68" s="356"/>
      <c r="F68" s="356"/>
      <c r="G68" s="356"/>
      <c r="H68" s="356"/>
      <c r="I68" s="356"/>
      <c r="J68" s="356"/>
      <c r="K68" s="356"/>
      <c r="L68" s="356"/>
      <c r="M68" s="356"/>
      <c r="N68" s="356"/>
      <c r="O68" s="356"/>
      <c r="P68" s="85"/>
    </row>
    <row r="69" spans="1:18" ht="15.5" x14ac:dyDescent="0.35">
      <c r="B69" s="22"/>
      <c r="C69" s="22"/>
      <c r="D69" s="356"/>
      <c r="E69" s="356"/>
      <c r="F69" s="356"/>
      <c r="G69" s="356"/>
      <c r="H69" s="356"/>
      <c r="I69" s="356"/>
      <c r="J69" s="356"/>
      <c r="K69" s="356"/>
      <c r="L69" s="356"/>
      <c r="M69" s="356"/>
      <c r="N69" s="356"/>
      <c r="O69" s="356"/>
      <c r="P69" s="85"/>
    </row>
    <row r="70" spans="1:18" ht="15.5" x14ac:dyDescent="0.35">
      <c r="B70" s="22"/>
      <c r="C70" s="22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85"/>
    </row>
    <row r="71" spans="1:18" ht="15.5" x14ac:dyDescent="0.35">
      <c r="B71" s="22"/>
      <c r="C71" s="22"/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85"/>
    </row>
    <row r="72" spans="1:18" ht="15.5" x14ac:dyDescent="0.35">
      <c r="B72" s="22"/>
      <c r="C72" s="22"/>
      <c r="D72" s="356"/>
      <c r="E72" s="356"/>
      <c r="F72" s="356"/>
      <c r="G72" s="356"/>
      <c r="H72" s="356"/>
      <c r="I72" s="356"/>
      <c r="J72" s="356"/>
      <c r="K72" s="356"/>
      <c r="L72" s="356"/>
      <c r="M72" s="356"/>
      <c r="N72" s="356"/>
      <c r="O72" s="356"/>
      <c r="P72" s="85"/>
    </row>
    <row r="73" spans="1:18" ht="15.5" x14ac:dyDescent="0.35">
      <c r="B73" s="22"/>
      <c r="C73" s="22"/>
      <c r="D73" s="356"/>
      <c r="E73" s="356"/>
      <c r="F73" s="356"/>
      <c r="G73" s="356"/>
      <c r="H73" s="356"/>
      <c r="I73" s="356"/>
      <c r="J73" s="356"/>
      <c r="K73" s="356"/>
      <c r="L73" s="356"/>
      <c r="M73" s="356"/>
      <c r="N73" s="356"/>
      <c r="O73" s="356"/>
      <c r="P73" s="85"/>
    </row>
    <row r="74" spans="1:18" ht="15.5" x14ac:dyDescent="0.35">
      <c r="B74" s="22"/>
      <c r="C74" s="22"/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85"/>
    </row>
    <row r="75" spans="1:18" ht="15.5" x14ac:dyDescent="0.35">
      <c r="B75" s="22"/>
      <c r="C75" s="22"/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  <c r="O75" s="356"/>
      <c r="P75" s="85"/>
    </row>
    <row r="76" spans="1:18" ht="15.5" x14ac:dyDescent="0.35">
      <c r="B76" s="22"/>
      <c r="C76" s="22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85"/>
    </row>
    <row r="77" spans="1:18" ht="15.5" x14ac:dyDescent="0.35">
      <c r="B77" s="22"/>
      <c r="C77" s="22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356"/>
      <c r="P77" s="85"/>
    </row>
    <row r="78" spans="1:18" ht="15.5" x14ac:dyDescent="0.35">
      <c r="B78" s="22"/>
      <c r="C78" s="22"/>
      <c r="D78" s="356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85"/>
    </row>
    <row r="79" spans="1:18" ht="15.5" x14ac:dyDescent="0.35">
      <c r="B79" s="22"/>
      <c r="C79" s="22"/>
      <c r="D79" s="356"/>
      <c r="E79" s="356"/>
      <c r="F79" s="356"/>
      <c r="G79" s="356"/>
      <c r="H79" s="356"/>
      <c r="I79" s="356"/>
      <c r="J79" s="356"/>
      <c r="K79" s="356"/>
      <c r="L79" s="356"/>
      <c r="M79" s="356"/>
      <c r="N79" s="356"/>
      <c r="O79" s="356"/>
      <c r="P79" s="85"/>
    </row>
    <row r="80" spans="1:18" ht="15.5" x14ac:dyDescent="0.35">
      <c r="B80" s="22"/>
      <c r="C80" s="22"/>
      <c r="D80" s="356"/>
      <c r="E80" s="356"/>
      <c r="F80" s="356"/>
      <c r="G80" s="356"/>
      <c r="H80" s="356"/>
      <c r="I80" s="356"/>
      <c r="J80" s="356"/>
      <c r="K80" s="356"/>
      <c r="L80" s="356"/>
      <c r="M80" s="356"/>
      <c r="N80" s="356"/>
      <c r="O80" s="356"/>
      <c r="P80" s="85"/>
    </row>
    <row r="81" spans="2:16" ht="15.5" x14ac:dyDescent="0.35">
      <c r="B81" s="22"/>
      <c r="C81" s="22"/>
      <c r="D81" s="356"/>
      <c r="E81" s="356"/>
      <c r="F81" s="356"/>
      <c r="G81" s="356"/>
      <c r="H81" s="356"/>
      <c r="I81" s="356"/>
      <c r="J81" s="356"/>
      <c r="K81" s="356"/>
      <c r="L81" s="356"/>
      <c r="M81" s="356"/>
      <c r="N81" s="356"/>
      <c r="O81" s="356"/>
      <c r="P81" s="85"/>
    </row>
    <row r="82" spans="2:16" ht="15.5" x14ac:dyDescent="0.35">
      <c r="B82" s="22"/>
      <c r="C82" s="22"/>
      <c r="D82" s="356"/>
      <c r="E82" s="356"/>
      <c r="F82" s="356"/>
      <c r="G82" s="356"/>
      <c r="H82" s="356"/>
      <c r="I82" s="356"/>
      <c r="J82" s="356"/>
      <c r="K82" s="356"/>
      <c r="L82" s="356"/>
      <c r="M82" s="356"/>
      <c r="N82" s="356"/>
      <c r="O82" s="356"/>
      <c r="P82" s="85"/>
    </row>
    <row r="83" spans="2:16" ht="15.5" x14ac:dyDescent="0.35">
      <c r="B83" s="22"/>
      <c r="C83" s="22"/>
      <c r="D83" s="356"/>
      <c r="E83" s="356"/>
      <c r="F83" s="356"/>
      <c r="G83" s="356"/>
      <c r="H83" s="356"/>
      <c r="I83" s="356"/>
      <c r="J83" s="356"/>
      <c r="K83" s="356"/>
      <c r="L83" s="356"/>
      <c r="M83" s="356"/>
      <c r="N83" s="356"/>
      <c r="O83" s="356"/>
      <c r="P83" s="85"/>
    </row>
    <row r="84" spans="2:16" ht="15.5" x14ac:dyDescent="0.35">
      <c r="B84" s="22"/>
      <c r="C84" s="22"/>
      <c r="D84" s="356"/>
      <c r="E84" s="356"/>
      <c r="F84" s="356"/>
      <c r="G84" s="356"/>
      <c r="H84" s="356"/>
      <c r="I84" s="356"/>
      <c r="J84" s="356"/>
      <c r="K84" s="356"/>
      <c r="L84" s="356"/>
      <c r="M84" s="356"/>
      <c r="N84" s="356"/>
      <c r="O84" s="356"/>
      <c r="P84" s="85"/>
    </row>
    <row r="85" spans="2:16" ht="15.5" x14ac:dyDescent="0.35">
      <c r="B85" s="22"/>
      <c r="C85" s="22"/>
      <c r="D85" s="356"/>
      <c r="E85" s="356"/>
      <c r="F85" s="356"/>
      <c r="G85" s="356"/>
      <c r="H85" s="356"/>
      <c r="I85" s="356"/>
      <c r="J85" s="356"/>
      <c r="K85" s="356"/>
      <c r="L85" s="356"/>
      <c r="M85" s="356"/>
      <c r="N85" s="356"/>
      <c r="O85" s="356"/>
      <c r="P85" s="85"/>
    </row>
    <row r="86" spans="2:16" ht="15.5" x14ac:dyDescent="0.35">
      <c r="B86" s="22"/>
      <c r="C86" s="22"/>
      <c r="D86" s="356"/>
      <c r="E86" s="356"/>
      <c r="F86" s="356"/>
      <c r="G86" s="356"/>
      <c r="H86" s="356"/>
      <c r="I86" s="356"/>
      <c r="J86" s="356"/>
      <c r="K86" s="356"/>
      <c r="L86" s="356"/>
      <c r="M86" s="356"/>
      <c r="N86" s="356"/>
      <c r="O86" s="356"/>
      <c r="P86" s="85"/>
    </row>
    <row r="87" spans="2:16" ht="15.5" x14ac:dyDescent="0.35">
      <c r="B87" s="22"/>
      <c r="C87" s="22"/>
      <c r="D87" s="356"/>
      <c r="E87" s="356"/>
      <c r="F87" s="356"/>
      <c r="G87" s="356"/>
      <c r="H87" s="356"/>
      <c r="I87" s="356"/>
      <c r="J87" s="356"/>
      <c r="K87" s="356"/>
      <c r="L87" s="356"/>
      <c r="M87" s="356"/>
      <c r="N87" s="356"/>
      <c r="O87" s="356"/>
      <c r="P87" s="85"/>
    </row>
    <row r="88" spans="2:16" ht="15.5" x14ac:dyDescent="0.35">
      <c r="B88" s="22"/>
      <c r="C88" s="22"/>
      <c r="D88" s="356"/>
      <c r="E88" s="356"/>
      <c r="F88" s="356"/>
      <c r="G88" s="356"/>
      <c r="H88" s="356"/>
      <c r="I88" s="356"/>
      <c r="J88" s="356"/>
      <c r="K88" s="356"/>
      <c r="L88" s="356"/>
      <c r="M88" s="356"/>
      <c r="N88" s="356"/>
      <c r="O88" s="356"/>
      <c r="P88" s="85"/>
    </row>
    <row r="89" spans="2:16" ht="15.5" x14ac:dyDescent="0.35">
      <c r="B89" s="22"/>
      <c r="C89" s="22"/>
      <c r="D89" s="356"/>
      <c r="E89" s="356"/>
      <c r="F89" s="356"/>
      <c r="G89" s="356"/>
      <c r="H89" s="356"/>
      <c r="I89" s="356"/>
      <c r="J89" s="356"/>
      <c r="K89" s="356"/>
      <c r="L89" s="356"/>
      <c r="M89" s="356"/>
      <c r="N89" s="356"/>
      <c r="O89" s="356"/>
      <c r="P89" s="85"/>
    </row>
    <row r="90" spans="2:16" ht="15.5" x14ac:dyDescent="0.35">
      <c r="B90" s="22"/>
      <c r="C90" s="22"/>
      <c r="D90" s="356"/>
      <c r="E90" s="356"/>
      <c r="F90" s="356"/>
      <c r="G90" s="356"/>
      <c r="H90" s="356"/>
      <c r="I90" s="356"/>
      <c r="J90" s="356"/>
      <c r="K90" s="356"/>
      <c r="L90" s="356"/>
      <c r="M90" s="356"/>
      <c r="N90" s="356"/>
      <c r="O90" s="356"/>
      <c r="P90" s="85"/>
    </row>
    <row r="91" spans="2:16" ht="15.5" x14ac:dyDescent="0.35">
      <c r="B91" s="22"/>
      <c r="C91" s="22"/>
      <c r="D91" s="356"/>
      <c r="E91" s="356"/>
      <c r="F91" s="356"/>
      <c r="G91" s="356"/>
      <c r="H91" s="356"/>
      <c r="I91" s="356"/>
      <c r="J91" s="356"/>
      <c r="K91" s="356"/>
      <c r="L91" s="356"/>
      <c r="M91" s="356"/>
      <c r="N91" s="356"/>
      <c r="O91" s="356"/>
      <c r="P91" s="85"/>
    </row>
    <row r="92" spans="2:16" ht="15.5" x14ac:dyDescent="0.35">
      <c r="B92" s="22"/>
      <c r="C92" s="22"/>
      <c r="D92" s="356"/>
      <c r="E92" s="356"/>
      <c r="F92" s="356"/>
      <c r="G92" s="356"/>
      <c r="H92" s="356"/>
      <c r="I92" s="356"/>
      <c r="J92" s="356"/>
      <c r="K92" s="356"/>
      <c r="L92" s="356"/>
      <c r="M92" s="356"/>
      <c r="N92" s="356"/>
      <c r="O92" s="356"/>
      <c r="P92" s="85"/>
    </row>
    <row r="93" spans="2:16" ht="15.5" x14ac:dyDescent="0.35">
      <c r="B93" s="22"/>
      <c r="C93" s="22"/>
      <c r="D93" s="356"/>
      <c r="E93" s="356"/>
      <c r="F93" s="356"/>
      <c r="G93" s="356"/>
      <c r="H93" s="356"/>
      <c r="I93" s="356"/>
      <c r="J93" s="356"/>
      <c r="K93" s="356"/>
      <c r="L93" s="356"/>
      <c r="M93" s="356"/>
      <c r="N93" s="356"/>
      <c r="O93" s="356"/>
      <c r="P93" s="85"/>
    </row>
    <row r="94" spans="2:16" ht="15.5" x14ac:dyDescent="0.35">
      <c r="B94" s="22"/>
      <c r="C94" s="22"/>
      <c r="D94" s="356"/>
      <c r="E94" s="356"/>
      <c r="F94" s="356"/>
      <c r="G94" s="356"/>
      <c r="H94" s="356"/>
      <c r="I94" s="356"/>
      <c r="J94" s="356"/>
      <c r="K94" s="356"/>
      <c r="L94" s="356"/>
      <c r="M94" s="356"/>
      <c r="N94" s="356"/>
      <c r="O94" s="356"/>
      <c r="P94" s="85"/>
    </row>
    <row r="95" spans="2:16" ht="15.5" x14ac:dyDescent="0.35">
      <c r="B95" s="22"/>
      <c r="C95" s="22"/>
      <c r="D95" s="356"/>
      <c r="E95" s="356"/>
      <c r="F95" s="356"/>
      <c r="G95" s="356"/>
      <c r="H95" s="356"/>
      <c r="I95" s="356"/>
      <c r="J95" s="356"/>
      <c r="K95" s="356"/>
      <c r="L95" s="356"/>
      <c r="M95" s="356"/>
      <c r="N95" s="356"/>
      <c r="O95" s="356"/>
      <c r="P95" s="85"/>
    </row>
    <row r="96" spans="2:16" ht="15.5" x14ac:dyDescent="0.35">
      <c r="B96" s="22"/>
      <c r="C96" s="22"/>
      <c r="D96" s="356"/>
      <c r="E96" s="356"/>
      <c r="F96" s="356"/>
      <c r="G96" s="356"/>
      <c r="H96" s="356"/>
      <c r="I96" s="356"/>
      <c r="J96" s="356"/>
      <c r="K96" s="356"/>
      <c r="L96" s="356"/>
      <c r="M96" s="356"/>
      <c r="N96" s="356"/>
      <c r="O96" s="356"/>
      <c r="P96" s="85"/>
    </row>
    <row r="97" spans="2:16" ht="15.5" x14ac:dyDescent="0.35">
      <c r="B97" s="22"/>
      <c r="C97" s="22"/>
      <c r="D97" s="356"/>
      <c r="E97" s="356"/>
      <c r="F97" s="356"/>
      <c r="G97" s="356"/>
      <c r="H97" s="356"/>
      <c r="I97" s="356"/>
      <c r="J97" s="356"/>
      <c r="K97" s="356"/>
      <c r="L97" s="356"/>
      <c r="M97" s="356"/>
      <c r="N97" s="356"/>
      <c r="O97" s="356"/>
      <c r="P97" s="85"/>
    </row>
    <row r="98" spans="2:16" ht="15.5" x14ac:dyDescent="0.35">
      <c r="B98" s="22"/>
      <c r="C98" s="22"/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85"/>
    </row>
    <row r="99" spans="2:16" ht="15.5" x14ac:dyDescent="0.35">
      <c r="B99" s="22"/>
      <c r="C99" s="22"/>
      <c r="D99" s="356"/>
      <c r="E99" s="356"/>
      <c r="F99" s="356"/>
      <c r="G99" s="356"/>
      <c r="H99" s="356"/>
      <c r="I99" s="356"/>
      <c r="J99" s="356"/>
      <c r="K99" s="356"/>
      <c r="L99" s="356"/>
      <c r="M99" s="356"/>
      <c r="N99" s="356"/>
      <c r="O99" s="356"/>
      <c r="P99" s="85"/>
    </row>
    <row r="100" spans="2:16" ht="15.5" x14ac:dyDescent="0.35">
      <c r="B100" s="22"/>
      <c r="C100" s="22"/>
      <c r="D100" s="356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O100" s="356"/>
      <c r="P100" s="85"/>
    </row>
    <row r="101" spans="2:16" ht="15.5" x14ac:dyDescent="0.35">
      <c r="B101" s="22"/>
      <c r="C101" s="22"/>
      <c r="D101" s="356"/>
      <c r="E101" s="356"/>
      <c r="F101" s="356"/>
      <c r="G101" s="356"/>
      <c r="H101" s="356"/>
      <c r="I101" s="356"/>
      <c r="J101" s="356"/>
      <c r="K101" s="356"/>
      <c r="L101" s="356"/>
      <c r="M101" s="356"/>
      <c r="N101" s="356"/>
      <c r="O101" s="356"/>
      <c r="P101" s="85"/>
    </row>
    <row r="102" spans="2:16" ht="15.5" x14ac:dyDescent="0.35">
      <c r="B102" s="22"/>
      <c r="C102" s="22"/>
      <c r="D102" s="356"/>
      <c r="E102" s="356"/>
      <c r="F102" s="356"/>
      <c r="G102" s="356"/>
      <c r="H102" s="356"/>
      <c r="I102" s="356"/>
      <c r="J102" s="356"/>
      <c r="K102" s="356"/>
      <c r="L102" s="356"/>
      <c r="M102" s="356"/>
      <c r="N102" s="356"/>
      <c r="O102" s="356"/>
      <c r="P102" s="85"/>
    </row>
    <row r="103" spans="2:16" ht="15.5" x14ac:dyDescent="0.35">
      <c r="B103" s="22"/>
      <c r="C103" s="22"/>
      <c r="D103" s="356"/>
      <c r="E103" s="356"/>
      <c r="F103" s="356"/>
      <c r="G103" s="356"/>
      <c r="H103" s="356"/>
      <c r="I103" s="356"/>
      <c r="J103" s="356"/>
      <c r="K103" s="356"/>
      <c r="L103" s="356"/>
      <c r="M103" s="356"/>
      <c r="N103" s="356"/>
      <c r="O103" s="356"/>
      <c r="P103" s="85"/>
    </row>
    <row r="104" spans="2:16" ht="15.5" x14ac:dyDescent="0.35">
      <c r="B104" s="22"/>
      <c r="C104" s="22"/>
      <c r="D104" s="356"/>
      <c r="E104" s="356"/>
      <c r="F104" s="356"/>
      <c r="G104" s="356"/>
      <c r="H104" s="356"/>
      <c r="I104" s="356"/>
      <c r="J104" s="356"/>
      <c r="K104" s="356"/>
      <c r="L104" s="356"/>
      <c r="M104" s="356"/>
      <c r="N104" s="356"/>
      <c r="O104" s="356"/>
      <c r="P104" s="85"/>
    </row>
  </sheetData>
  <printOptions horizontalCentered="1"/>
  <pageMargins left="0" right="0" top="1.25" bottom="0.5" header="0.5" footer="0.25"/>
  <pageSetup scale="65" fitToWidth="2" fitToHeight="2" orientation="portrait" r:id="rId1"/>
  <headerFooter alignWithMargins="0">
    <oddHeader>&amp;C&amp;"Times New Roman,Bold"&amp;14San Diego Gas &amp;&amp; Electric Company
2021 TRBAA Rate Filing
Details of Monthly ETC Cost Differentials</oddHeader>
    <oddFooter>&amp;L&amp;"Times New Roman,Regular"&amp;12&amp;F&amp;C&amp;"Times New Roman,Regular"&amp;12Page - 10.&amp;P&amp;R&amp;"Times New Roman,Regular"&amp;12&amp;A</oddFooter>
  </headerFooter>
  <colBreaks count="2" manualBreakCount="2">
    <brk id="7" min="2" max="64" man="1"/>
    <brk id="11" max="1048575" man="1"/>
  </col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F48"/>
  <sheetViews>
    <sheetView zoomScale="80" zoomScaleNormal="80" workbookViewId="0"/>
  </sheetViews>
  <sheetFormatPr defaultColWidth="9.453125" defaultRowHeight="15.5" x14ac:dyDescent="0.35"/>
  <cols>
    <col min="1" max="1" width="5.453125" style="116" bestFit="1" customWidth="1"/>
    <col min="2" max="2" width="38.54296875" style="151" bestFit="1" customWidth="1"/>
    <col min="3" max="3" width="28.81640625" style="116" bestFit="1" customWidth="1"/>
    <col min="4" max="4" width="42.54296875" style="116" bestFit="1" customWidth="1"/>
    <col min="5" max="5" width="5.453125" style="116" bestFit="1" customWidth="1"/>
    <col min="6" max="6" width="2.453125" style="116" bestFit="1" customWidth="1"/>
    <col min="7" max="11" width="9.453125" style="116"/>
    <col min="12" max="12" width="10.54296875" style="116" bestFit="1" customWidth="1"/>
    <col min="13" max="16384" width="9.453125" style="116"/>
  </cols>
  <sheetData>
    <row r="2" spans="1:6" x14ac:dyDescent="0.35">
      <c r="A2" s="1115" t="s">
        <v>108</v>
      </c>
      <c r="B2" s="1115"/>
      <c r="C2" s="1115"/>
      <c r="D2" s="1115"/>
      <c r="E2" s="1115"/>
    </row>
    <row r="3" spans="1:6" x14ac:dyDescent="0.35">
      <c r="A3" s="1115" t="str">
        <f>'WP 8 CT4575'!A3:E3</f>
        <v>2021 - TRBAA Rate Filing</v>
      </c>
      <c r="B3" s="1115"/>
      <c r="C3" s="1115"/>
      <c r="D3" s="1115"/>
      <c r="E3" s="1115"/>
    </row>
    <row r="4" spans="1:6" x14ac:dyDescent="0.35">
      <c r="A4" s="1115" t="s">
        <v>419</v>
      </c>
      <c r="B4" s="1115"/>
      <c r="C4" s="1115"/>
      <c r="D4" s="1115"/>
      <c r="E4" s="1115"/>
    </row>
    <row r="5" spans="1:6" ht="16" thickBot="1" x14ac:dyDescent="0.4">
      <c r="A5" s="394"/>
      <c r="B5" s="778"/>
      <c r="C5" s="779"/>
      <c r="D5" s="394"/>
      <c r="E5" s="394"/>
    </row>
    <row r="6" spans="1:6" ht="39.75" customHeight="1" thickBot="1" x14ac:dyDescent="0.4">
      <c r="A6" s="780" t="s">
        <v>83</v>
      </c>
      <c r="B6" s="393" t="s">
        <v>259</v>
      </c>
      <c r="C6" s="795" t="s">
        <v>420</v>
      </c>
      <c r="D6" s="702" t="s">
        <v>91</v>
      </c>
      <c r="E6" s="782" t="s">
        <v>83</v>
      </c>
    </row>
    <row r="7" spans="1:6" x14ac:dyDescent="0.35">
      <c r="A7" s="523"/>
      <c r="B7" s="932"/>
      <c r="C7" s="500"/>
      <c r="D7" s="499"/>
      <c r="E7" s="524"/>
    </row>
    <row r="8" spans="1:6" x14ac:dyDescent="0.35">
      <c r="A8" s="390">
        <v>1</v>
      </c>
      <c r="B8" s="117">
        <f>'WP 7 Wheeling Revenues'!B11</f>
        <v>43739</v>
      </c>
      <c r="C8" s="19">
        <f>'WP 5 CAISO Charges'!C19</f>
        <v>8775.25</v>
      </c>
      <c r="D8" s="23" t="s">
        <v>421</v>
      </c>
      <c r="E8" s="391">
        <f>A8</f>
        <v>1</v>
      </c>
      <c r="F8" s="933"/>
    </row>
    <row r="9" spans="1:6" x14ac:dyDescent="0.35">
      <c r="A9" s="390">
        <f>A8+1</f>
        <v>2</v>
      </c>
      <c r="B9" s="117"/>
      <c r="C9" s="19"/>
      <c r="D9" s="10"/>
      <c r="E9" s="391">
        <f t="shared" ref="E9:E33" si="0">A9</f>
        <v>2</v>
      </c>
      <c r="F9" s="933"/>
    </row>
    <row r="10" spans="1:6" x14ac:dyDescent="0.35">
      <c r="A10" s="390">
        <f t="shared" ref="A10:A32" si="1">A9+1</f>
        <v>3</v>
      </c>
      <c r="B10" s="117">
        <f>'WP 7 Wheeling Revenues'!B13</f>
        <v>43770</v>
      </c>
      <c r="C10" s="31">
        <f>'WP 5 CAISO Charges'!D19</f>
        <v>9954.1</v>
      </c>
      <c r="D10" s="23" t="str">
        <f>D8</f>
        <v>Work paper No. 5; Page 5.1 and 5.2; Line 13</v>
      </c>
      <c r="E10" s="391">
        <f t="shared" si="0"/>
        <v>3</v>
      </c>
    </row>
    <row r="11" spans="1:6" x14ac:dyDescent="0.35">
      <c r="A11" s="390">
        <f t="shared" si="1"/>
        <v>4</v>
      </c>
      <c r="B11" s="117"/>
      <c r="C11" s="31"/>
      <c r="D11" s="10"/>
      <c r="E11" s="391">
        <f t="shared" si="0"/>
        <v>4</v>
      </c>
    </row>
    <row r="12" spans="1:6" ht="16" thickBot="1" x14ac:dyDescent="0.4">
      <c r="A12" s="392">
        <f t="shared" si="1"/>
        <v>5</v>
      </c>
      <c r="B12" s="118">
        <f>'WP 7 Wheeling Revenues'!B15</f>
        <v>43800</v>
      </c>
      <c r="C12" s="64">
        <f>'WP 5 CAISO Charges'!E19</f>
        <v>5654.18</v>
      </c>
      <c r="D12" s="764" t="str">
        <f>D8</f>
        <v>Work paper No. 5; Page 5.1 and 5.2; Line 13</v>
      </c>
      <c r="E12" s="395">
        <f t="shared" si="0"/>
        <v>5</v>
      </c>
    </row>
    <row r="13" spans="1:6" x14ac:dyDescent="0.35">
      <c r="A13" s="390">
        <f t="shared" si="1"/>
        <v>6</v>
      </c>
      <c r="B13" s="117"/>
      <c r="C13" s="31"/>
      <c r="D13" s="23"/>
      <c r="E13" s="391">
        <f t="shared" si="0"/>
        <v>6</v>
      </c>
    </row>
    <row r="14" spans="1:6" x14ac:dyDescent="0.35">
      <c r="A14" s="390">
        <f t="shared" si="1"/>
        <v>7</v>
      </c>
      <c r="B14" s="117">
        <f>'WP 7 Wheeling Revenues'!B17</f>
        <v>43831</v>
      </c>
      <c r="C14" s="31">
        <f>'WP 5 CAISO Charges'!F19</f>
        <v>7880.0899999999992</v>
      </c>
      <c r="D14" s="23" t="str">
        <f>D8</f>
        <v>Work paper No. 5; Page 5.1 and 5.2; Line 13</v>
      </c>
      <c r="E14" s="391">
        <f t="shared" si="0"/>
        <v>7</v>
      </c>
    </row>
    <row r="15" spans="1:6" x14ac:dyDescent="0.35">
      <c r="A15" s="390">
        <f t="shared" si="1"/>
        <v>8</v>
      </c>
      <c r="B15" s="117"/>
      <c r="C15" s="31"/>
      <c r="D15" s="10"/>
      <c r="E15" s="391">
        <f t="shared" si="0"/>
        <v>8</v>
      </c>
    </row>
    <row r="16" spans="1:6" x14ac:dyDescent="0.35">
      <c r="A16" s="390">
        <f t="shared" si="1"/>
        <v>9</v>
      </c>
      <c r="B16" s="117">
        <f>'WP 7 Wheeling Revenues'!B19</f>
        <v>43862</v>
      </c>
      <c r="C16" s="31">
        <f>'WP 5 CAISO Charges'!G19</f>
        <v>12661.64</v>
      </c>
      <c r="D16" s="23" t="str">
        <f>D8</f>
        <v>Work paper No. 5; Page 5.1 and 5.2; Line 13</v>
      </c>
      <c r="E16" s="391">
        <f t="shared" si="0"/>
        <v>9</v>
      </c>
    </row>
    <row r="17" spans="1:5" x14ac:dyDescent="0.35">
      <c r="A17" s="390">
        <f t="shared" si="1"/>
        <v>10</v>
      </c>
      <c r="B17" s="117"/>
      <c r="C17" s="31"/>
      <c r="D17" s="10"/>
      <c r="E17" s="391">
        <f t="shared" si="0"/>
        <v>10</v>
      </c>
    </row>
    <row r="18" spans="1:5" ht="16" thickBot="1" x14ac:dyDescent="0.4">
      <c r="A18" s="392">
        <f t="shared" si="1"/>
        <v>11</v>
      </c>
      <c r="B18" s="118">
        <f>'WP 7 Wheeling Revenues'!B21</f>
        <v>43891</v>
      </c>
      <c r="C18" s="64">
        <f>'WP 5 CAISO Charges'!H19</f>
        <v>22953.13</v>
      </c>
      <c r="D18" s="764" t="str">
        <f>D8</f>
        <v>Work paper No. 5; Page 5.1 and 5.2; Line 13</v>
      </c>
      <c r="E18" s="395">
        <f t="shared" si="0"/>
        <v>11</v>
      </c>
    </row>
    <row r="19" spans="1:5" x14ac:dyDescent="0.35">
      <c r="A19" s="390">
        <f t="shared" si="1"/>
        <v>12</v>
      </c>
      <c r="B19" s="117"/>
      <c r="C19" s="31"/>
      <c r="D19" s="10"/>
      <c r="E19" s="391">
        <f t="shared" si="0"/>
        <v>12</v>
      </c>
    </row>
    <row r="20" spans="1:5" x14ac:dyDescent="0.35">
      <c r="A20" s="390">
        <f t="shared" si="1"/>
        <v>13</v>
      </c>
      <c r="B20" s="117">
        <f>'WP 7 Wheeling Revenues'!B23</f>
        <v>43922</v>
      </c>
      <c r="C20" s="31">
        <f>'WP 5 CAISO Charges'!I19</f>
        <v>14877.26</v>
      </c>
      <c r="D20" s="23" t="str">
        <f>D8</f>
        <v>Work paper No. 5; Page 5.1 and 5.2; Line 13</v>
      </c>
      <c r="E20" s="391">
        <f t="shared" si="0"/>
        <v>13</v>
      </c>
    </row>
    <row r="21" spans="1:5" x14ac:dyDescent="0.35">
      <c r="A21" s="390">
        <f t="shared" si="1"/>
        <v>14</v>
      </c>
      <c r="B21" s="117"/>
      <c r="C21" s="31"/>
      <c r="D21" s="10"/>
      <c r="E21" s="391">
        <f t="shared" si="0"/>
        <v>14</v>
      </c>
    </row>
    <row r="22" spans="1:5" x14ac:dyDescent="0.35">
      <c r="A22" s="390">
        <f t="shared" si="1"/>
        <v>15</v>
      </c>
      <c r="B22" s="117">
        <f>'WP 7 Wheeling Revenues'!B25</f>
        <v>43952</v>
      </c>
      <c r="C22" s="31">
        <f>'WP 5 CAISO Charges'!J19</f>
        <v>50847.340000000011</v>
      </c>
      <c r="D22" s="23" t="str">
        <f>D8</f>
        <v>Work paper No. 5; Page 5.1 and 5.2; Line 13</v>
      </c>
      <c r="E22" s="391">
        <f t="shared" si="0"/>
        <v>15</v>
      </c>
    </row>
    <row r="23" spans="1:5" x14ac:dyDescent="0.35">
      <c r="A23" s="390">
        <f t="shared" si="1"/>
        <v>16</v>
      </c>
      <c r="B23" s="117"/>
      <c r="C23" s="31"/>
      <c r="D23" s="10"/>
      <c r="E23" s="391">
        <f t="shared" si="0"/>
        <v>16</v>
      </c>
    </row>
    <row r="24" spans="1:5" ht="16" thickBot="1" x14ac:dyDescent="0.4">
      <c r="A24" s="392">
        <f t="shared" si="1"/>
        <v>17</v>
      </c>
      <c r="B24" s="118">
        <f>'WP 7 Wheeling Revenues'!B27</f>
        <v>43983</v>
      </c>
      <c r="C24" s="64">
        <f>'WP 5 CAISO Charges'!K19</f>
        <v>234271.13</v>
      </c>
      <c r="D24" s="764" t="str">
        <f>D8</f>
        <v>Work paper No. 5; Page 5.1 and 5.2; Line 13</v>
      </c>
      <c r="E24" s="395">
        <f t="shared" si="0"/>
        <v>17</v>
      </c>
    </row>
    <row r="25" spans="1:5" x14ac:dyDescent="0.35">
      <c r="A25" s="390">
        <f t="shared" si="1"/>
        <v>18</v>
      </c>
      <c r="B25" s="117"/>
      <c r="C25" s="31"/>
      <c r="D25" s="10"/>
      <c r="E25" s="391">
        <f t="shared" si="0"/>
        <v>18</v>
      </c>
    </row>
    <row r="26" spans="1:5" x14ac:dyDescent="0.35">
      <c r="A26" s="390">
        <f t="shared" si="1"/>
        <v>19</v>
      </c>
      <c r="B26" s="117">
        <f>'WP 7 Wheeling Revenues'!B29</f>
        <v>44013</v>
      </c>
      <c r="C26" s="31">
        <f>'WP 5 CAISO Charges'!L19</f>
        <v>174924.95</v>
      </c>
      <c r="D26" s="23" t="str">
        <f>D8</f>
        <v>Work paper No. 5; Page 5.1 and 5.2; Line 13</v>
      </c>
      <c r="E26" s="391">
        <f t="shared" si="0"/>
        <v>19</v>
      </c>
    </row>
    <row r="27" spans="1:5" x14ac:dyDescent="0.35">
      <c r="A27" s="390">
        <f t="shared" si="1"/>
        <v>20</v>
      </c>
      <c r="B27" s="117"/>
      <c r="C27" s="31"/>
      <c r="D27" s="10"/>
      <c r="E27" s="391">
        <f t="shared" si="0"/>
        <v>20</v>
      </c>
    </row>
    <row r="28" spans="1:5" x14ac:dyDescent="0.35">
      <c r="A28" s="390">
        <f t="shared" si="1"/>
        <v>21</v>
      </c>
      <c r="B28" s="117">
        <f>'WP 7 Wheeling Revenues'!B31</f>
        <v>44044</v>
      </c>
      <c r="C28" s="31">
        <f>'WP 5 CAISO Charges'!M19</f>
        <v>155025.65000000002</v>
      </c>
      <c r="D28" s="23" t="str">
        <f>D8</f>
        <v>Work paper No. 5; Page 5.1 and 5.2; Line 13</v>
      </c>
      <c r="E28" s="391">
        <f t="shared" si="0"/>
        <v>21</v>
      </c>
    </row>
    <row r="29" spans="1:5" x14ac:dyDescent="0.35">
      <c r="A29" s="390">
        <f t="shared" si="1"/>
        <v>22</v>
      </c>
      <c r="B29" s="117"/>
      <c r="C29" s="31"/>
      <c r="D29" s="10"/>
      <c r="E29" s="391">
        <f t="shared" si="0"/>
        <v>22</v>
      </c>
    </row>
    <row r="30" spans="1:5" ht="16" thickBot="1" x14ac:dyDescent="0.4">
      <c r="A30" s="392">
        <f t="shared" si="1"/>
        <v>23</v>
      </c>
      <c r="B30" s="118">
        <f>'WP 7 Wheeling Revenues'!B33</f>
        <v>44075</v>
      </c>
      <c r="C30" s="89">
        <f>'WP 5 CAISO Charges'!N19</f>
        <v>-1606527.73</v>
      </c>
      <c r="D30" s="764" t="str">
        <f>D8</f>
        <v>Work paper No. 5; Page 5.1 and 5.2; Line 13</v>
      </c>
      <c r="E30" s="395">
        <f t="shared" si="0"/>
        <v>23</v>
      </c>
    </row>
    <row r="31" spans="1:5" x14ac:dyDescent="0.35">
      <c r="A31" s="390">
        <f t="shared" si="1"/>
        <v>24</v>
      </c>
      <c r="B31" s="117"/>
      <c r="C31" s="46"/>
      <c r="D31" s="23"/>
      <c r="E31" s="391">
        <f t="shared" si="0"/>
        <v>24</v>
      </c>
    </row>
    <row r="32" spans="1:5" ht="16" thickBot="1" x14ac:dyDescent="0.4">
      <c r="A32" s="390">
        <f t="shared" si="1"/>
        <v>25</v>
      </c>
      <c r="B32" s="150" t="s">
        <v>407</v>
      </c>
      <c r="C32" s="80">
        <f>SUM(C8:C30)</f>
        <v>-908703.00999999989</v>
      </c>
      <c r="D32" s="29" t="s">
        <v>414</v>
      </c>
      <c r="E32" s="391">
        <f t="shared" si="0"/>
        <v>25</v>
      </c>
    </row>
    <row r="33" spans="1:5" ht="16" thickTop="1" x14ac:dyDescent="0.35">
      <c r="A33" s="390">
        <f>A32+1</f>
        <v>26</v>
      </c>
      <c r="B33" s="796"/>
      <c r="C33" s="19"/>
      <c r="D33" s="797"/>
      <c r="E33" s="391">
        <f t="shared" si="0"/>
        <v>26</v>
      </c>
    </row>
    <row r="34" spans="1:5" ht="31" thickBot="1" x14ac:dyDescent="0.4">
      <c r="A34" s="786">
        <f>A33+1</f>
        <v>27</v>
      </c>
      <c r="B34" s="793" t="s">
        <v>422</v>
      </c>
      <c r="C34" s="219">
        <f>C32</f>
        <v>-908703.00999999989</v>
      </c>
      <c r="D34" s="29" t="s">
        <v>409</v>
      </c>
      <c r="E34" s="788">
        <f>E33+1</f>
        <v>27</v>
      </c>
    </row>
    <row r="35" spans="1:5" ht="16.5" thickTop="1" thickBot="1" x14ac:dyDescent="0.4">
      <c r="A35" s="392">
        <f>A34+1</f>
        <v>28</v>
      </c>
      <c r="B35" s="393"/>
      <c r="C35" s="934"/>
      <c r="D35" s="798"/>
      <c r="E35" s="395">
        <f>E34+1</f>
        <v>28</v>
      </c>
    </row>
    <row r="36" spans="1:5" x14ac:dyDescent="0.35">
      <c r="B36" s="389"/>
      <c r="C36" s="79"/>
    </row>
    <row r="37" spans="1:5" ht="18.5" x14ac:dyDescent="0.35">
      <c r="A37" s="794"/>
      <c r="B37" s="149"/>
      <c r="C37" s="152"/>
      <c r="D37" s="152"/>
    </row>
    <row r="38" spans="1:5" x14ac:dyDescent="0.35">
      <c r="B38" s="152"/>
      <c r="C38" s="152"/>
      <c r="D38" s="152"/>
    </row>
    <row r="39" spans="1:5" x14ac:dyDescent="0.35">
      <c r="B39" s="152"/>
      <c r="C39" s="152"/>
      <c r="D39" s="152"/>
    </row>
    <row r="40" spans="1:5" x14ac:dyDescent="0.35">
      <c r="A40" s="483"/>
      <c r="B40" s="371"/>
      <c r="C40" s="152"/>
      <c r="D40" s="152"/>
    </row>
    <row r="41" spans="1:5" x14ac:dyDescent="0.35">
      <c r="B41" s="225"/>
      <c r="C41" s="152"/>
      <c r="D41" s="152"/>
    </row>
    <row r="42" spans="1:5" x14ac:dyDescent="0.35">
      <c r="B42" s="225"/>
      <c r="C42" s="152"/>
      <c r="D42" s="152"/>
    </row>
    <row r="43" spans="1:5" x14ac:dyDescent="0.35">
      <c r="B43" s="225"/>
      <c r="C43" s="152"/>
      <c r="D43" s="152"/>
    </row>
    <row r="44" spans="1:5" x14ac:dyDescent="0.35">
      <c r="B44" s="371"/>
      <c r="C44" s="152"/>
      <c r="D44" s="152"/>
    </row>
    <row r="45" spans="1:5" x14ac:dyDescent="0.35">
      <c r="B45" s="152"/>
      <c r="C45" s="152"/>
      <c r="D45" s="152"/>
    </row>
    <row r="46" spans="1:5" x14ac:dyDescent="0.35">
      <c r="B46" s="370"/>
      <c r="C46" s="152"/>
      <c r="D46" s="152"/>
    </row>
    <row r="47" spans="1:5" x14ac:dyDescent="0.35">
      <c r="B47" s="225"/>
      <c r="C47" s="152"/>
      <c r="D47" s="152"/>
    </row>
    <row r="48" spans="1:5" x14ac:dyDescent="0.35">
      <c r="B48" s="152"/>
      <c r="C48" s="152"/>
      <c r="D48" s="152"/>
    </row>
  </sheetData>
  <mergeCells count="3">
    <mergeCell ref="A2:E2"/>
    <mergeCell ref="A3:E3"/>
    <mergeCell ref="A4:E4"/>
  </mergeCells>
  <printOptions horizontalCentered="1"/>
  <pageMargins left="0.25" right="0.25" top="0.5" bottom="0.5" header="0.25" footer="0.25"/>
  <pageSetup scale="95" orientation="landscape" r:id="rId1"/>
  <headerFooter alignWithMargins="0">
    <oddFooter>&amp;L&amp;"Times New Roman,Regular"&amp;12&amp;F&amp;C&amp;"Times New Roman,Regular"&amp;12Page 11.1&amp;R&amp;"Times New Roman,Regular"&amp;12&amp;A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7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27.54296875" style="1" customWidth="1"/>
    <col min="3" max="3" width="22.54296875" style="1" customWidth="1"/>
    <col min="4" max="4" width="18.54296875" style="1" bestFit="1" customWidth="1"/>
    <col min="5" max="5" width="20.54296875" style="1" customWidth="1"/>
    <col min="6" max="6" width="26.1796875" style="1" bestFit="1" customWidth="1"/>
    <col min="7" max="7" width="46.453125" style="1" bestFit="1" customWidth="1"/>
    <col min="8" max="8" width="5.54296875" style="1" customWidth="1"/>
    <col min="9" max="9" width="8.54296875" style="1" customWidth="1"/>
    <col min="10" max="10" width="12.54296875" style="1" customWidth="1"/>
    <col min="11" max="11" width="12.54296875" style="1" bestFit="1" customWidth="1"/>
    <col min="12" max="16384" width="8.54296875" style="1"/>
  </cols>
  <sheetData>
    <row r="2" spans="1:11" s="3" customFormat="1" ht="18" customHeight="1" x14ac:dyDescent="0.3">
      <c r="A2" s="5" t="s">
        <v>25</v>
      </c>
      <c r="B2" s="5"/>
      <c r="C2" s="5"/>
      <c r="D2" s="5"/>
      <c r="E2" s="5"/>
      <c r="F2" s="5"/>
      <c r="G2" s="5"/>
      <c r="H2" s="41"/>
      <c r="I2" s="1"/>
      <c r="J2" s="1"/>
      <c r="K2" s="1"/>
    </row>
    <row r="3" spans="1:11" s="3" customFormat="1" ht="18" customHeight="1" x14ac:dyDescent="0.3">
      <c r="A3" s="5" t="s">
        <v>92</v>
      </c>
      <c r="B3" s="5"/>
      <c r="C3" s="5"/>
      <c r="D3" s="5"/>
      <c r="E3" s="5"/>
      <c r="F3" s="5"/>
      <c r="G3" s="5"/>
      <c r="H3" s="41"/>
      <c r="I3" s="1"/>
      <c r="J3" s="1"/>
      <c r="K3" s="1"/>
    </row>
    <row r="4" spans="1:11" s="3" customFormat="1" ht="18" customHeight="1" x14ac:dyDescent="0.3">
      <c r="A4" s="5" t="str">
        <f>'Stmnt BD - Forecast KWH'!A4</f>
        <v>2021 - TRBAA Rate Filing</v>
      </c>
      <c r="B4" s="5"/>
      <c r="C4" s="5"/>
      <c r="D4" s="5"/>
      <c r="E4" s="5"/>
      <c r="F4" s="5"/>
      <c r="G4" s="5"/>
      <c r="H4" s="41"/>
      <c r="I4" s="1"/>
      <c r="J4" s="1"/>
      <c r="K4" s="1"/>
    </row>
    <row r="5" spans="1:11" s="3" customFormat="1" ht="18" customHeight="1" x14ac:dyDescent="0.3">
      <c r="A5" s="5" t="s">
        <v>512</v>
      </c>
      <c r="B5" s="5"/>
      <c r="C5" s="5"/>
      <c r="D5" s="5"/>
      <c r="E5" s="5"/>
      <c r="F5" s="5"/>
      <c r="G5" s="5"/>
      <c r="H5" s="41"/>
      <c r="I5" s="1"/>
      <c r="J5" s="1"/>
      <c r="K5" s="1"/>
    </row>
    <row r="6" spans="1:11" ht="15.5" x14ac:dyDescent="0.3">
      <c r="A6" s="5" t="s">
        <v>128</v>
      </c>
      <c r="B6" s="5"/>
      <c r="C6" s="5"/>
      <c r="D6" s="5"/>
      <c r="E6" s="5"/>
      <c r="F6" s="41"/>
      <c r="G6" s="41"/>
      <c r="H6" s="41"/>
    </row>
    <row r="7" spans="1:11" ht="16" thickBot="1" x14ac:dyDescent="0.4">
      <c r="A7" s="22"/>
      <c r="B7" s="22"/>
      <c r="C7" s="22"/>
      <c r="D7" s="22"/>
      <c r="E7" s="45"/>
      <c r="F7" s="45"/>
      <c r="G7" s="22"/>
      <c r="H7" s="22"/>
    </row>
    <row r="8" spans="1:11" ht="15" x14ac:dyDescent="0.3">
      <c r="A8" s="334"/>
      <c r="B8" s="650"/>
      <c r="C8" s="525" t="s">
        <v>115</v>
      </c>
      <c r="D8" s="905" t="s">
        <v>132</v>
      </c>
      <c r="E8" s="651" t="s">
        <v>117</v>
      </c>
      <c r="F8" s="651" t="s">
        <v>309</v>
      </c>
      <c r="G8" s="659"/>
      <c r="H8" s="652"/>
    </row>
    <row r="9" spans="1:11" ht="15" x14ac:dyDescent="0.3">
      <c r="A9" s="653"/>
      <c r="B9" s="103"/>
      <c r="C9" s="103"/>
      <c r="D9" s="103"/>
      <c r="E9" s="82" t="s">
        <v>306</v>
      </c>
      <c r="F9" s="82" t="s">
        <v>297</v>
      </c>
      <c r="G9" s="82"/>
      <c r="H9" s="654"/>
    </row>
    <row r="10" spans="1:11" ht="15" x14ac:dyDescent="0.3">
      <c r="A10" s="655" t="s">
        <v>93</v>
      </c>
      <c r="B10" s="82"/>
      <c r="C10" s="82" t="s">
        <v>88</v>
      </c>
      <c r="D10" s="82" t="s">
        <v>140</v>
      </c>
      <c r="E10" s="180" t="s">
        <v>298</v>
      </c>
      <c r="F10" s="180" t="s">
        <v>299</v>
      </c>
      <c r="G10" s="82"/>
      <c r="H10" s="656" t="s">
        <v>93</v>
      </c>
    </row>
    <row r="11" spans="1:11" ht="15.5" thickBot="1" x14ac:dyDescent="0.35">
      <c r="A11" s="678" t="s">
        <v>87</v>
      </c>
      <c r="B11" s="174" t="s">
        <v>94</v>
      </c>
      <c r="C11" s="174" t="s">
        <v>300</v>
      </c>
      <c r="D11" s="174" t="s">
        <v>301</v>
      </c>
      <c r="E11" s="680" t="s">
        <v>118</v>
      </c>
      <c r="F11" s="680" t="s">
        <v>302</v>
      </c>
      <c r="G11" s="174" t="s">
        <v>91</v>
      </c>
      <c r="H11" s="679" t="s">
        <v>87</v>
      </c>
    </row>
    <row r="12" spans="1:11" ht="15.5" x14ac:dyDescent="0.35">
      <c r="A12" s="308"/>
      <c r="B12" s="910"/>
      <c r="C12" s="910"/>
      <c r="D12" s="910"/>
      <c r="E12" s="215"/>
      <c r="F12" s="215"/>
      <c r="G12" s="10"/>
      <c r="H12" s="309"/>
    </row>
    <row r="13" spans="1:11" ht="15.5" x14ac:dyDescent="0.35">
      <c r="A13" s="308">
        <v>1</v>
      </c>
      <c r="B13" s="115">
        <f>'Stmnt BD - Forecast KWH'!B12</f>
        <v>44197</v>
      </c>
      <c r="C13" s="573">
        <f>'WP 1.2 Forecast Sales'!C13</f>
        <v>1478463.341</v>
      </c>
      <c r="D13" s="573">
        <f>'WP 1.2 Forecast Sales'!C12</f>
        <v>5.3419999999999996</v>
      </c>
      <c r="E13" s="46">
        <f>C13-D13</f>
        <v>1478457.9990000001</v>
      </c>
      <c r="F13" s="46">
        <f>E13*$E$31</f>
        <v>1538631.2395593</v>
      </c>
      <c r="G13" s="285" t="s">
        <v>312</v>
      </c>
      <c r="H13" s="309">
        <v>1</v>
      </c>
      <c r="J13" s="205"/>
    </row>
    <row r="14" spans="1:11" ht="15.5" x14ac:dyDescent="0.35">
      <c r="A14" s="308">
        <f>A13+1</f>
        <v>2</v>
      </c>
      <c r="B14" s="115">
        <f>'Stmnt BD - Forecast KWH'!B13</f>
        <v>44228</v>
      </c>
      <c r="C14" s="573">
        <f>'WP 1.2 Forecast Sales'!D13</f>
        <v>1365243.477</v>
      </c>
      <c r="D14" s="573">
        <f>'WP 1.2 Forecast Sales'!D12</f>
        <v>5.0449999999999999</v>
      </c>
      <c r="E14" s="46">
        <f t="shared" ref="E14:E24" si="0">C14-D14</f>
        <v>1365238.432</v>
      </c>
      <c r="F14" s="46">
        <f t="shared" ref="F14:F24" si="1">E14*$E$31</f>
        <v>1420803.6361823999</v>
      </c>
      <c r="G14" s="285" t="str">
        <f>$G$13</f>
        <v>Cols. A to C, WP No. 1; Page 1.2; Lines 10, 9 &amp; 12</v>
      </c>
      <c r="H14" s="309">
        <f>H13+1</f>
        <v>2</v>
      </c>
      <c r="J14" s="205"/>
    </row>
    <row r="15" spans="1:11" ht="15.5" x14ac:dyDescent="0.35">
      <c r="A15" s="308">
        <f t="shared" ref="A15:A40" si="2">A14+1</f>
        <v>3</v>
      </c>
      <c r="B15" s="115">
        <f>'Stmnt BD - Forecast KWH'!B14</f>
        <v>44256</v>
      </c>
      <c r="C15" s="573">
        <f>'WP 1.2 Forecast Sales'!E13</f>
        <v>1323555.8329999999</v>
      </c>
      <c r="D15" s="573">
        <f>'WP 1.2 Forecast Sales'!E12</f>
        <v>5.0810000000000004</v>
      </c>
      <c r="E15" s="46">
        <f t="shared" si="0"/>
        <v>1323550.7519999999</v>
      </c>
      <c r="F15" s="46">
        <f t="shared" si="1"/>
        <v>1377419.2676063997</v>
      </c>
      <c r="G15" s="285" t="str">
        <f t="shared" ref="G15:G24" si="3">$G$13</f>
        <v>Cols. A to C, WP No. 1; Page 1.2; Lines 10, 9 &amp; 12</v>
      </c>
      <c r="H15" s="309">
        <f t="shared" ref="H15:H40" si="4">H14+1</f>
        <v>3</v>
      </c>
      <c r="J15" s="205"/>
    </row>
    <row r="16" spans="1:11" ht="15.5" x14ac:dyDescent="0.35">
      <c r="A16" s="308">
        <f t="shared" si="2"/>
        <v>4</v>
      </c>
      <c r="B16" s="115">
        <f>'Stmnt BD - Forecast KWH'!B15</f>
        <v>44287</v>
      </c>
      <c r="C16" s="573">
        <f>'WP 1.2 Forecast Sales'!F13</f>
        <v>1303508.5340000002</v>
      </c>
      <c r="D16" s="573">
        <f>'WP 1.2 Forecast Sales'!F12</f>
        <v>4.9749999999999996</v>
      </c>
      <c r="E16" s="46">
        <f t="shared" si="0"/>
        <v>1303503.5590000001</v>
      </c>
      <c r="F16" s="46">
        <f t="shared" si="1"/>
        <v>1356556.1538513</v>
      </c>
      <c r="G16" s="285" t="str">
        <f t="shared" si="3"/>
        <v>Cols. A to C, WP No. 1; Page 1.2; Lines 10, 9 &amp; 12</v>
      </c>
      <c r="H16" s="309">
        <f t="shared" si="4"/>
        <v>4</v>
      </c>
      <c r="J16" s="205"/>
    </row>
    <row r="17" spans="1:11" ht="15.5" x14ac:dyDescent="0.35">
      <c r="A17" s="308">
        <f t="shared" si="2"/>
        <v>5</v>
      </c>
      <c r="B17" s="115">
        <f>'Stmnt BD - Forecast KWH'!B16</f>
        <v>44317</v>
      </c>
      <c r="C17" s="573">
        <f>'WP 1.2 Forecast Sales'!G13</f>
        <v>1308718.1089999999</v>
      </c>
      <c r="D17" s="573">
        <f>'WP 1.2 Forecast Sales'!G12</f>
        <v>5.0110000000000001</v>
      </c>
      <c r="E17" s="46">
        <f t="shared" si="0"/>
        <v>1308713.098</v>
      </c>
      <c r="F17" s="46">
        <f t="shared" si="1"/>
        <v>1361977.7210885999</v>
      </c>
      <c r="G17" s="285" t="str">
        <f t="shared" si="3"/>
        <v>Cols. A to C, WP No. 1; Page 1.2; Lines 10, 9 &amp; 12</v>
      </c>
      <c r="H17" s="309">
        <f t="shared" si="4"/>
        <v>5</v>
      </c>
      <c r="J17" s="205"/>
    </row>
    <row r="18" spans="1:11" ht="15.5" x14ac:dyDescent="0.35">
      <c r="A18" s="308">
        <f t="shared" si="2"/>
        <v>6</v>
      </c>
      <c r="B18" s="115">
        <f>'Stmnt BD - Forecast KWH'!B17</f>
        <v>44348</v>
      </c>
      <c r="C18" s="573">
        <f>'WP 1.2 Forecast Sales'!H13</f>
        <v>1386901.1940000004</v>
      </c>
      <c r="D18" s="573">
        <f>'WP 1.2 Forecast Sales'!H12</f>
        <v>5.1710000000000003</v>
      </c>
      <c r="E18" s="46">
        <f t="shared" si="0"/>
        <v>1386896.0230000003</v>
      </c>
      <c r="F18" s="46">
        <f t="shared" si="1"/>
        <v>1443342.6911361003</v>
      </c>
      <c r="G18" s="285" t="str">
        <f t="shared" si="3"/>
        <v>Cols. A to C, WP No. 1; Page 1.2; Lines 10, 9 &amp; 12</v>
      </c>
      <c r="H18" s="309">
        <f t="shared" si="4"/>
        <v>6</v>
      </c>
      <c r="J18" s="205"/>
    </row>
    <row r="19" spans="1:11" ht="15.5" x14ac:dyDescent="0.35">
      <c r="A19" s="308">
        <f t="shared" si="2"/>
        <v>7</v>
      </c>
      <c r="B19" s="115">
        <f>'Stmnt BD - Forecast KWH'!B18</f>
        <v>44378</v>
      </c>
      <c r="C19" s="573">
        <f>'WP 1.2 Forecast Sales'!I13</f>
        <v>1579912.2349999999</v>
      </c>
      <c r="D19" s="573">
        <f>'WP 1.2 Forecast Sales'!I12</f>
        <v>5.234</v>
      </c>
      <c r="E19" s="46">
        <f t="shared" si="0"/>
        <v>1579907.0009999999</v>
      </c>
      <c r="F19" s="46">
        <f t="shared" si="1"/>
        <v>1644209.2159406999</v>
      </c>
      <c r="G19" s="285" t="str">
        <f t="shared" si="3"/>
        <v>Cols. A to C, WP No. 1; Page 1.2; Lines 10, 9 &amp; 12</v>
      </c>
      <c r="H19" s="309">
        <f t="shared" si="4"/>
        <v>7</v>
      </c>
      <c r="J19" s="205"/>
    </row>
    <row r="20" spans="1:11" ht="15.5" x14ac:dyDescent="0.35">
      <c r="A20" s="308">
        <f t="shared" si="2"/>
        <v>8</v>
      </c>
      <c r="B20" s="115">
        <f>'Stmnt BD - Forecast KWH'!B19</f>
        <v>44409</v>
      </c>
      <c r="C20" s="573">
        <f>'WP 1.2 Forecast Sales'!J13</f>
        <v>1668690.142</v>
      </c>
      <c r="D20" s="573">
        <f>'WP 1.2 Forecast Sales'!J12</f>
        <v>4.9660000000000002</v>
      </c>
      <c r="E20" s="46">
        <f t="shared" si="0"/>
        <v>1668685.176</v>
      </c>
      <c r="F20" s="46">
        <f t="shared" si="1"/>
        <v>1736600.6626631999</v>
      </c>
      <c r="G20" s="285" t="str">
        <f t="shared" si="3"/>
        <v>Cols. A to C, WP No. 1; Page 1.2; Lines 10, 9 &amp; 12</v>
      </c>
      <c r="H20" s="309">
        <f t="shared" si="4"/>
        <v>8</v>
      </c>
      <c r="J20" s="205"/>
    </row>
    <row r="21" spans="1:11" ht="15.5" x14ac:dyDescent="0.35">
      <c r="A21" s="308">
        <f t="shared" si="2"/>
        <v>9</v>
      </c>
      <c r="B21" s="115">
        <f>'Stmnt BD - Forecast KWH'!B20</f>
        <v>44440</v>
      </c>
      <c r="C21" s="573">
        <f>'WP 1.2 Forecast Sales'!K13</f>
        <v>1760024.5170000002</v>
      </c>
      <c r="D21" s="573">
        <f>'WP 1.2 Forecast Sales'!K12</f>
        <v>5.2229999999999999</v>
      </c>
      <c r="E21" s="46">
        <f t="shared" si="0"/>
        <v>1760019.2940000002</v>
      </c>
      <c r="F21" s="46">
        <f t="shared" si="1"/>
        <v>1831652.0792658001</v>
      </c>
      <c r="G21" s="285" t="str">
        <f t="shared" si="3"/>
        <v>Cols. A to C, WP No. 1; Page 1.2; Lines 10, 9 &amp; 12</v>
      </c>
      <c r="H21" s="309">
        <f t="shared" si="4"/>
        <v>9</v>
      </c>
      <c r="J21" s="205"/>
    </row>
    <row r="22" spans="1:11" ht="15.5" x14ac:dyDescent="0.35">
      <c r="A22" s="308">
        <f t="shared" si="2"/>
        <v>10</v>
      </c>
      <c r="B22" s="115">
        <f>'Stmnt BD - Forecast KWH'!B21</f>
        <v>44470</v>
      </c>
      <c r="C22" s="573">
        <f>'WP 1.2 Forecast Sales'!L13</f>
        <v>1559790.952</v>
      </c>
      <c r="D22" s="573">
        <f>'WP 1.2 Forecast Sales'!L12</f>
        <v>5</v>
      </c>
      <c r="E22" s="46">
        <f t="shared" si="0"/>
        <v>1559785.952</v>
      </c>
      <c r="F22" s="46">
        <f t="shared" si="1"/>
        <v>1623269.2402464</v>
      </c>
      <c r="G22" s="285" t="str">
        <f t="shared" si="3"/>
        <v>Cols. A to C, WP No. 1; Page 1.2; Lines 10, 9 &amp; 12</v>
      </c>
      <c r="H22" s="309">
        <f t="shared" si="4"/>
        <v>10</v>
      </c>
      <c r="J22" s="205"/>
    </row>
    <row r="23" spans="1:11" ht="15.5" x14ac:dyDescent="0.35">
      <c r="A23" s="308">
        <f t="shared" si="2"/>
        <v>11</v>
      </c>
      <c r="B23" s="115">
        <f>'Stmnt BD - Forecast KWH'!B22</f>
        <v>44501</v>
      </c>
      <c r="C23" s="573">
        <f>'WP 1.2 Forecast Sales'!M13</f>
        <v>1447020.709</v>
      </c>
      <c r="D23" s="573">
        <f>'WP 1.2 Forecast Sales'!M12</f>
        <v>5.04</v>
      </c>
      <c r="E23" s="46">
        <f t="shared" si="0"/>
        <v>1447015.669</v>
      </c>
      <c r="F23" s="46">
        <f t="shared" si="1"/>
        <v>1505909.2067282998</v>
      </c>
      <c r="G23" s="285" t="str">
        <f t="shared" si="3"/>
        <v>Cols. A to C, WP No. 1; Page 1.2; Lines 10, 9 &amp; 12</v>
      </c>
      <c r="H23" s="309">
        <f t="shared" si="4"/>
        <v>11</v>
      </c>
      <c r="J23" s="205"/>
    </row>
    <row r="24" spans="1:11" ht="15.5" x14ac:dyDescent="0.35">
      <c r="A24" s="308">
        <f t="shared" si="2"/>
        <v>12</v>
      </c>
      <c r="B24" s="115">
        <f>'Stmnt BD - Forecast KWH'!B23</f>
        <v>44531</v>
      </c>
      <c r="C24" s="573">
        <f>'WP 1.2 Forecast Sales'!N13</f>
        <v>1455956.1369999999</v>
      </c>
      <c r="D24" s="573">
        <f>'WP 1.2 Forecast Sales'!N12</f>
        <v>5.2160000000000002</v>
      </c>
      <c r="E24" s="46">
        <f t="shared" si="0"/>
        <v>1455950.9209999999</v>
      </c>
      <c r="F24" s="55">
        <f t="shared" si="1"/>
        <v>1515208.1234846998</v>
      </c>
      <c r="G24" s="285" t="str">
        <f t="shared" si="3"/>
        <v>Cols. A to C, WP No. 1; Page 1.2; Lines 10, 9 &amp; 12</v>
      </c>
      <c r="H24" s="309">
        <f t="shared" si="4"/>
        <v>12</v>
      </c>
      <c r="J24" s="205"/>
    </row>
    <row r="25" spans="1:11" ht="15.5" x14ac:dyDescent="0.35">
      <c r="A25" s="308">
        <f t="shared" si="2"/>
        <v>13</v>
      </c>
      <c r="B25" s="56"/>
      <c r="C25" s="574"/>
      <c r="D25" s="56"/>
      <c r="E25" s="57"/>
      <c r="F25" s="47"/>
      <c r="G25" s="52"/>
      <c r="H25" s="309">
        <f t="shared" si="4"/>
        <v>13</v>
      </c>
    </row>
    <row r="26" spans="1:11" ht="16" thickBot="1" x14ac:dyDescent="0.4">
      <c r="A26" s="308">
        <f t="shared" si="2"/>
        <v>14</v>
      </c>
      <c r="B26" s="13" t="s">
        <v>88</v>
      </c>
      <c r="C26" s="580">
        <f>SUM(C13:C25)</f>
        <v>17637785.18</v>
      </c>
      <c r="D26" s="580">
        <f>SUM(D13:D25)</f>
        <v>61.303999999999995</v>
      </c>
      <c r="E26" s="50">
        <f>SUM(E13:E24)</f>
        <v>17637723.875999998</v>
      </c>
      <c r="F26" s="50">
        <f>SUM(F13:F24)</f>
        <v>18355579.237753198</v>
      </c>
      <c r="G26" s="53" t="s">
        <v>28</v>
      </c>
      <c r="H26" s="309">
        <f t="shared" si="4"/>
        <v>14</v>
      </c>
      <c r="J26" s="345"/>
      <c r="K26" s="205"/>
    </row>
    <row r="27" spans="1:11" ht="16" thickTop="1" x14ac:dyDescent="0.35">
      <c r="A27" s="308">
        <f t="shared" si="2"/>
        <v>15</v>
      </c>
      <c r="B27" s="32"/>
      <c r="C27" s="576"/>
      <c r="D27" s="576"/>
      <c r="E27" s="49"/>
      <c r="F27" s="583"/>
      <c r="G27" s="53"/>
      <c r="H27" s="309">
        <f t="shared" si="4"/>
        <v>15</v>
      </c>
      <c r="J27" s="345"/>
      <c r="K27" s="205"/>
    </row>
    <row r="28" spans="1:11" ht="16" thickBot="1" x14ac:dyDescent="0.4">
      <c r="A28" s="308">
        <f t="shared" si="2"/>
        <v>16</v>
      </c>
      <c r="B28" s="62" t="s">
        <v>303</v>
      </c>
      <c r="C28" s="576"/>
      <c r="D28" s="576"/>
      <c r="E28" s="586">
        <f>E26</f>
        <v>17637723.875999998</v>
      </c>
      <c r="F28" s="49"/>
      <c r="G28" s="587" t="s">
        <v>307</v>
      </c>
      <c r="H28" s="309">
        <f t="shared" si="4"/>
        <v>16</v>
      </c>
      <c r="J28" s="345"/>
      <c r="K28" s="205"/>
    </row>
    <row r="29" spans="1:11" ht="16" thickTop="1" x14ac:dyDescent="0.35">
      <c r="A29" s="308">
        <f t="shared" si="2"/>
        <v>17</v>
      </c>
      <c r="B29" s="577"/>
      <c r="C29" s="578"/>
      <c r="D29" s="578"/>
      <c r="E29" s="585"/>
      <c r="F29" s="584"/>
      <c r="G29" s="579"/>
      <c r="H29" s="309">
        <f t="shared" si="4"/>
        <v>17</v>
      </c>
      <c r="J29" s="345"/>
      <c r="K29" s="205"/>
    </row>
    <row r="30" spans="1:11" ht="15.5" x14ac:dyDescent="0.35">
      <c r="A30" s="308">
        <f t="shared" si="2"/>
        <v>18</v>
      </c>
      <c r="B30" s="32"/>
      <c r="C30" s="582"/>
      <c r="D30" s="582"/>
      <c r="E30" s="531"/>
      <c r="F30" s="49"/>
      <c r="G30" s="53"/>
      <c r="H30" s="309">
        <f t="shared" si="4"/>
        <v>18</v>
      </c>
      <c r="J30" s="345"/>
      <c r="K30" s="205"/>
    </row>
    <row r="31" spans="1:11" ht="19" thickBot="1" x14ac:dyDescent="0.4">
      <c r="A31" s="308">
        <f t="shared" si="2"/>
        <v>19</v>
      </c>
      <c r="B31" s="62" t="s">
        <v>310</v>
      </c>
      <c r="C31" s="911">
        <v>38118544.600000001</v>
      </c>
      <c r="D31" s="911">
        <v>39670687.379613943</v>
      </c>
      <c r="E31" s="647">
        <f>ROUND(D31/C31,4)</f>
        <v>1.0407</v>
      </c>
      <c r="F31" s="49"/>
      <c r="G31" s="53" t="s">
        <v>304</v>
      </c>
      <c r="H31" s="309">
        <f t="shared" si="4"/>
        <v>19</v>
      </c>
      <c r="J31" s="345"/>
      <c r="K31" s="205"/>
    </row>
    <row r="32" spans="1:11" ht="16" thickTop="1" x14ac:dyDescent="0.35">
      <c r="A32" s="308">
        <f t="shared" si="2"/>
        <v>20</v>
      </c>
      <c r="B32" s="581"/>
      <c r="C32" s="575"/>
      <c r="D32" s="575"/>
      <c r="E32" s="588"/>
      <c r="F32" s="584"/>
      <c r="G32" s="579"/>
      <c r="H32" s="309">
        <f t="shared" si="4"/>
        <v>20</v>
      </c>
      <c r="J32" s="345"/>
      <c r="K32" s="205"/>
    </row>
    <row r="33" spans="1:11" ht="15.5" x14ac:dyDescent="0.35">
      <c r="A33" s="308">
        <f t="shared" si="2"/>
        <v>21</v>
      </c>
      <c r="B33" s="62"/>
      <c r="C33" s="576"/>
      <c r="D33" s="576"/>
      <c r="E33" s="583"/>
      <c r="F33" s="583"/>
      <c r="G33" s="53"/>
      <c r="H33" s="309">
        <f t="shared" si="4"/>
        <v>21</v>
      </c>
      <c r="J33" s="345"/>
      <c r="K33" s="205"/>
    </row>
    <row r="34" spans="1:11" ht="15.5" x14ac:dyDescent="0.35">
      <c r="A34" s="308">
        <f t="shared" si="2"/>
        <v>22</v>
      </c>
      <c r="B34" s="62" t="s">
        <v>305</v>
      </c>
      <c r="C34" s="576"/>
      <c r="D34" s="576"/>
      <c r="E34" s="583"/>
      <c r="F34" s="583">
        <f>F26</f>
        <v>18355579.237753198</v>
      </c>
      <c r="G34" s="587" t="s">
        <v>308</v>
      </c>
      <c r="H34" s="309">
        <f t="shared" si="4"/>
        <v>22</v>
      </c>
      <c r="J34" s="345"/>
      <c r="K34" s="205"/>
    </row>
    <row r="35" spans="1:11" ht="15.5" x14ac:dyDescent="0.35">
      <c r="A35" s="308">
        <f t="shared" si="2"/>
        <v>23</v>
      </c>
      <c r="B35" s="62"/>
      <c r="C35" s="576"/>
      <c r="D35" s="576"/>
      <c r="E35" s="583"/>
      <c r="F35" s="583"/>
      <c r="G35" s="53"/>
      <c r="H35" s="309">
        <f t="shared" si="4"/>
        <v>23</v>
      </c>
      <c r="J35" s="345"/>
      <c r="K35" s="205"/>
    </row>
    <row r="36" spans="1:11" ht="18.5" x14ac:dyDescent="0.35">
      <c r="A36" s="308">
        <f t="shared" si="2"/>
        <v>24</v>
      </c>
      <c r="B36" s="62" t="s">
        <v>443</v>
      </c>
      <c r="C36" s="54"/>
      <c r="D36" s="54"/>
      <c r="E36" s="583"/>
      <c r="F36" s="583">
        <f>'Stmt BD-Forecast Pump Storage'!N13</f>
        <v>77862.250245896605</v>
      </c>
      <c r="G36" s="53" t="s">
        <v>453</v>
      </c>
      <c r="H36" s="309">
        <f t="shared" si="4"/>
        <v>24</v>
      </c>
      <c r="J36" s="345"/>
      <c r="K36" s="205"/>
    </row>
    <row r="37" spans="1:11" ht="15.5" x14ac:dyDescent="0.35">
      <c r="A37" s="308">
        <f t="shared" si="2"/>
        <v>25</v>
      </c>
      <c r="B37" s="62"/>
      <c r="C37" s="54"/>
      <c r="D37" s="54"/>
      <c r="E37" s="531"/>
      <c r="F37" s="49"/>
      <c r="G37" s="587"/>
      <c r="H37" s="309">
        <f t="shared" si="4"/>
        <v>25</v>
      </c>
      <c r="J37" s="345"/>
      <c r="K37" s="205"/>
    </row>
    <row r="38" spans="1:11" ht="18.5" x14ac:dyDescent="0.35">
      <c r="A38" s="214">
        <f t="shared" si="2"/>
        <v>26</v>
      </c>
      <c r="B38" s="62" t="s">
        <v>457</v>
      </c>
      <c r="C38" s="54"/>
      <c r="D38" s="54"/>
      <c r="E38" s="531"/>
      <c r="F38" s="48">
        <f>'Stmt BD-Pump Load True Up Adj'!C18</f>
        <v>17415.347013679861</v>
      </c>
      <c r="G38" s="53" t="s">
        <v>454</v>
      </c>
      <c r="H38" s="309">
        <f t="shared" si="4"/>
        <v>26</v>
      </c>
      <c r="J38" s="345"/>
      <c r="K38" s="205"/>
    </row>
    <row r="39" spans="1:11" ht="15.5" x14ac:dyDescent="0.35">
      <c r="A39" s="308">
        <f t="shared" si="2"/>
        <v>27</v>
      </c>
      <c r="B39" s="72"/>
      <c r="C39" s="45"/>
      <c r="D39" s="45"/>
      <c r="E39" s="99"/>
      <c r="F39" s="912"/>
      <c r="G39" s="53"/>
      <c r="H39" s="309">
        <f t="shared" si="4"/>
        <v>27</v>
      </c>
    </row>
    <row r="40" spans="1:11" ht="16" thickBot="1" x14ac:dyDescent="0.4">
      <c r="A40" s="214">
        <f t="shared" si="2"/>
        <v>28</v>
      </c>
      <c r="B40" s="72" t="s">
        <v>311</v>
      </c>
      <c r="C40" s="45"/>
      <c r="D40" s="45"/>
      <c r="E40" s="280"/>
      <c r="F40" s="913">
        <f>F34+F36+F38</f>
        <v>18450856.835012771</v>
      </c>
      <c r="G40" s="901" t="s">
        <v>452</v>
      </c>
      <c r="H40" s="309">
        <f t="shared" si="4"/>
        <v>28</v>
      </c>
    </row>
    <row r="41" spans="1:11" ht="16.5" thickTop="1" thickBot="1" x14ac:dyDescent="0.4">
      <c r="A41" s="349"/>
      <c r="B41" s="87"/>
      <c r="C41" s="87"/>
      <c r="D41" s="87"/>
      <c r="E41" s="660"/>
      <c r="F41" s="692"/>
      <c r="G41" s="88"/>
      <c r="H41" s="350"/>
    </row>
    <row r="42" spans="1:11" ht="15.5" x14ac:dyDescent="0.35">
      <c r="A42" s="22"/>
      <c r="B42" s="22"/>
      <c r="C42" s="22"/>
      <c r="D42" s="22"/>
      <c r="E42" s="22"/>
      <c r="F42" s="22"/>
      <c r="G42" s="22"/>
      <c r="H42" s="22"/>
    </row>
    <row r="43" spans="1:11" ht="18.5" x14ac:dyDescent="0.35">
      <c r="A43" s="481">
        <v>1</v>
      </c>
      <c r="B43" s="22" t="s">
        <v>179</v>
      </c>
      <c r="C43" s="22"/>
      <c r="D43" s="22"/>
      <c r="E43" s="58"/>
      <c r="F43" s="22"/>
      <c r="G43" s="22"/>
      <c r="H43" s="22"/>
    </row>
    <row r="44" spans="1:11" ht="18.5" x14ac:dyDescent="0.35">
      <c r="A44" s="481">
        <v>2</v>
      </c>
      <c r="B44" s="22" t="s">
        <v>513</v>
      </c>
      <c r="C44" s="22"/>
      <c r="D44" s="22"/>
      <c r="E44" s="22"/>
      <c r="F44" s="22"/>
      <c r="G44" s="22"/>
      <c r="H44" s="22"/>
    </row>
    <row r="45" spans="1:11" ht="15.5" x14ac:dyDescent="0.35">
      <c r="A45" s="22"/>
      <c r="B45" s="22" t="s">
        <v>524</v>
      </c>
      <c r="C45" s="22"/>
      <c r="D45" s="22"/>
      <c r="E45" s="22"/>
      <c r="F45" s="22"/>
      <c r="G45" s="22"/>
      <c r="H45" s="22"/>
    </row>
    <row r="46" spans="1:11" ht="18.5" x14ac:dyDescent="0.35">
      <c r="A46" s="481">
        <v>3</v>
      </c>
      <c r="B46" s="532" t="s">
        <v>463</v>
      </c>
      <c r="C46" s="532"/>
      <c r="D46" s="532"/>
      <c r="E46" s="22"/>
      <c r="F46" s="22"/>
      <c r="G46" s="22"/>
      <c r="H46" s="22"/>
    </row>
    <row r="47" spans="1:11" ht="18.5" x14ac:dyDescent="0.35">
      <c r="A47" s="481">
        <v>4</v>
      </c>
      <c r="B47" s="551" t="s">
        <v>464</v>
      </c>
      <c r="C47" s="551"/>
      <c r="D47" s="551"/>
      <c r="E47" s="22"/>
      <c r="F47" s="22"/>
      <c r="G47" s="22"/>
      <c r="H47" s="22"/>
    </row>
    <row r="48" spans="1:11" ht="15.5" x14ac:dyDescent="0.35">
      <c r="A48" s="22"/>
      <c r="B48" s="22"/>
      <c r="C48" s="22"/>
      <c r="D48" s="22"/>
      <c r="E48" s="22"/>
      <c r="F48" s="22"/>
      <c r="G48" s="22"/>
      <c r="H48" s="22"/>
    </row>
    <row r="49" spans="1:8" ht="15.5" x14ac:dyDescent="0.35">
      <c r="A49" s="22"/>
      <c r="B49" s="22"/>
      <c r="C49" s="22"/>
      <c r="D49" s="22"/>
      <c r="E49" s="22"/>
      <c r="F49" s="22"/>
      <c r="G49" s="22"/>
      <c r="H49" s="22"/>
    </row>
    <row r="50" spans="1:8" ht="15.5" x14ac:dyDescent="0.35">
      <c r="A50" s="22"/>
      <c r="B50" s="22"/>
      <c r="C50" s="22"/>
      <c r="D50" s="22"/>
      <c r="E50" s="22"/>
      <c r="F50" s="22"/>
      <c r="G50" s="22"/>
      <c r="H50" s="22"/>
    </row>
    <row r="51" spans="1:8" ht="15.5" x14ac:dyDescent="0.35">
      <c r="A51" s="22"/>
      <c r="B51" s="22"/>
      <c r="C51" s="22"/>
      <c r="D51" s="22"/>
      <c r="E51" s="22"/>
      <c r="F51" s="22"/>
      <c r="G51" s="22"/>
      <c r="H51" s="22"/>
    </row>
    <row r="52" spans="1:8" ht="15.5" x14ac:dyDescent="0.35">
      <c r="A52" s="22"/>
      <c r="B52" s="22"/>
      <c r="C52" s="22"/>
      <c r="D52" s="22"/>
      <c r="E52" s="22"/>
      <c r="F52" s="22"/>
      <c r="G52" s="22"/>
      <c r="H52" s="22"/>
    </row>
    <row r="53" spans="1:8" ht="15.5" x14ac:dyDescent="0.35">
      <c r="A53" s="22"/>
      <c r="B53" s="22"/>
      <c r="C53" s="22"/>
      <c r="D53" s="22"/>
      <c r="E53" s="22"/>
      <c r="F53" s="22"/>
      <c r="G53" s="22"/>
      <c r="H53" s="22"/>
    </row>
    <row r="54" spans="1:8" ht="15.5" x14ac:dyDescent="0.35">
      <c r="A54" s="22"/>
      <c r="B54" s="22"/>
      <c r="C54" s="22"/>
      <c r="D54" s="22"/>
      <c r="E54" s="22"/>
      <c r="F54" s="22"/>
      <c r="G54" s="22"/>
      <c r="H54" s="22"/>
    </row>
    <row r="55" spans="1:8" ht="15.5" x14ac:dyDescent="0.35">
      <c r="A55" s="22"/>
      <c r="B55" s="22"/>
      <c r="C55" s="22"/>
      <c r="D55" s="22"/>
      <c r="E55" s="22"/>
      <c r="F55" s="22"/>
      <c r="G55" s="22"/>
      <c r="H55" s="22"/>
    </row>
    <row r="56" spans="1:8" ht="15.5" x14ac:dyDescent="0.35">
      <c r="A56" s="22"/>
      <c r="B56" s="22"/>
      <c r="C56" s="22"/>
      <c r="D56" s="22"/>
      <c r="E56" s="22"/>
      <c r="F56" s="22"/>
      <c r="G56" s="22"/>
      <c r="H56" s="22"/>
    </row>
    <row r="57" spans="1:8" ht="15.5" x14ac:dyDescent="0.35">
      <c r="A57" s="22"/>
      <c r="B57" s="22"/>
      <c r="C57" s="22"/>
      <c r="D57" s="22"/>
      <c r="E57" s="22"/>
      <c r="F57" s="22"/>
      <c r="G57" s="22"/>
      <c r="H57" s="22"/>
    </row>
    <row r="58" spans="1:8" ht="15.5" x14ac:dyDescent="0.35">
      <c r="A58" s="22"/>
      <c r="B58" s="22"/>
      <c r="C58" s="22"/>
      <c r="D58" s="22"/>
      <c r="E58" s="22"/>
      <c r="F58" s="22"/>
      <c r="G58" s="22"/>
      <c r="H58" s="22"/>
    </row>
    <row r="59" spans="1:8" ht="15.5" x14ac:dyDescent="0.35">
      <c r="A59" s="22"/>
      <c r="B59" s="22"/>
      <c r="C59" s="22"/>
      <c r="D59" s="22"/>
      <c r="E59" s="22"/>
      <c r="F59" s="22"/>
      <c r="G59" s="22"/>
      <c r="H59" s="22"/>
    </row>
    <row r="60" spans="1:8" ht="15.5" x14ac:dyDescent="0.35">
      <c r="A60" s="22"/>
      <c r="B60" s="22"/>
      <c r="C60" s="22"/>
      <c r="D60" s="22"/>
      <c r="E60" s="22"/>
      <c r="F60" s="22"/>
      <c r="G60" s="22"/>
      <c r="H60" s="22"/>
    </row>
    <row r="61" spans="1:8" ht="15.5" x14ac:dyDescent="0.35">
      <c r="A61" s="22"/>
      <c r="B61" s="22"/>
      <c r="C61" s="22"/>
      <c r="D61" s="22"/>
      <c r="E61" s="22"/>
      <c r="F61" s="22"/>
      <c r="G61" s="22"/>
      <c r="H61" s="22"/>
    </row>
    <row r="62" spans="1:8" ht="15.5" x14ac:dyDescent="0.35">
      <c r="A62" s="22"/>
      <c r="B62" s="22"/>
      <c r="C62" s="22"/>
      <c r="D62" s="22"/>
      <c r="E62" s="22"/>
      <c r="F62" s="22"/>
      <c r="G62" s="22"/>
      <c r="H62" s="22"/>
    </row>
    <row r="63" spans="1:8" ht="15.5" x14ac:dyDescent="0.35">
      <c r="A63" s="22"/>
      <c r="B63" s="22"/>
      <c r="C63" s="22"/>
      <c r="D63" s="22"/>
      <c r="E63" s="22"/>
      <c r="F63" s="22"/>
      <c r="G63" s="22"/>
      <c r="H63" s="22"/>
    </row>
    <row r="64" spans="1:8" ht="15.5" x14ac:dyDescent="0.35">
      <c r="A64" s="22"/>
      <c r="B64" s="22"/>
      <c r="C64" s="22"/>
      <c r="D64" s="22"/>
      <c r="E64" s="22"/>
      <c r="F64" s="22"/>
      <c r="G64" s="22"/>
      <c r="H64" s="22"/>
    </row>
    <row r="65" spans="1:8" ht="15.5" x14ac:dyDescent="0.35">
      <c r="A65" s="22"/>
      <c r="B65" s="22"/>
      <c r="C65" s="22"/>
      <c r="D65" s="22"/>
      <c r="E65" s="22"/>
      <c r="F65" s="22"/>
      <c r="G65" s="22"/>
      <c r="H65" s="22"/>
    </row>
    <row r="66" spans="1:8" ht="15.5" x14ac:dyDescent="0.35">
      <c r="A66" s="22"/>
      <c r="B66" s="22"/>
      <c r="C66" s="22"/>
      <c r="D66" s="22"/>
      <c r="E66" s="22"/>
      <c r="F66" s="22"/>
      <c r="G66" s="22"/>
      <c r="H66" s="22"/>
    </row>
    <row r="67" spans="1:8" ht="15.5" x14ac:dyDescent="0.35">
      <c r="A67" s="22"/>
      <c r="B67" s="22"/>
      <c r="C67" s="22"/>
      <c r="D67" s="22"/>
      <c r="E67" s="22"/>
      <c r="F67" s="22"/>
      <c r="G67" s="22"/>
      <c r="H67" s="22"/>
    </row>
  </sheetData>
  <phoneticPr fontId="0" type="noConversion"/>
  <printOptions horizontalCentered="1"/>
  <pageMargins left="0" right="0" top="0.25" bottom="0.75" header="0.25" footer="0.25"/>
  <pageSetup scale="74" orientation="landscape" r:id="rId1"/>
  <headerFooter alignWithMargins="0">
    <oddFooter>&amp;L&amp;"Times New Roman,Regular"&amp;12&amp;F&amp;C&amp;"Times New Roman,Regular"&amp;12Page 3 of 5&amp;R&amp;"Times New Roman,Regular"&amp;12&amp;A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S57"/>
  <sheetViews>
    <sheetView zoomScale="80" zoomScaleNormal="80" zoomScaleSheetLayoutView="75" workbookViewId="0">
      <pane xSplit="3" ySplit="3" topLeftCell="D4" activePane="bottomRight" state="frozen"/>
      <selection activeCell="P38" sqref="P38"/>
      <selection pane="topRight" activeCell="P38" sqref="P38"/>
      <selection pane="bottomLeft" activeCell="P38" sqref="P38"/>
      <selection pane="bottomRight"/>
    </sheetView>
  </sheetViews>
  <sheetFormatPr defaultColWidth="9.453125" defaultRowHeight="12.5" x14ac:dyDescent="0.25"/>
  <cols>
    <col min="1" max="1" width="5.54296875" style="396" customWidth="1"/>
    <col min="2" max="2" width="8.54296875" style="287" customWidth="1"/>
    <col min="3" max="3" width="58.54296875" style="287" customWidth="1"/>
    <col min="4" max="14" width="13.54296875" style="436" customWidth="1"/>
    <col min="15" max="15" width="16.1796875" style="436" bestFit="1" customWidth="1"/>
    <col min="16" max="16" width="15.54296875" style="437" customWidth="1"/>
    <col min="17" max="17" width="5.54296875" style="396" customWidth="1"/>
    <col min="18" max="18" width="2.54296875" style="396" bestFit="1" customWidth="1"/>
    <col min="19" max="16384" width="9.453125" style="396"/>
  </cols>
  <sheetData>
    <row r="2" spans="1:18" s="426" customFormat="1" ht="16" thickBot="1" x14ac:dyDescent="0.4">
      <c r="A2" s="59"/>
      <c r="B2" s="363"/>
      <c r="C2" s="87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87"/>
      <c r="Q2" s="59"/>
    </row>
    <row r="3" spans="1:18" s="287" customFormat="1" ht="38.5" customHeight="1" thickBot="1" x14ac:dyDescent="0.4">
      <c r="A3" s="369" t="s">
        <v>83</v>
      </c>
      <c r="B3" s="369" t="s">
        <v>185</v>
      </c>
      <c r="C3" s="642" t="s">
        <v>216</v>
      </c>
      <c r="D3" s="429">
        <f>'WP 10 ETC Costs'!D3</f>
        <v>43739</v>
      </c>
      <c r="E3" s="428">
        <f>'WP 10 ETC Costs'!E3</f>
        <v>43770</v>
      </c>
      <c r="F3" s="430">
        <f>'WP 10 ETC Costs'!F3</f>
        <v>43800</v>
      </c>
      <c r="G3" s="429">
        <f>'WP 10 ETC Costs'!G3</f>
        <v>43831</v>
      </c>
      <c r="H3" s="428">
        <f>'WP 10 ETC Costs'!H3</f>
        <v>43862</v>
      </c>
      <c r="I3" s="430">
        <f>'WP 10 ETC Costs'!I3</f>
        <v>43891</v>
      </c>
      <c r="J3" s="429">
        <f>'WP 10 ETC Costs'!J3</f>
        <v>43922</v>
      </c>
      <c r="K3" s="428">
        <f>'WP 10 ETC Costs'!K3</f>
        <v>43952</v>
      </c>
      <c r="L3" s="430">
        <f>'WP 10 ETC Costs'!L3</f>
        <v>43983</v>
      </c>
      <c r="M3" s="427">
        <f>'WP 10 ETC Costs'!M3</f>
        <v>44013</v>
      </c>
      <c r="N3" s="428">
        <f>'WP 10 ETC Costs'!N3</f>
        <v>44044</v>
      </c>
      <c r="O3" s="427">
        <f>'WP 10 ETC Costs'!O3</f>
        <v>44075</v>
      </c>
      <c r="P3" s="444" t="s">
        <v>88</v>
      </c>
      <c r="Q3" s="533" t="s">
        <v>83</v>
      </c>
    </row>
    <row r="4" spans="1:18" s="287" customFormat="1" ht="15" x14ac:dyDescent="0.3">
      <c r="A4" s="367"/>
      <c r="B4" s="367"/>
      <c r="C4" s="929"/>
      <c r="D4" s="432"/>
      <c r="E4" s="431"/>
      <c r="F4" s="840"/>
      <c r="G4" s="432"/>
      <c r="H4" s="431"/>
      <c r="I4" s="840"/>
      <c r="J4" s="432"/>
      <c r="K4" s="431"/>
      <c r="L4" s="840"/>
      <c r="M4" s="639"/>
      <c r="N4" s="431"/>
      <c r="O4" s="639"/>
      <c r="P4" s="538"/>
      <c r="Q4" s="534"/>
      <c r="R4" s="930"/>
    </row>
    <row r="5" spans="1:18" s="287" customFormat="1" ht="15.5" x14ac:dyDescent="0.35">
      <c r="A5" s="863">
        <f>A4+1</f>
        <v>1</v>
      </c>
      <c r="B5" s="863">
        <v>1592</v>
      </c>
      <c r="C5" s="1093" t="s">
        <v>11</v>
      </c>
      <c r="D5" s="865">
        <v>0</v>
      </c>
      <c r="E5" s="866">
        <v>0</v>
      </c>
      <c r="F5" s="867">
        <v>0</v>
      </c>
      <c r="G5" s="865">
        <v>0</v>
      </c>
      <c r="H5" s="866">
        <v>0</v>
      </c>
      <c r="I5" s="867">
        <v>0</v>
      </c>
      <c r="J5" s="865">
        <v>0</v>
      </c>
      <c r="K5" s="866">
        <v>-84.9</v>
      </c>
      <c r="L5" s="867">
        <v>0</v>
      </c>
      <c r="M5" s="868">
        <v>-0.1</v>
      </c>
      <c r="N5" s="866">
        <v>0</v>
      </c>
      <c r="O5" s="868">
        <v>0</v>
      </c>
      <c r="P5" s="869">
        <f>SUM(D5:O5)</f>
        <v>-85</v>
      </c>
      <c r="Q5" s="864">
        <v>1</v>
      </c>
      <c r="R5" s="930"/>
    </row>
    <row r="6" spans="1:18" s="287" customFormat="1" ht="15.5" x14ac:dyDescent="0.35">
      <c r="A6" s="863">
        <f>A5+1</f>
        <v>2</v>
      </c>
      <c r="B6" s="863"/>
      <c r="C6" s="1094"/>
      <c r="D6" s="432"/>
      <c r="E6" s="431"/>
      <c r="F6" s="840"/>
      <c r="G6" s="432"/>
      <c r="H6" s="431"/>
      <c r="I6" s="840"/>
      <c r="J6" s="432"/>
      <c r="K6" s="431"/>
      <c r="L6" s="840"/>
      <c r="M6" s="639"/>
      <c r="N6" s="431"/>
      <c r="O6" s="639"/>
      <c r="P6" s="538"/>
      <c r="Q6" s="864">
        <f>Q5+1</f>
        <v>2</v>
      </c>
      <c r="R6" s="930"/>
    </row>
    <row r="7" spans="1:18" ht="15.5" x14ac:dyDescent="0.35">
      <c r="A7" s="863">
        <f t="shared" ref="A7:A25" si="0">A6+1</f>
        <v>3</v>
      </c>
      <c r="B7" s="132">
        <v>7989</v>
      </c>
      <c r="C7" s="22" t="s">
        <v>126</v>
      </c>
      <c r="D7" s="127">
        <v>-1.74</v>
      </c>
      <c r="E7" s="46">
        <v>-8.85</v>
      </c>
      <c r="F7" s="130">
        <v>-0.04</v>
      </c>
      <c r="G7" s="127">
        <v>-644.04999999999995</v>
      </c>
      <c r="H7" s="46">
        <v>-427.08</v>
      </c>
      <c r="I7" s="130">
        <v>-1.85</v>
      </c>
      <c r="J7" s="127">
        <v>-0.31</v>
      </c>
      <c r="K7" s="46">
        <v>-0.61</v>
      </c>
      <c r="L7" s="130">
        <v>-1.1499999999999999</v>
      </c>
      <c r="M7" s="102">
        <v>-1.01</v>
      </c>
      <c r="N7" s="46">
        <v>-118.74</v>
      </c>
      <c r="O7" s="102">
        <v>-3.15</v>
      </c>
      <c r="P7" s="169">
        <f>SUM(D7:O7)</f>
        <v>-1208.58</v>
      </c>
      <c r="Q7" s="864">
        <f t="shared" ref="Q7:Q8" si="1">Q6+1</f>
        <v>3</v>
      </c>
    </row>
    <row r="8" spans="1:18" ht="15.5" x14ac:dyDescent="0.35">
      <c r="A8" s="863">
        <f t="shared" si="0"/>
        <v>4</v>
      </c>
      <c r="B8" s="132"/>
      <c r="C8" s="22"/>
      <c r="D8" s="407"/>
      <c r="E8" s="162"/>
      <c r="F8" s="384"/>
      <c r="G8" s="407"/>
      <c r="H8" s="162"/>
      <c r="I8" s="384"/>
      <c r="J8" s="407"/>
      <c r="K8" s="162"/>
      <c r="L8" s="384"/>
      <c r="M8" s="383"/>
      <c r="N8" s="162"/>
      <c r="O8" s="383"/>
      <c r="P8" s="539"/>
      <c r="Q8" s="864">
        <f t="shared" si="1"/>
        <v>4</v>
      </c>
    </row>
    <row r="9" spans="1:18" ht="15.5" x14ac:dyDescent="0.35">
      <c r="A9" s="863">
        <f t="shared" si="0"/>
        <v>5</v>
      </c>
      <c r="B9" s="132">
        <v>7999</v>
      </c>
      <c r="C9" s="22" t="s">
        <v>127</v>
      </c>
      <c r="D9" s="127">
        <v>8781.0300000000007</v>
      </c>
      <c r="E9" s="46">
        <v>9962.9500000000007</v>
      </c>
      <c r="F9" s="130">
        <v>5654.22</v>
      </c>
      <c r="G9" s="127">
        <v>8524.14</v>
      </c>
      <c r="H9" s="46">
        <v>13088.72</v>
      </c>
      <c r="I9" s="130">
        <v>22954.98</v>
      </c>
      <c r="J9" s="127">
        <v>14877.57</v>
      </c>
      <c r="K9" s="46">
        <v>96965.5</v>
      </c>
      <c r="L9" s="130">
        <v>234272.28</v>
      </c>
      <c r="M9" s="102">
        <v>174926.06</v>
      </c>
      <c r="N9" s="46">
        <v>155144.39000000001</v>
      </c>
      <c r="O9" s="102">
        <v>139851.59</v>
      </c>
      <c r="P9" s="169">
        <f t="shared" ref="P9" si="2">SUM(D9:O9)</f>
        <v>885003.42999999993</v>
      </c>
      <c r="Q9" s="406">
        <f t="shared" ref="Q9:Q19" si="3">Q8+1</f>
        <v>5</v>
      </c>
      <c r="R9" s="100"/>
    </row>
    <row r="10" spans="1:18" ht="15.5" x14ac:dyDescent="0.35">
      <c r="A10" s="863">
        <f t="shared" si="0"/>
        <v>6</v>
      </c>
      <c r="B10" s="132"/>
      <c r="C10" s="22"/>
      <c r="D10" s="127"/>
      <c r="E10" s="46"/>
      <c r="F10" s="130"/>
      <c r="G10" s="127"/>
      <c r="H10" s="46"/>
      <c r="I10" s="130"/>
      <c r="J10" s="127"/>
      <c r="K10" s="46"/>
      <c r="L10" s="130"/>
      <c r="M10" s="102"/>
      <c r="N10" s="46"/>
      <c r="O10" s="1074" t="s">
        <v>471</v>
      </c>
      <c r="P10" s="169"/>
      <c r="Q10" s="406">
        <f t="shared" si="3"/>
        <v>6</v>
      </c>
      <c r="R10" s="100"/>
    </row>
    <row r="11" spans="1:18" ht="15.5" x14ac:dyDescent="0.35">
      <c r="A11" s="863">
        <f t="shared" si="0"/>
        <v>7</v>
      </c>
      <c r="B11" s="132">
        <v>8526</v>
      </c>
      <c r="C11" s="22" t="s">
        <v>526</v>
      </c>
      <c r="D11" s="127">
        <v>0</v>
      </c>
      <c r="E11" s="46">
        <v>0</v>
      </c>
      <c r="F11" s="130">
        <v>0</v>
      </c>
      <c r="G11" s="127">
        <v>0</v>
      </c>
      <c r="H11" s="46">
        <v>0</v>
      </c>
      <c r="I11" s="130">
        <v>0</v>
      </c>
      <c r="J11" s="127">
        <v>0</v>
      </c>
      <c r="K11" s="46">
        <v>-32.65</v>
      </c>
      <c r="L11" s="130">
        <v>0</v>
      </c>
      <c r="M11" s="102">
        <v>0</v>
      </c>
      <c r="N11" s="46">
        <v>0</v>
      </c>
      <c r="O11" s="102">
        <v>-1746376.17</v>
      </c>
      <c r="P11" s="169">
        <f>SUM(D11:O11)</f>
        <v>-1746408.8199999998</v>
      </c>
      <c r="Q11" s="406">
        <f t="shared" si="3"/>
        <v>7</v>
      </c>
      <c r="R11" s="100"/>
    </row>
    <row r="12" spans="1:18" ht="15.5" x14ac:dyDescent="0.35">
      <c r="A12" s="863">
        <f t="shared" si="0"/>
        <v>8</v>
      </c>
      <c r="B12" s="132"/>
      <c r="C12" s="22"/>
      <c r="D12" s="127"/>
      <c r="E12" s="46"/>
      <c r="F12" s="130"/>
      <c r="G12" s="127"/>
      <c r="H12" s="46"/>
      <c r="I12" s="130"/>
      <c r="J12" s="127"/>
      <c r="K12" s="46"/>
      <c r="L12" s="130"/>
      <c r="M12" s="102"/>
      <c r="N12" s="46"/>
      <c r="O12" s="102"/>
      <c r="P12" s="169"/>
      <c r="Q12" s="406">
        <f t="shared" si="3"/>
        <v>8</v>
      </c>
      <c r="R12" s="100"/>
    </row>
    <row r="13" spans="1:18" ht="15.5" x14ac:dyDescent="0.35">
      <c r="A13" s="863">
        <f t="shared" si="0"/>
        <v>9</v>
      </c>
      <c r="B13" s="132">
        <v>8989</v>
      </c>
      <c r="C13" s="22" t="s">
        <v>516</v>
      </c>
      <c r="D13" s="127">
        <v>-4.04</v>
      </c>
      <c r="E13" s="46">
        <v>0</v>
      </c>
      <c r="F13" s="130">
        <v>0</v>
      </c>
      <c r="G13" s="127">
        <v>0</v>
      </c>
      <c r="H13" s="46">
        <v>0</v>
      </c>
      <c r="I13" s="130">
        <v>0</v>
      </c>
      <c r="J13" s="127">
        <v>0</v>
      </c>
      <c r="K13" s="46">
        <v>0</v>
      </c>
      <c r="L13" s="130">
        <v>0</v>
      </c>
      <c r="M13" s="102">
        <v>0</v>
      </c>
      <c r="N13" s="46">
        <v>0</v>
      </c>
      <c r="O13" s="102">
        <v>0</v>
      </c>
      <c r="P13" s="169">
        <f>SUM(D13:O13)</f>
        <v>-4.04</v>
      </c>
      <c r="Q13" s="406">
        <f t="shared" si="3"/>
        <v>9</v>
      </c>
      <c r="R13" s="100"/>
    </row>
    <row r="14" spans="1:18" ht="15.5" x14ac:dyDescent="0.35">
      <c r="A14" s="863">
        <f t="shared" si="0"/>
        <v>10</v>
      </c>
      <c r="B14" s="132"/>
      <c r="C14" s="22"/>
      <c r="D14" s="127"/>
      <c r="E14" s="46"/>
      <c r="F14" s="130"/>
      <c r="G14" s="127"/>
      <c r="H14" s="46"/>
      <c r="I14" s="130"/>
      <c r="J14" s="127"/>
      <c r="K14" s="46"/>
      <c r="L14" s="130"/>
      <c r="M14" s="102"/>
      <c r="N14" s="46"/>
      <c r="O14" s="102"/>
      <c r="P14" s="169"/>
      <c r="Q14" s="406">
        <f t="shared" si="3"/>
        <v>10</v>
      </c>
      <c r="R14" s="100"/>
    </row>
    <row r="15" spans="1:18" ht="15.5" x14ac:dyDescent="0.35">
      <c r="A15" s="863">
        <f t="shared" si="0"/>
        <v>11</v>
      </c>
      <c r="B15" s="132">
        <v>8999</v>
      </c>
      <c r="C15" s="22" t="s">
        <v>72</v>
      </c>
      <c r="D15" s="127">
        <v>0</v>
      </c>
      <c r="E15" s="46">
        <v>0</v>
      </c>
      <c r="F15" s="130">
        <v>0</v>
      </c>
      <c r="G15" s="127">
        <v>0</v>
      </c>
      <c r="H15" s="46">
        <v>0</v>
      </c>
      <c r="I15" s="130">
        <v>0</v>
      </c>
      <c r="J15" s="127">
        <v>0</v>
      </c>
      <c r="K15" s="46">
        <v>0</v>
      </c>
      <c r="L15" s="130">
        <v>0</v>
      </c>
      <c r="M15" s="102">
        <v>0</v>
      </c>
      <c r="N15" s="46">
        <v>0</v>
      </c>
      <c r="O15" s="102">
        <v>0</v>
      </c>
      <c r="P15" s="169">
        <f>SUM(D15:O15)</f>
        <v>0</v>
      </c>
      <c r="Q15" s="406">
        <f t="shared" si="3"/>
        <v>11</v>
      </c>
      <c r="R15" s="100"/>
    </row>
    <row r="16" spans="1:18" ht="15.5" x14ac:dyDescent="0.35">
      <c r="A16" s="863">
        <f t="shared" si="0"/>
        <v>12</v>
      </c>
      <c r="B16" s="132"/>
      <c r="C16" s="22"/>
      <c r="D16" s="127"/>
      <c r="E16" s="46"/>
      <c r="F16" s="130"/>
      <c r="G16" s="127"/>
      <c r="H16" s="46"/>
      <c r="I16" s="130"/>
      <c r="J16" s="127"/>
      <c r="K16" s="46"/>
      <c r="L16" s="130"/>
      <c r="M16" s="102"/>
      <c r="N16" s="46"/>
      <c r="O16" s="102"/>
      <c r="P16" s="169"/>
      <c r="Q16" s="406">
        <f t="shared" si="3"/>
        <v>12</v>
      </c>
      <c r="R16" s="100"/>
    </row>
    <row r="17" spans="1:19" ht="18.5" x14ac:dyDescent="0.35">
      <c r="A17" s="863">
        <f t="shared" si="0"/>
        <v>13</v>
      </c>
      <c r="B17" s="132"/>
      <c r="C17" s="22" t="s">
        <v>525</v>
      </c>
      <c r="D17" s="559"/>
      <c r="E17" s="55"/>
      <c r="F17" s="560"/>
      <c r="G17" s="559"/>
      <c r="H17" s="55">
        <v>0</v>
      </c>
      <c r="I17" s="560">
        <v>0</v>
      </c>
      <c r="J17" s="559">
        <v>0</v>
      </c>
      <c r="K17" s="55">
        <v>-46000</v>
      </c>
      <c r="L17" s="560">
        <v>0</v>
      </c>
      <c r="M17" s="561">
        <v>0</v>
      </c>
      <c r="N17" s="55">
        <v>0</v>
      </c>
      <c r="O17" s="561">
        <v>0</v>
      </c>
      <c r="P17" s="566">
        <f>SUM(D17:O17)</f>
        <v>-46000</v>
      </c>
      <c r="Q17" s="406">
        <f t="shared" si="3"/>
        <v>13</v>
      </c>
      <c r="R17" s="100"/>
    </row>
    <row r="18" spans="1:19" ht="15.5" x14ac:dyDescent="0.35">
      <c r="A18" s="863">
        <f t="shared" si="0"/>
        <v>14</v>
      </c>
      <c r="B18" s="132"/>
      <c r="C18" s="22"/>
      <c r="D18" s="562"/>
      <c r="E18" s="553"/>
      <c r="F18" s="563"/>
      <c r="G18" s="562"/>
      <c r="H18" s="553"/>
      <c r="I18" s="563"/>
      <c r="J18" s="562"/>
      <c r="K18" s="553"/>
      <c r="L18" s="563"/>
      <c r="M18" s="564"/>
      <c r="N18" s="553"/>
      <c r="O18" s="564"/>
      <c r="P18" s="567"/>
      <c r="Q18" s="406">
        <f t="shared" si="3"/>
        <v>14</v>
      </c>
      <c r="R18" s="100"/>
    </row>
    <row r="19" spans="1:19" ht="16" thickBot="1" x14ac:dyDescent="0.4">
      <c r="A19" s="863">
        <f t="shared" si="0"/>
        <v>15</v>
      </c>
      <c r="B19" s="213"/>
      <c r="C19" s="3" t="s">
        <v>3</v>
      </c>
      <c r="D19" s="569">
        <f>SUM(D5:D17)</f>
        <v>8775.25</v>
      </c>
      <c r="E19" s="219">
        <f t="shared" ref="E19:O19" si="4">SUM(E5:E17)</f>
        <v>9954.1</v>
      </c>
      <c r="F19" s="565">
        <f t="shared" si="4"/>
        <v>5654.18</v>
      </c>
      <c r="G19" s="569">
        <f t="shared" si="4"/>
        <v>7880.0899999999992</v>
      </c>
      <c r="H19" s="219">
        <f t="shared" si="4"/>
        <v>12661.64</v>
      </c>
      <c r="I19" s="570">
        <f t="shared" si="4"/>
        <v>22953.13</v>
      </c>
      <c r="J19" s="569">
        <f t="shared" si="4"/>
        <v>14877.26</v>
      </c>
      <c r="K19" s="219">
        <f t="shared" si="4"/>
        <v>50847.340000000011</v>
      </c>
      <c r="L19" s="570">
        <f t="shared" si="4"/>
        <v>234271.13</v>
      </c>
      <c r="M19" s="569">
        <f t="shared" si="4"/>
        <v>174924.95</v>
      </c>
      <c r="N19" s="219">
        <f t="shared" si="4"/>
        <v>155025.65000000002</v>
      </c>
      <c r="O19" s="565">
        <f t="shared" si="4"/>
        <v>-1606527.73</v>
      </c>
      <c r="P19" s="568">
        <f>SUM(P5:P17)</f>
        <v>-908703.00999999989</v>
      </c>
      <c r="Q19" s="406">
        <f t="shared" si="3"/>
        <v>15</v>
      </c>
      <c r="R19" s="100"/>
    </row>
    <row r="20" spans="1:19" ht="16.5" thickTop="1" thickBot="1" x14ac:dyDescent="0.4">
      <c r="A20" s="133">
        <f t="shared" si="0"/>
        <v>16</v>
      </c>
      <c r="B20" s="296"/>
      <c r="C20" s="1030"/>
      <c r="D20" s="379"/>
      <c r="E20" s="373"/>
      <c r="F20" s="520"/>
      <c r="G20" s="519"/>
      <c r="H20" s="373"/>
      <c r="I20" s="520"/>
      <c r="J20" s="519"/>
      <c r="K20" s="373"/>
      <c r="L20" s="520"/>
      <c r="M20" s="372"/>
      <c r="N20" s="373"/>
      <c r="O20" s="372"/>
      <c r="P20" s="521"/>
      <c r="Q20" s="536">
        <f t="shared" ref="Q20:Q25" si="5">Q19+1</f>
        <v>16</v>
      </c>
      <c r="R20" s="100"/>
      <c r="S20" s="435"/>
    </row>
    <row r="21" spans="1:19" ht="15.5" x14ac:dyDescent="0.35">
      <c r="A21" s="206">
        <f t="shared" si="0"/>
        <v>17</v>
      </c>
      <c r="B21" s="291"/>
      <c r="C21" s="1095"/>
      <c r="D21" s="365"/>
      <c r="E21" s="364"/>
      <c r="F21" s="366"/>
      <c r="G21" s="614"/>
      <c r="H21" s="354"/>
      <c r="I21" s="613"/>
      <c r="J21" s="365"/>
      <c r="K21" s="364"/>
      <c r="L21" s="366"/>
      <c r="M21" s="365"/>
      <c r="N21" s="364"/>
      <c r="O21" s="366"/>
      <c r="P21" s="848"/>
      <c r="Q21" s="628">
        <f t="shared" si="5"/>
        <v>17</v>
      </c>
      <c r="R21" s="100"/>
      <c r="S21" s="435"/>
    </row>
    <row r="22" spans="1:19" s="931" customFormat="1" ht="31" x14ac:dyDescent="0.25">
      <c r="A22" s="1096">
        <f t="shared" si="0"/>
        <v>18</v>
      </c>
      <c r="B22" s="438"/>
      <c r="C22" s="1097" t="s">
        <v>548</v>
      </c>
      <c r="D22" s="439">
        <f t="shared" ref="D22:O22" si="6">D19</f>
        <v>8775.25</v>
      </c>
      <c r="E22" s="415">
        <f t="shared" si="6"/>
        <v>9954.1</v>
      </c>
      <c r="F22" s="440">
        <f t="shared" si="6"/>
        <v>5654.18</v>
      </c>
      <c r="G22" s="439">
        <f t="shared" si="6"/>
        <v>7880.0899999999992</v>
      </c>
      <c r="H22" s="415">
        <f t="shared" si="6"/>
        <v>12661.64</v>
      </c>
      <c r="I22" s="440">
        <f t="shared" si="6"/>
        <v>22953.13</v>
      </c>
      <c r="J22" s="439">
        <f t="shared" si="6"/>
        <v>14877.26</v>
      </c>
      <c r="K22" s="415">
        <f t="shared" si="6"/>
        <v>50847.340000000011</v>
      </c>
      <c r="L22" s="440">
        <f t="shared" si="6"/>
        <v>234271.13</v>
      </c>
      <c r="M22" s="439">
        <f t="shared" si="6"/>
        <v>174924.95</v>
      </c>
      <c r="N22" s="415">
        <f t="shared" si="6"/>
        <v>155025.65000000002</v>
      </c>
      <c r="O22" s="440">
        <f t="shared" si="6"/>
        <v>-1606527.73</v>
      </c>
      <c r="P22" s="1002">
        <f>P19</f>
        <v>-908703.00999999989</v>
      </c>
      <c r="Q22" s="1001">
        <f t="shared" si="5"/>
        <v>18</v>
      </c>
      <c r="R22" s="434"/>
    </row>
    <row r="23" spans="1:19" ht="15.5" x14ac:dyDescent="0.35">
      <c r="A23" s="132">
        <f t="shared" si="0"/>
        <v>19</v>
      </c>
      <c r="B23" s="138"/>
      <c r="C23" s="819" t="s">
        <v>272</v>
      </c>
      <c r="D23" s="423">
        <f>'WP 4 Monthly TRBAA '!C20</f>
        <v>8775.25</v>
      </c>
      <c r="E23" s="175">
        <f>'WP 4 Monthly TRBAA '!D20</f>
        <v>9954.1</v>
      </c>
      <c r="F23" s="424">
        <f>'WP 4 Monthly TRBAA '!E20</f>
        <v>5654.18</v>
      </c>
      <c r="G23" s="423">
        <f>'WP 4 Monthly TRBAA '!F20</f>
        <v>7880.0899999999992</v>
      </c>
      <c r="H23" s="175">
        <f>'WP 4 Monthly TRBAA '!G20</f>
        <v>12661.64</v>
      </c>
      <c r="I23" s="424">
        <f>'WP 4 Monthly TRBAA '!H20</f>
        <v>22953.13</v>
      </c>
      <c r="J23" s="423">
        <f>'WP 4 Monthly TRBAA '!I20</f>
        <v>14877.26</v>
      </c>
      <c r="K23" s="175">
        <f>'WP 4 Monthly TRBAA '!J20</f>
        <v>50847.340000000011</v>
      </c>
      <c r="L23" s="424">
        <f>'WP 4 Monthly TRBAA '!K20</f>
        <v>234271.13</v>
      </c>
      <c r="M23" s="423">
        <f>'WP 4 Monthly TRBAA '!L20</f>
        <v>174924.95</v>
      </c>
      <c r="N23" s="175">
        <f>'WP 4 Monthly TRBAA '!M20</f>
        <v>155025.65000000002</v>
      </c>
      <c r="O23" s="424">
        <f>'WP 4 Monthly TRBAA '!N20</f>
        <v>-1606527.73</v>
      </c>
      <c r="P23" s="850">
        <f>'WP 4 Monthly TRBAA '!O20</f>
        <v>-908703.00999999989</v>
      </c>
      <c r="Q23" s="537">
        <f t="shared" si="5"/>
        <v>19</v>
      </c>
      <c r="R23" s="100"/>
    </row>
    <row r="24" spans="1:19" ht="16" thickBot="1" x14ac:dyDescent="0.4">
      <c r="A24" s="132">
        <f t="shared" si="0"/>
        <v>20</v>
      </c>
      <c r="B24" s="138"/>
      <c r="C24" s="819" t="s">
        <v>66</v>
      </c>
      <c r="D24" s="376">
        <f>D22-D23</f>
        <v>0</v>
      </c>
      <c r="E24" s="375">
        <f t="shared" ref="E24:P24" si="7">E22-E23</f>
        <v>0</v>
      </c>
      <c r="F24" s="378">
        <f t="shared" si="7"/>
        <v>0</v>
      </c>
      <c r="G24" s="376">
        <f t="shared" si="7"/>
        <v>0</v>
      </c>
      <c r="H24" s="176">
        <f t="shared" si="7"/>
        <v>0</v>
      </c>
      <c r="I24" s="377">
        <f t="shared" si="7"/>
        <v>0</v>
      </c>
      <c r="J24" s="376">
        <f t="shared" si="7"/>
        <v>0</v>
      </c>
      <c r="K24" s="176">
        <f t="shared" si="7"/>
        <v>0</v>
      </c>
      <c r="L24" s="377">
        <f t="shared" si="7"/>
        <v>0</v>
      </c>
      <c r="M24" s="376">
        <f t="shared" si="7"/>
        <v>0</v>
      </c>
      <c r="N24" s="176">
        <f t="shared" si="7"/>
        <v>0</v>
      </c>
      <c r="O24" s="377">
        <f t="shared" si="7"/>
        <v>0</v>
      </c>
      <c r="P24" s="851">
        <f t="shared" si="7"/>
        <v>0</v>
      </c>
      <c r="Q24" s="537">
        <f t="shared" si="5"/>
        <v>20</v>
      </c>
      <c r="R24" s="100"/>
    </row>
    <row r="25" spans="1:19" ht="16.5" thickTop="1" thickBot="1" x14ac:dyDescent="0.4">
      <c r="A25" s="133">
        <f t="shared" si="0"/>
        <v>21</v>
      </c>
      <c r="B25" s="296"/>
      <c r="C25" s="1035"/>
      <c r="D25" s="379"/>
      <c r="E25" s="355"/>
      <c r="F25" s="144"/>
      <c r="G25" s="143"/>
      <c r="H25" s="355"/>
      <c r="I25" s="144"/>
      <c r="J25" s="143"/>
      <c r="K25" s="355"/>
      <c r="L25" s="144"/>
      <c r="M25" s="143"/>
      <c r="N25" s="355"/>
      <c r="O25" s="144"/>
      <c r="P25" s="852"/>
      <c r="Q25" s="536">
        <f t="shared" si="5"/>
        <v>21</v>
      </c>
      <c r="R25" s="100"/>
    </row>
    <row r="26" spans="1:19" ht="15.5" x14ac:dyDescent="0.35">
      <c r="B26" s="22"/>
      <c r="C26" s="22"/>
      <c r="D26" s="356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160"/>
    </row>
    <row r="27" spans="1:19" ht="33" customHeight="1" x14ac:dyDescent="0.3">
      <c r="A27" s="446" t="s">
        <v>27</v>
      </c>
      <c r="B27" s="1132" t="s">
        <v>462</v>
      </c>
      <c r="C27" s="1132"/>
      <c r="D27" s="1132"/>
      <c r="E27" s="1132"/>
      <c r="F27" s="1132"/>
      <c r="G27" s="1132"/>
      <c r="H27" s="1132"/>
      <c r="I27" s="1132"/>
      <c r="J27" s="1132"/>
      <c r="K27" s="358"/>
      <c r="L27" s="358"/>
      <c r="M27" s="358"/>
      <c r="N27" s="358"/>
      <c r="O27" s="358"/>
      <c r="P27" s="172"/>
    </row>
    <row r="28" spans="1:19" ht="15.5" x14ac:dyDescent="0.35">
      <c r="B28" s="22"/>
      <c r="C28" s="22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85"/>
    </row>
    <row r="29" spans="1:19" ht="34" customHeight="1" x14ac:dyDescent="0.25">
      <c r="A29" s="1098" t="s">
        <v>471</v>
      </c>
      <c r="B29" s="1132" t="s">
        <v>531</v>
      </c>
      <c r="C29" s="1132"/>
      <c r="D29" s="1132"/>
      <c r="E29" s="1132"/>
      <c r="F29" s="1132"/>
      <c r="G29" s="1132"/>
      <c r="H29" s="1132"/>
      <c r="I29" s="1132"/>
      <c r="J29" s="1132"/>
    </row>
    <row r="30" spans="1:19" ht="18" x14ac:dyDescent="0.35">
      <c r="A30" s="1098"/>
      <c r="B30" s="1100"/>
      <c r="C30" s="1100"/>
      <c r="D30" s="356"/>
      <c r="E30" s="356"/>
      <c r="F30" s="356"/>
      <c r="G30" s="356"/>
    </row>
    <row r="31" spans="1:19" ht="81.650000000000006" customHeight="1" x14ac:dyDescent="0.25">
      <c r="A31" s="1101" t="s">
        <v>527</v>
      </c>
      <c r="B31" s="1132" t="s">
        <v>528</v>
      </c>
      <c r="C31" s="1132"/>
      <c r="D31" s="1132"/>
      <c r="E31" s="1132"/>
      <c r="F31" s="1132"/>
      <c r="G31" s="1132"/>
      <c r="H31" s="1132"/>
      <c r="I31" s="1132"/>
      <c r="J31" s="1132"/>
    </row>
    <row r="32" spans="1:19" ht="18" x14ac:dyDescent="0.35">
      <c r="A32" s="1098"/>
      <c r="B32" s="1100"/>
      <c r="C32" s="1100"/>
      <c r="D32" s="356"/>
      <c r="E32" s="356"/>
      <c r="F32" s="356"/>
      <c r="G32" s="356"/>
    </row>
    <row r="33" spans="2:16" ht="15.5" x14ac:dyDescent="0.35">
      <c r="B33" s="100" t="s">
        <v>100</v>
      </c>
      <c r="C33" s="1099"/>
      <c r="D33" s="356"/>
      <c r="E33" s="356"/>
      <c r="F33" s="356"/>
      <c r="G33" s="356"/>
      <c r="H33" s="356"/>
      <c r="I33" s="356"/>
      <c r="J33" s="356"/>
      <c r="K33" s="1103">
        <v>-43700</v>
      </c>
      <c r="L33" s="356"/>
      <c r="M33" s="356"/>
      <c r="N33" s="356"/>
      <c r="O33" s="1103">
        <v>-1659473.05</v>
      </c>
      <c r="P33" s="1106">
        <f>K33+O33</f>
        <v>-1703173.05</v>
      </c>
    </row>
    <row r="34" spans="2:16" ht="15.5" x14ac:dyDescent="0.35">
      <c r="B34" s="100" t="s">
        <v>98</v>
      </c>
      <c r="C34" s="100"/>
      <c r="D34" s="356"/>
      <c r="E34" s="356"/>
      <c r="F34" s="356"/>
      <c r="G34" s="356"/>
      <c r="H34" s="356"/>
      <c r="I34" s="356"/>
      <c r="J34" s="356"/>
      <c r="K34" s="1104">
        <v>-2300</v>
      </c>
      <c r="L34" s="356"/>
      <c r="M34" s="356"/>
      <c r="N34" s="356"/>
      <c r="O34" s="1104">
        <v>-86903.12</v>
      </c>
      <c r="P34" s="1107">
        <f>K34+O34</f>
        <v>-89203.12</v>
      </c>
    </row>
    <row r="35" spans="2:16" ht="16" thickBot="1" x14ac:dyDescent="0.4">
      <c r="B35" s="100" t="s">
        <v>88</v>
      </c>
      <c r="C35" s="100"/>
      <c r="D35" s="356"/>
      <c r="E35" s="356"/>
      <c r="F35" s="356"/>
      <c r="G35" s="356"/>
      <c r="H35" s="356"/>
      <c r="I35" s="356"/>
      <c r="J35" s="1102" t="s">
        <v>527</v>
      </c>
      <c r="K35" s="1105">
        <f>SUM(K33:K34)</f>
        <v>-46000</v>
      </c>
      <c r="L35" s="356"/>
      <c r="M35" s="356"/>
      <c r="N35" s="1102" t="s">
        <v>471</v>
      </c>
      <c r="O35" s="593">
        <f>SUM(O33:O34)</f>
        <v>-1746376.17</v>
      </c>
      <c r="P35" s="1108">
        <f>SUM(P33:P34)</f>
        <v>-1792376.17</v>
      </c>
    </row>
    <row r="36" spans="2:16" ht="16" thickTop="1" x14ac:dyDescent="0.35">
      <c r="B36" s="22"/>
      <c r="C36" s="22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85"/>
    </row>
    <row r="37" spans="2:16" ht="15.5" x14ac:dyDescent="0.35">
      <c r="B37" s="22"/>
      <c r="C37" s="22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85"/>
    </row>
    <row r="38" spans="2:16" ht="15.5" x14ac:dyDescent="0.35">
      <c r="B38" s="22"/>
      <c r="C38" s="22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85"/>
    </row>
    <row r="39" spans="2:16" ht="15.5" x14ac:dyDescent="0.35">
      <c r="B39" s="22"/>
      <c r="C39" s="22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85"/>
    </row>
    <row r="40" spans="2:16" ht="15.5" x14ac:dyDescent="0.35">
      <c r="B40" s="22"/>
      <c r="C40" s="22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85"/>
    </row>
    <row r="41" spans="2:16" ht="15.5" x14ac:dyDescent="0.35">
      <c r="B41" s="22"/>
      <c r="C41" s="22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85"/>
    </row>
    <row r="42" spans="2:16" ht="15.5" x14ac:dyDescent="0.35">
      <c r="B42" s="22"/>
      <c r="C42" s="22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85"/>
    </row>
    <row r="43" spans="2:16" ht="15.5" x14ac:dyDescent="0.35">
      <c r="B43" s="22"/>
      <c r="C43" s="22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85"/>
    </row>
    <row r="44" spans="2:16" ht="15.5" x14ac:dyDescent="0.35">
      <c r="B44" s="22"/>
      <c r="C44" s="22"/>
      <c r="D44" s="356"/>
      <c r="E44" s="356"/>
      <c r="F44" s="356"/>
      <c r="G44" s="356"/>
      <c r="H44" s="356"/>
      <c r="I44" s="356"/>
      <c r="J44" s="356"/>
      <c r="K44" s="356"/>
      <c r="L44" s="356"/>
      <c r="M44" s="356"/>
      <c r="N44" s="356"/>
      <c r="O44" s="356"/>
      <c r="P44" s="85"/>
    </row>
    <row r="45" spans="2:16" ht="15.5" x14ac:dyDescent="0.35">
      <c r="B45" s="22"/>
      <c r="C45" s="22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85"/>
    </row>
    <row r="46" spans="2:16" ht="15.5" x14ac:dyDescent="0.35">
      <c r="B46" s="22"/>
      <c r="C46" s="22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85"/>
    </row>
    <row r="47" spans="2:16" ht="15.5" x14ac:dyDescent="0.35">
      <c r="B47" s="22"/>
      <c r="C47" s="22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85"/>
    </row>
    <row r="48" spans="2:16" ht="15.5" x14ac:dyDescent="0.35">
      <c r="B48" s="22"/>
      <c r="C48" s="22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6"/>
      <c r="O48" s="356"/>
      <c r="P48" s="85"/>
    </row>
    <row r="49" spans="2:16" ht="15.5" x14ac:dyDescent="0.35">
      <c r="B49" s="22"/>
      <c r="C49" s="22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56"/>
      <c r="P49" s="85"/>
    </row>
    <row r="50" spans="2:16" ht="15.5" x14ac:dyDescent="0.35">
      <c r="B50" s="22"/>
      <c r="C50" s="22"/>
      <c r="D50" s="356"/>
      <c r="E50" s="356"/>
      <c r="F50" s="356"/>
      <c r="G50" s="356"/>
      <c r="H50" s="356"/>
      <c r="I50" s="356"/>
      <c r="J50" s="356"/>
      <c r="K50" s="356"/>
      <c r="L50" s="356"/>
      <c r="M50" s="356"/>
      <c r="N50" s="356"/>
      <c r="O50" s="356"/>
      <c r="P50" s="85"/>
    </row>
    <row r="51" spans="2:16" ht="15.5" x14ac:dyDescent="0.35">
      <c r="B51" s="22"/>
      <c r="C51" s="22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85"/>
    </row>
    <row r="52" spans="2:16" ht="15.5" x14ac:dyDescent="0.35">
      <c r="B52" s="22"/>
      <c r="C52" s="22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85"/>
    </row>
    <row r="53" spans="2:16" ht="15.5" x14ac:dyDescent="0.35">
      <c r="B53" s="22"/>
      <c r="C53" s="22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85"/>
    </row>
    <row r="54" spans="2:16" ht="15.5" x14ac:dyDescent="0.35">
      <c r="B54" s="22"/>
      <c r="C54" s="22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85"/>
    </row>
    <row r="55" spans="2:16" ht="15.5" x14ac:dyDescent="0.35">
      <c r="B55" s="22"/>
      <c r="C55" s="22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  <c r="P55" s="85"/>
    </row>
    <row r="56" spans="2:16" ht="15.5" x14ac:dyDescent="0.35">
      <c r="B56" s="22"/>
      <c r="C56" s="22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356"/>
      <c r="O56" s="356"/>
      <c r="P56" s="85"/>
    </row>
    <row r="57" spans="2:16" ht="15.5" x14ac:dyDescent="0.35">
      <c r="B57" s="22"/>
      <c r="C57" s="22"/>
      <c r="D57" s="356"/>
      <c r="E57" s="356"/>
      <c r="F57" s="356"/>
      <c r="G57" s="356"/>
      <c r="H57" s="356"/>
      <c r="I57" s="356"/>
      <c r="J57" s="356"/>
      <c r="K57" s="356"/>
      <c r="L57" s="356"/>
      <c r="M57" s="356"/>
      <c r="N57" s="356"/>
      <c r="O57" s="356"/>
      <c r="P57" s="85"/>
    </row>
  </sheetData>
  <mergeCells count="3">
    <mergeCell ref="B31:J31"/>
    <mergeCell ref="B29:J29"/>
    <mergeCell ref="B27:J27"/>
  </mergeCells>
  <printOptions horizontalCentered="1"/>
  <pageMargins left="0.25" right="0.25" top="0.75" bottom="0.75" header="0.3" footer="0.3"/>
  <pageSetup scale="52" fitToWidth="2" fitToHeight="2" orientation="landscape" r:id="rId1"/>
  <headerFooter scaleWithDoc="0" alignWithMargins="0">
    <oddHeader xml:space="preserve">&amp;C&amp;"Times New Roman,Bold"&amp;12San Diego Gas &amp;&amp; Electric Company
2021 T&amp;K000000RBAA Rate Filing
Details of Monthly Other PTO Related Revenue (Credits)/Charges
</oddHeader>
    <oddFooter>&amp;L&amp;"Times New Roman,Regular"&amp;12&amp;F&amp;C&amp;"Times New Roman,Regular"&amp;12Page 12.&amp;P&amp;R&amp;"Times New Roman,Regular"&amp;12&amp;A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14"/>
  <sheetViews>
    <sheetView zoomScale="80" zoomScaleNormal="80" workbookViewId="0"/>
  </sheetViews>
  <sheetFormatPr defaultColWidth="9.1796875" defaultRowHeight="14" x14ac:dyDescent="0.3"/>
  <cols>
    <col min="1" max="1" width="20.54296875" style="914" customWidth="1"/>
    <col min="2" max="13" width="7.54296875" style="914" bestFit="1" customWidth="1"/>
    <col min="14" max="14" width="11.453125" style="914" bestFit="1" customWidth="1"/>
    <col min="15" max="16384" width="9.1796875" style="914"/>
  </cols>
  <sheetData>
    <row r="2" spans="1:15" ht="15" x14ac:dyDescent="0.3">
      <c r="A2" s="1111" t="s">
        <v>25</v>
      </c>
      <c r="B2" s="1111"/>
      <c r="C2" s="1111"/>
      <c r="D2" s="1111"/>
      <c r="E2" s="1111"/>
      <c r="F2" s="1111"/>
      <c r="G2" s="1111"/>
      <c r="H2" s="1111"/>
      <c r="I2" s="1111"/>
      <c r="J2" s="1111"/>
      <c r="K2" s="1111"/>
      <c r="L2" s="1111"/>
      <c r="M2" s="1111"/>
      <c r="N2" s="1111"/>
    </row>
    <row r="3" spans="1:15" ht="15" x14ac:dyDescent="0.3">
      <c r="A3" s="1111" t="s">
        <v>228</v>
      </c>
      <c r="B3" s="1111"/>
      <c r="C3" s="1111"/>
      <c r="D3" s="1111"/>
      <c r="E3" s="1111"/>
      <c r="F3" s="1111"/>
      <c r="G3" s="1111"/>
      <c r="H3" s="1111"/>
      <c r="I3" s="1111"/>
      <c r="J3" s="1111"/>
      <c r="K3" s="1111"/>
      <c r="L3" s="1111"/>
      <c r="M3" s="1111"/>
      <c r="N3" s="1111"/>
    </row>
    <row r="4" spans="1:15" ht="15" x14ac:dyDescent="0.3">
      <c r="A4" s="1111" t="s">
        <v>26</v>
      </c>
      <c r="B4" s="1111"/>
      <c r="C4" s="1111"/>
      <c r="D4" s="1111"/>
      <c r="E4" s="1111"/>
      <c r="F4" s="1111"/>
      <c r="G4" s="1111"/>
      <c r="H4" s="1111"/>
      <c r="I4" s="1111"/>
      <c r="J4" s="1111"/>
      <c r="K4" s="1111"/>
      <c r="L4" s="1111"/>
      <c r="M4" s="1111"/>
      <c r="N4" s="1111"/>
    </row>
    <row r="5" spans="1:15" s="915" customFormat="1" ht="15" x14ac:dyDescent="0.3">
      <c r="A5" s="1112" t="s">
        <v>485</v>
      </c>
      <c r="B5" s="1112"/>
      <c r="C5" s="1112"/>
      <c r="D5" s="1112"/>
      <c r="E5" s="1112"/>
      <c r="F5" s="1112"/>
      <c r="G5" s="1112"/>
      <c r="H5" s="1112"/>
      <c r="I5" s="1112"/>
      <c r="J5" s="1112"/>
      <c r="K5" s="1112"/>
      <c r="L5" s="1112"/>
      <c r="M5" s="1112"/>
      <c r="N5" s="1112"/>
    </row>
    <row r="6" spans="1:15" s="915" customFormat="1" ht="15" x14ac:dyDescent="0.3">
      <c r="A6" s="1112" t="s">
        <v>128</v>
      </c>
      <c r="B6" s="1112"/>
      <c r="C6" s="1112"/>
      <c r="D6" s="1112"/>
      <c r="E6" s="1112"/>
      <c r="F6" s="1112"/>
      <c r="G6" s="1112"/>
      <c r="H6" s="1112"/>
      <c r="I6" s="1112"/>
      <c r="J6" s="1112"/>
      <c r="K6" s="1112"/>
      <c r="L6" s="1112"/>
      <c r="M6" s="1112"/>
      <c r="N6" s="1112"/>
    </row>
    <row r="7" spans="1:15" ht="15.5" thickBot="1" x14ac:dyDescent="0.35">
      <c r="A7" s="916"/>
      <c r="B7" s="916"/>
      <c r="C7" s="916"/>
      <c r="D7" s="916"/>
      <c r="E7" s="916"/>
      <c r="F7" s="916"/>
      <c r="G7" s="916"/>
      <c r="H7" s="916"/>
      <c r="I7" s="916"/>
      <c r="J7" s="916"/>
      <c r="K7" s="916"/>
      <c r="L7" s="916"/>
      <c r="M7" s="916"/>
      <c r="N7" s="916"/>
    </row>
    <row r="8" spans="1:15" ht="14.5" thickBot="1" x14ac:dyDescent="0.35">
      <c r="A8" s="920" t="s">
        <v>484</v>
      </c>
      <c r="B8" s="917" t="s">
        <v>365</v>
      </c>
      <c r="C8" s="918" t="s">
        <v>366</v>
      </c>
      <c r="D8" s="918" t="s">
        <v>367</v>
      </c>
      <c r="E8" s="918" t="s">
        <v>368</v>
      </c>
      <c r="F8" s="918" t="s">
        <v>49</v>
      </c>
      <c r="G8" s="918" t="s">
        <v>50</v>
      </c>
      <c r="H8" s="918" t="s">
        <v>51</v>
      </c>
      <c r="I8" s="918" t="s">
        <v>369</v>
      </c>
      <c r="J8" s="918" t="s">
        <v>370</v>
      </c>
      <c r="K8" s="918" t="s">
        <v>371</v>
      </c>
      <c r="L8" s="918" t="s">
        <v>372</v>
      </c>
      <c r="M8" s="919" t="s">
        <v>373</v>
      </c>
      <c r="N8" s="920" t="s">
        <v>88</v>
      </c>
      <c r="O8" s="921"/>
    </row>
    <row r="9" spans="1:15" ht="42.5" thickBot="1" x14ac:dyDescent="0.35">
      <c r="A9" s="1003" t="s">
        <v>467</v>
      </c>
      <c r="B9" s="1004">
        <v>5629.3256814921097</v>
      </c>
      <c r="C9" s="1004">
        <v>6184.1606886657128</v>
      </c>
      <c r="D9" s="1004">
        <v>7460.5451936872323</v>
      </c>
      <c r="E9" s="1004">
        <v>7230.9899569583977</v>
      </c>
      <c r="F9" s="1004">
        <v>7058.8235294117685</v>
      </c>
      <c r="G9" s="1004">
        <v>5681.4921090387388</v>
      </c>
      <c r="H9" s="1004">
        <v>6484.9354375896701</v>
      </c>
      <c r="I9" s="1004">
        <v>6197.9913916786227</v>
      </c>
      <c r="J9" s="1004">
        <v>5964.992826398854</v>
      </c>
      <c r="K9" s="1004">
        <v>6330.215208034434</v>
      </c>
      <c r="L9" s="1004">
        <v>6660.6025824964145</v>
      </c>
      <c r="M9" s="1004">
        <v>6140.6025824964136</v>
      </c>
      <c r="N9" s="1005">
        <f>SUM(B9:M9)</f>
        <v>77024.677187948371</v>
      </c>
      <c r="O9" s="921"/>
    </row>
    <row r="10" spans="1:15" x14ac:dyDescent="0.3">
      <c r="A10" s="922"/>
      <c r="B10" s="923"/>
      <c r="C10" s="923"/>
      <c r="D10" s="923"/>
      <c r="E10" s="923"/>
      <c r="F10" s="923"/>
      <c r="G10" s="923"/>
      <c r="H10" s="923"/>
      <c r="I10" s="923"/>
      <c r="J10" s="923"/>
      <c r="K10" s="923"/>
      <c r="L10" s="923"/>
      <c r="M10" s="923"/>
      <c r="N10" s="924"/>
      <c r="O10" s="921"/>
    </row>
    <row r="11" spans="1:15" x14ac:dyDescent="0.3">
      <c r="H11" s="914" t="s">
        <v>274</v>
      </c>
      <c r="N11" s="925">
        <v>1.0108740872214819</v>
      </c>
    </row>
    <row r="12" spans="1:15" x14ac:dyDescent="0.3">
      <c r="N12" s="926"/>
    </row>
    <row r="13" spans="1:15" ht="14.5" thickBot="1" x14ac:dyDescent="0.35">
      <c r="H13" s="914" t="s">
        <v>466</v>
      </c>
      <c r="N13" s="927">
        <f>N9*N11</f>
        <v>77862.250245896605</v>
      </c>
    </row>
    <row r="14" spans="1:15" ht="14.5" thickTop="1" x14ac:dyDescent="0.3">
      <c r="N14" s="928"/>
    </row>
  </sheetData>
  <mergeCells count="5">
    <mergeCell ref="A2:N2"/>
    <mergeCell ref="A3:N3"/>
    <mergeCell ref="A4:N4"/>
    <mergeCell ref="A5:N5"/>
    <mergeCell ref="A6:N6"/>
  </mergeCells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4 of 5&amp;R&amp;"Times New Roman,Regular"&amp;12&amp;A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DC20-797C-4235-8D22-6E9C71D54D96}">
  <sheetPr>
    <pageSetUpPr fitToPage="1"/>
  </sheetPr>
  <dimension ref="A2:E21"/>
  <sheetViews>
    <sheetView zoomScale="80" zoomScaleNormal="80" workbookViewId="0"/>
  </sheetViews>
  <sheetFormatPr defaultColWidth="9.1796875" defaultRowHeight="14.5" x14ac:dyDescent="0.35"/>
  <cols>
    <col min="1" max="1" width="9.1796875" style="985"/>
    <col min="2" max="2" width="54" style="994" customWidth="1"/>
    <col min="3" max="3" width="10.453125" style="985" bestFit="1" customWidth="1"/>
    <col min="4" max="4" width="30.1796875" style="985" customWidth="1"/>
    <col min="5" max="5" width="12.453125" style="985" customWidth="1"/>
    <col min="6" max="16384" width="9.1796875" style="985"/>
  </cols>
  <sheetData>
    <row r="2" spans="1:5" ht="15.5" x14ac:dyDescent="0.35">
      <c r="B2" s="1113" t="s">
        <v>25</v>
      </c>
      <c r="C2" s="1113"/>
      <c r="D2" s="1113"/>
    </row>
    <row r="3" spans="1:5" ht="15.5" x14ac:dyDescent="0.35">
      <c r="B3" s="1113" t="s">
        <v>228</v>
      </c>
      <c r="C3" s="1113"/>
      <c r="D3" s="1113"/>
    </row>
    <row r="4" spans="1:5" ht="15.5" x14ac:dyDescent="0.35">
      <c r="B4" s="1113" t="s">
        <v>26</v>
      </c>
      <c r="C4" s="1113"/>
      <c r="D4" s="1113"/>
    </row>
    <row r="5" spans="1:5" ht="15.5" x14ac:dyDescent="0.35">
      <c r="B5" s="1114" t="s">
        <v>446</v>
      </c>
      <c r="C5" s="1114"/>
      <c r="D5" s="1114"/>
    </row>
    <row r="6" spans="1:5" ht="15.5" x14ac:dyDescent="0.35">
      <c r="B6" s="1114" t="s">
        <v>514</v>
      </c>
      <c r="C6" s="1114"/>
      <c r="D6" s="1114"/>
    </row>
    <row r="7" spans="1:5" ht="15.5" x14ac:dyDescent="0.35">
      <c r="B7" s="986"/>
      <c r="C7" s="986"/>
      <c r="D7" s="986"/>
    </row>
    <row r="8" spans="1:5" ht="16" thickBot="1" x14ac:dyDescent="0.4">
      <c r="A8" s="987" t="s">
        <v>83</v>
      </c>
      <c r="B8" s="987" t="s">
        <v>119</v>
      </c>
      <c r="C8" s="987" t="s">
        <v>447</v>
      </c>
      <c r="D8" s="987" t="s">
        <v>91</v>
      </c>
      <c r="E8" s="987" t="s">
        <v>83</v>
      </c>
    </row>
    <row r="9" spans="1:5" ht="15.5" x14ac:dyDescent="0.35">
      <c r="A9" s="988"/>
      <c r="B9" s="896"/>
      <c r="C9" s="897"/>
      <c r="D9" s="898"/>
      <c r="E9" s="989"/>
    </row>
    <row r="10" spans="1:5" ht="15.5" x14ac:dyDescent="0.35">
      <c r="A10" s="988">
        <v>1</v>
      </c>
      <c r="B10" s="897" t="s">
        <v>448</v>
      </c>
      <c r="C10" s="897">
        <v>67148.008150400012</v>
      </c>
      <c r="D10" s="898" t="s">
        <v>465</v>
      </c>
      <c r="E10" s="988">
        <v>1</v>
      </c>
    </row>
    <row r="11" spans="1:5" ht="15.5" x14ac:dyDescent="0.35">
      <c r="A11" s="988"/>
      <c r="B11" s="897"/>
      <c r="C11" s="897"/>
      <c r="D11" s="898"/>
      <c r="E11" s="988"/>
    </row>
    <row r="12" spans="1:5" ht="15.5" x14ac:dyDescent="0.35">
      <c r="A12" s="988">
        <f>A10+1</f>
        <v>2</v>
      </c>
      <c r="B12" s="897" t="s">
        <v>449</v>
      </c>
      <c r="C12" s="899">
        <v>49920</v>
      </c>
      <c r="D12" s="898" t="s">
        <v>465</v>
      </c>
      <c r="E12" s="988">
        <f>E10+1</f>
        <v>2</v>
      </c>
    </row>
    <row r="13" spans="1:5" ht="15.5" x14ac:dyDescent="0.35">
      <c r="A13" s="988"/>
      <c r="B13" s="897"/>
      <c r="C13" s="897"/>
      <c r="D13" s="898"/>
      <c r="E13" s="988"/>
    </row>
    <row r="14" spans="1:5" ht="15.5" x14ac:dyDescent="0.35">
      <c r="A14" s="988">
        <f>A12+1</f>
        <v>3</v>
      </c>
      <c r="B14" s="897" t="s">
        <v>66</v>
      </c>
      <c r="C14" s="897">
        <f>C10-C12</f>
        <v>17228.008150400012</v>
      </c>
      <c r="D14" s="898" t="s">
        <v>450</v>
      </c>
      <c r="E14" s="988">
        <f>E12+1</f>
        <v>3</v>
      </c>
    </row>
    <row r="15" spans="1:5" ht="15.5" x14ac:dyDescent="0.35">
      <c r="A15" s="988"/>
      <c r="B15" s="897"/>
      <c r="C15" s="897"/>
      <c r="D15" s="898"/>
      <c r="E15" s="988"/>
    </row>
    <row r="16" spans="1:5" ht="15.5" x14ac:dyDescent="0.35">
      <c r="A16" s="988">
        <f>A14+1</f>
        <v>4</v>
      </c>
      <c r="B16" s="990" t="s">
        <v>274</v>
      </c>
      <c r="C16" s="991">
        <v>1.0108740872214819</v>
      </c>
      <c r="D16" s="898" t="s">
        <v>465</v>
      </c>
      <c r="E16" s="988">
        <f>E14+1</f>
        <v>4</v>
      </c>
    </row>
    <row r="17" spans="1:5" ht="15.5" x14ac:dyDescent="0.35">
      <c r="A17" s="988"/>
      <c r="B17" s="990"/>
      <c r="C17" s="993"/>
      <c r="D17" s="992"/>
      <c r="E17" s="988"/>
    </row>
    <row r="18" spans="1:5" ht="18.5" x14ac:dyDescent="0.35">
      <c r="A18" s="996">
        <f>A16+1</f>
        <v>5</v>
      </c>
      <c r="B18" s="1000" t="s">
        <v>468</v>
      </c>
      <c r="C18" s="997">
        <f>C14*C16</f>
        <v>17415.347013679861</v>
      </c>
      <c r="D18" s="999" t="s">
        <v>451</v>
      </c>
      <c r="E18" s="996">
        <f>E16+1</f>
        <v>5</v>
      </c>
    </row>
    <row r="19" spans="1:5" ht="15.5" x14ac:dyDescent="0.35">
      <c r="A19" s="988"/>
      <c r="D19" s="995"/>
    </row>
    <row r="20" spans="1:5" ht="18.5" x14ac:dyDescent="0.35">
      <c r="A20" s="481">
        <v>1</v>
      </c>
      <c r="B20" s="22" t="s">
        <v>477</v>
      </c>
    </row>
    <row r="21" spans="1:5" ht="15.5" x14ac:dyDescent="0.35">
      <c r="B21" s="998"/>
    </row>
  </sheetData>
  <mergeCells count="5">
    <mergeCell ref="B2:D2"/>
    <mergeCell ref="B3:D3"/>
    <mergeCell ref="B4:D4"/>
    <mergeCell ref="B5:D5"/>
    <mergeCell ref="B6:D6"/>
  </mergeCells>
  <printOptions horizontalCentered="1"/>
  <pageMargins left="0" right="0" top="0.5" bottom="0.75" header="0.25" footer="0.25"/>
  <pageSetup orientation="landscape" r:id="rId1"/>
  <headerFooter alignWithMargins="0">
    <oddFooter>&amp;L            &amp;F&amp;CPage 5 of 5&amp;R&amp;A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52"/>
  <sheetViews>
    <sheetView zoomScale="80" zoomScaleNormal="80" workbookViewId="0"/>
  </sheetViews>
  <sheetFormatPr defaultColWidth="9.1796875" defaultRowHeight="12.5" x14ac:dyDescent="0.25"/>
  <cols>
    <col min="1" max="1" width="5.54296875" style="287" customWidth="1"/>
    <col min="2" max="2" width="40.54296875" style="287" customWidth="1"/>
    <col min="3" max="6" width="20.54296875" style="287" customWidth="1"/>
    <col min="7" max="7" width="25.54296875" style="287" hidden="1" customWidth="1"/>
    <col min="8" max="8" width="35.54296875" style="287" customWidth="1"/>
    <col min="9" max="9" width="5.54296875" style="287" customWidth="1"/>
    <col min="10" max="16384" width="9.1796875" style="287"/>
  </cols>
  <sheetData>
    <row r="2" spans="1:9" ht="15" x14ac:dyDescent="0.25">
      <c r="A2" s="5" t="s">
        <v>217</v>
      </c>
      <c r="B2" s="485"/>
      <c r="C2" s="984"/>
      <c r="D2" s="984"/>
      <c r="E2" s="984"/>
      <c r="F2" s="984"/>
      <c r="G2" s="984"/>
      <c r="H2" s="984"/>
      <c r="I2" s="984"/>
    </row>
    <row r="3" spans="1:9" ht="15.5" x14ac:dyDescent="0.25">
      <c r="A3" s="5" t="s">
        <v>92</v>
      </c>
      <c r="B3" s="5"/>
      <c r="C3" s="41"/>
      <c r="D3" s="41"/>
      <c r="E3" s="41"/>
      <c r="F3" s="41"/>
      <c r="G3" s="41"/>
      <c r="H3" s="41"/>
      <c r="I3" s="41"/>
    </row>
    <row r="4" spans="1:9" ht="15.5" x14ac:dyDescent="0.25">
      <c r="A4" s="5" t="s">
        <v>344</v>
      </c>
      <c r="B4" s="486"/>
      <c r="C4" s="447"/>
      <c r="D4" s="447"/>
      <c r="E4" s="447"/>
      <c r="F4" s="448"/>
      <c r="G4" s="447"/>
      <c r="H4" s="447"/>
      <c r="I4" s="41"/>
    </row>
    <row r="5" spans="1:9" ht="15" x14ac:dyDescent="0.25">
      <c r="A5" s="1115" t="s">
        <v>345</v>
      </c>
      <c r="B5" s="1115"/>
      <c r="C5" s="1115"/>
      <c r="D5" s="1115"/>
      <c r="E5" s="1115"/>
      <c r="F5" s="1115"/>
      <c r="G5" s="1115"/>
      <c r="H5" s="1115"/>
      <c r="I5" s="1115"/>
    </row>
    <row r="6" spans="1:9" ht="15.5" x14ac:dyDescent="0.25">
      <c r="A6" s="5" t="s">
        <v>486</v>
      </c>
      <c r="B6" s="486"/>
      <c r="C6" s="447"/>
      <c r="D6" s="447"/>
      <c r="E6" s="447"/>
      <c r="F6" s="448"/>
      <c r="G6" s="447"/>
      <c r="H6" s="447"/>
      <c r="I6" s="41"/>
    </row>
    <row r="7" spans="1:9" ht="16" thickBot="1" x14ac:dyDescent="0.4">
      <c r="A7" s="37"/>
      <c r="B7" s="96"/>
      <c r="C7" s="96"/>
      <c r="D7" s="96"/>
      <c r="E7" s="96"/>
      <c r="F7" s="96"/>
      <c r="G7" s="22"/>
      <c r="H7" s="22"/>
      <c r="I7" s="22"/>
    </row>
    <row r="8" spans="1:9" ht="15" x14ac:dyDescent="0.3">
      <c r="A8" s="661"/>
      <c r="B8" s="525"/>
      <c r="C8" s="662" t="s">
        <v>115</v>
      </c>
      <c r="D8" s="662" t="s">
        <v>132</v>
      </c>
      <c r="E8" s="662" t="s">
        <v>117</v>
      </c>
      <c r="F8" s="662" t="s">
        <v>257</v>
      </c>
      <c r="G8" s="525"/>
      <c r="H8" s="525"/>
      <c r="I8" s="663"/>
    </row>
    <row r="9" spans="1:9" ht="15" x14ac:dyDescent="0.3">
      <c r="A9" s="655"/>
      <c r="B9" s="82"/>
      <c r="C9" s="180" t="s">
        <v>218</v>
      </c>
      <c r="D9" s="180" t="s">
        <v>219</v>
      </c>
      <c r="E9" s="82"/>
      <c r="F9" s="82"/>
      <c r="G9" s="82"/>
      <c r="H9" s="82"/>
      <c r="I9" s="656"/>
    </row>
    <row r="10" spans="1:9" ht="15" x14ac:dyDescent="0.3">
      <c r="A10" s="655"/>
      <c r="B10" s="103"/>
      <c r="C10" s="82">
        <v>2021</v>
      </c>
      <c r="D10" s="82">
        <v>2021</v>
      </c>
      <c r="E10" s="82"/>
      <c r="F10" s="82"/>
      <c r="G10" s="82"/>
      <c r="H10" s="82"/>
      <c r="I10" s="656"/>
    </row>
    <row r="11" spans="1:9" ht="15" x14ac:dyDescent="0.3">
      <c r="A11" s="655" t="s">
        <v>93</v>
      </c>
      <c r="B11" s="103"/>
      <c r="C11" s="82" t="s">
        <v>184</v>
      </c>
      <c r="D11" s="82" t="s">
        <v>184</v>
      </c>
      <c r="E11" s="82"/>
      <c r="F11" s="180" t="s">
        <v>220</v>
      </c>
      <c r="G11" s="82"/>
      <c r="H11" s="82"/>
      <c r="I11" s="656" t="s">
        <v>93</v>
      </c>
    </row>
    <row r="12" spans="1:9" ht="18.5" thickBot="1" x14ac:dyDescent="0.35">
      <c r="A12" s="678" t="s">
        <v>87</v>
      </c>
      <c r="B12" s="174" t="s">
        <v>221</v>
      </c>
      <c r="C12" s="680" t="s">
        <v>346</v>
      </c>
      <c r="D12" s="680" t="s">
        <v>347</v>
      </c>
      <c r="E12" s="174" t="s">
        <v>222</v>
      </c>
      <c r="F12" s="174" t="s">
        <v>348</v>
      </c>
      <c r="G12" s="174" t="s">
        <v>91</v>
      </c>
      <c r="H12" s="174" t="s">
        <v>91</v>
      </c>
      <c r="I12" s="679" t="s">
        <v>87</v>
      </c>
    </row>
    <row r="13" spans="1:9" ht="15.5" x14ac:dyDescent="0.35">
      <c r="A13" s="308"/>
      <c r="B13" s="10"/>
      <c r="C13" s="82"/>
      <c r="D13" s="82"/>
      <c r="E13" s="10"/>
      <c r="F13" s="215"/>
      <c r="G13" s="10"/>
      <c r="H13" s="10"/>
      <c r="I13" s="309"/>
    </row>
    <row r="14" spans="1:9" ht="15.5" x14ac:dyDescent="0.35">
      <c r="A14" s="308">
        <v>1</v>
      </c>
      <c r="B14" s="17" t="s">
        <v>223</v>
      </c>
      <c r="C14" s="19">
        <f>'Stmt BG - Page 2'!I28</f>
        <v>-6900423.8007300003</v>
      </c>
      <c r="D14" s="19">
        <f>'Stmt BH - Page 1'!I28</f>
        <v>-6058908.7030799994</v>
      </c>
      <c r="E14" s="19">
        <f>C14-D14</f>
        <v>-841515.09765000083</v>
      </c>
      <c r="F14" s="25">
        <f>(C14-D14)/D14</f>
        <v>0.13888888888888903</v>
      </c>
      <c r="G14" s="19"/>
      <c r="H14" s="26" t="s">
        <v>327</v>
      </c>
      <c r="I14" s="309">
        <v>1</v>
      </c>
    </row>
    <row r="15" spans="1:9" ht="15.5" x14ac:dyDescent="0.35">
      <c r="A15" s="308">
        <f>A14+1</f>
        <v>2</v>
      </c>
      <c r="B15" s="449"/>
      <c r="C15" s="19"/>
      <c r="D15" s="19"/>
      <c r="E15" s="19"/>
      <c r="F15" s="19"/>
      <c r="G15" s="450"/>
      <c r="H15" s="26" t="s">
        <v>328</v>
      </c>
      <c r="I15" s="309">
        <f>I14+1</f>
        <v>2</v>
      </c>
    </row>
    <row r="16" spans="1:9" ht="15.5" x14ac:dyDescent="0.35">
      <c r="A16" s="308">
        <f t="shared" ref="A16:A27" si="0">A15+1</f>
        <v>3</v>
      </c>
      <c r="B16" s="17" t="s">
        <v>224</v>
      </c>
      <c r="C16" s="31">
        <f>'Stmt BG - Page 2'!I30</f>
        <v>-2670543.7248</v>
      </c>
      <c r="D16" s="31">
        <f>'Stmt BH - Page 1'!I30</f>
        <v>-2344867.6607999997</v>
      </c>
      <c r="E16" s="31">
        <f>C16-D16</f>
        <v>-325676.06400000025</v>
      </c>
      <c r="F16" s="25">
        <f>(C16-D16)/D16</f>
        <v>0.13888888888888901</v>
      </c>
      <c r="G16" s="19"/>
      <c r="H16" s="26" t="s">
        <v>329</v>
      </c>
      <c r="I16" s="309">
        <f t="shared" ref="I16:I27" si="1">I15+1</f>
        <v>3</v>
      </c>
    </row>
    <row r="17" spans="1:9" ht="15.5" x14ac:dyDescent="0.35">
      <c r="A17" s="308">
        <f t="shared" si="0"/>
        <v>4</v>
      </c>
      <c r="B17" s="451"/>
      <c r="C17" s="31"/>
      <c r="D17" s="31"/>
      <c r="E17" s="31"/>
      <c r="F17" s="25"/>
      <c r="G17" s="19"/>
      <c r="H17" s="26" t="s">
        <v>330</v>
      </c>
      <c r="I17" s="309">
        <f t="shared" si="1"/>
        <v>4</v>
      </c>
    </row>
    <row r="18" spans="1:9" ht="15.5" x14ac:dyDescent="0.35">
      <c r="A18" s="308">
        <f t="shared" si="0"/>
        <v>5</v>
      </c>
      <c r="B18" s="17" t="s">
        <v>326</v>
      </c>
      <c r="C18" s="31">
        <f>'Stmt BG - Page 2'!I32</f>
        <v>-11630465.242769999</v>
      </c>
      <c r="D18" s="31">
        <f>'Stmt BH - Page 1'!I32</f>
        <v>-10212115.822919998</v>
      </c>
      <c r="E18" s="31">
        <f>C18-D18</f>
        <v>-1418349.4198500011</v>
      </c>
      <c r="F18" s="25">
        <f>(C18-D18)/D18</f>
        <v>0.13888888888888903</v>
      </c>
      <c r="G18" s="19"/>
      <c r="H18" s="26" t="s">
        <v>331</v>
      </c>
      <c r="I18" s="309">
        <f t="shared" si="1"/>
        <v>5</v>
      </c>
    </row>
    <row r="19" spans="1:9" ht="15.5" x14ac:dyDescent="0.35">
      <c r="A19" s="308">
        <f t="shared" si="0"/>
        <v>6</v>
      </c>
      <c r="B19" s="17"/>
      <c r="C19" s="31"/>
      <c r="D19" s="31"/>
      <c r="E19" s="31"/>
      <c r="F19" s="25"/>
      <c r="G19" s="19"/>
      <c r="H19" s="26" t="s">
        <v>332</v>
      </c>
      <c r="I19" s="309">
        <f t="shared" si="1"/>
        <v>6</v>
      </c>
    </row>
    <row r="20" spans="1:9" ht="15.5" x14ac:dyDescent="0.35">
      <c r="A20" s="308">
        <f t="shared" si="0"/>
        <v>7</v>
      </c>
      <c r="B20" s="17" t="s">
        <v>177</v>
      </c>
      <c r="C20" s="31">
        <f>'Stmt BG - Page 2'!I34</f>
        <v>-127740.74103</v>
      </c>
      <c r="D20" s="31">
        <f>'Stmt BH - Page 1'!I34</f>
        <v>-112162.60188</v>
      </c>
      <c r="E20" s="31">
        <f>C20-D20</f>
        <v>-15578.139150000003</v>
      </c>
      <c r="F20" s="25">
        <f>(C20-D20)/D20</f>
        <v>0.13888888888888892</v>
      </c>
      <c r="G20" s="19"/>
      <c r="H20" s="26" t="s">
        <v>333</v>
      </c>
      <c r="I20" s="309">
        <f t="shared" si="1"/>
        <v>7</v>
      </c>
    </row>
    <row r="21" spans="1:9" ht="15.5" x14ac:dyDescent="0.35">
      <c r="A21" s="308">
        <f t="shared" si="0"/>
        <v>8</v>
      </c>
      <c r="B21" s="17"/>
      <c r="C21" s="31"/>
      <c r="D21" s="31"/>
      <c r="E21" s="31"/>
      <c r="F21" s="25"/>
      <c r="G21" s="19"/>
      <c r="H21" s="26" t="s">
        <v>334</v>
      </c>
      <c r="I21" s="309">
        <f t="shared" si="1"/>
        <v>8</v>
      </c>
    </row>
    <row r="22" spans="1:9" ht="15.5" x14ac:dyDescent="0.35">
      <c r="A22" s="308">
        <f t="shared" si="0"/>
        <v>9</v>
      </c>
      <c r="B22" s="17" t="s">
        <v>176</v>
      </c>
      <c r="C22" s="31">
        <f>'Stmt BG - Page 2'!I36</f>
        <v>-260756.09844</v>
      </c>
      <c r="D22" s="31">
        <f>'Stmt BH - Page 1'!I36</f>
        <v>-228956.57424000002</v>
      </c>
      <c r="E22" s="31">
        <f>C22-D22</f>
        <v>-31799.524199999985</v>
      </c>
      <c r="F22" s="25">
        <f>(C22-D22)/D22</f>
        <v>0.13888888888888881</v>
      </c>
      <c r="G22" s="19"/>
      <c r="H22" s="26" t="s">
        <v>335</v>
      </c>
      <c r="I22" s="309">
        <f t="shared" si="1"/>
        <v>9</v>
      </c>
    </row>
    <row r="23" spans="1:9" ht="15.5" x14ac:dyDescent="0.35">
      <c r="A23" s="308">
        <f t="shared" si="0"/>
        <v>10</v>
      </c>
      <c r="B23" s="17"/>
      <c r="C23" s="31"/>
      <c r="D23" s="31"/>
      <c r="E23" s="31"/>
      <c r="F23" s="25"/>
      <c r="G23" s="19"/>
      <c r="H23" s="26" t="s">
        <v>336</v>
      </c>
      <c r="I23" s="309">
        <f t="shared" si="1"/>
        <v>10</v>
      </c>
    </row>
    <row r="24" spans="1:9" ht="15.5" x14ac:dyDescent="0.35">
      <c r="A24" s="308">
        <f t="shared" si="0"/>
        <v>11</v>
      </c>
      <c r="B24" s="72" t="s">
        <v>225</v>
      </c>
      <c r="C24" s="31">
        <f>'Stmt BG - Page 2'!I38</f>
        <v>-104470.75970999998</v>
      </c>
      <c r="D24" s="58">
        <f>'Stmt BH - Page 1'!I38</f>
        <v>-91730.423160000006</v>
      </c>
      <c r="E24" s="31">
        <f>C24-D24</f>
        <v>-12740.336549999978</v>
      </c>
      <c r="F24" s="608">
        <f>(C24-D24)/D24</f>
        <v>0.13888888888888865</v>
      </c>
      <c r="G24" s="19"/>
      <c r="H24" s="26" t="s">
        <v>337</v>
      </c>
      <c r="I24" s="309">
        <f t="shared" si="1"/>
        <v>11</v>
      </c>
    </row>
    <row r="25" spans="1:9" ht="15.5" x14ac:dyDescent="0.35">
      <c r="A25" s="308">
        <f t="shared" si="0"/>
        <v>12</v>
      </c>
      <c r="B25" s="17"/>
      <c r="C25" s="31"/>
      <c r="D25" s="31"/>
      <c r="E25" s="31"/>
      <c r="F25" s="25"/>
      <c r="G25" s="19"/>
      <c r="H25" s="26" t="s">
        <v>338</v>
      </c>
      <c r="I25" s="309">
        <f t="shared" si="1"/>
        <v>12</v>
      </c>
    </row>
    <row r="26" spans="1:9" ht="15.5" x14ac:dyDescent="0.35">
      <c r="A26" s="308">
        <f t="shared" si="0"/>
        <v>13</v>
      </c>
      <c r="B26" s="17"/>
      <c r="C26" s="57"/>
      <c r="D26" s="57"/>
      <c r="E26" s="21"/>
      <c r="F26" s="21"/>
      <c r="G26" s="19"/>
      <c r="H26" s="426"/>
      <c r="I26" s="309">
        <f t="shared" si="1"/>
        <v>13</v>
      </c>
    </row>
    <row r="27" spans="1:9" ht="16" thickBot="1" x14ac:dyDescent="0.4">
      <c r="A27" s="308">
        <f t="shared" si="0"/>
        <v>14</v>
      </c>
      <c r="B27" s="449" t="s">
        <v>226</v>
      </c>
      <c r="C27" s="452">
        <f>SUM(C14:C24)</f>
        <v>-21694400.367479995</v>
      </c>
      <c r="D27" s="452">
        <f>SUM(D14:D24)</f>
        <v>-19048741.786079995</v>
      </c>
      <c r="E27" s="452">
        <f>SUM(E14:E24)</f>
        <v>-2645658.5814000024</v>
      </c>
      <c r="F27" s="453">
        <f>(C27-D27)/D27</f>
        <v>0.1388888888888889</v>
      </c>
      <c r="G27" s="454"/>
      <c r="H27" s="455" t="s">
        <v>227</v>
      </c>
      <c r="I27" s="309">
        <f t="shared" si="1"/>
        <v>14</v>
      </c>
    </row>
    <row r="28" spans="1:9" ht="16.5" thickTop="1" thickBot="1" x14ac:dyDescent="0.4">
      <c r="A28" s="349"/>
      <c r="B28" s="88"/>
      <c r="C28" s="88"/>
      <c r="D28" s="88"/>
      <c r="E28" s="88"/>
      <c r="F28" s="88"/>
      <c r="G28" s="88"/>
      <c r="H28" s="88"/>
      <c r="I28" s="473"/>
    </row>
    <row r="29" spans="1:9" ht="15.5" x14ac:dyDescent="0.35">
      <c r="A29" s="37"/>
      <c r="B29" s="456"/>
    </row>
    <row r="30" spans="1:9" ht="18.5" x14ac:dyDescent="0.35">
      <c r="A30" s="90">
        <v>1</v>
      </c>
      <c r="B30" s="22" t="s">
        <v>544</v>
      </c>
    </row>
    <row r="31" spans="1:9" ht="18.5" x14ac:dyDescent="0.35">
      <c r="A31" s="75"/>
      <c r="B31" s="22"/>
    </row>
    <row r="32" spans="1:9" ht="15.5" x14ac:dyDescent="0.35">
      <c r="A32" s="37"/>
      <c r="B32" s="22"/>
    </row>
    <row r="33" spans="1:8" ht="18.5" x14ac:dyDescent="0.35">
      <c r="A33" s="75"/>
      <c r="B33" s="22"/>
    </row>
    <row r="34" spans="1:8" ht="15.5" x14ac:dyDescent="0.35">
      <c r="A34" s="981"/>
      <c r="B34" s="22"/>
    </row>
    <row r="35" spans="1:8" ht="15.5" x14ac:dyDescent="0.35">
      <c r="A35" s="981"/>
      <c r="B35" s="161"/>
      <c r="C35" s="22"/>
      <c r="D35" s="22"/>
      <c r="E35" s="160"/>
      <c r="F35" s="22"/>
      <c r="G35" s="22"/>
      <c r="H35" s="22"/>
    </row>
    <row r="36" spans="1:8" ht="15.5" x14ac:dyDescent="0.35">
      <c r="A36" s="981"/>
      <c r="B36" s="22"/>
      <c r="C36" s="22"/>
      <c r="D36" s="22"/>
      <c r="E36" s="457"/>
      <c r="F36" s="22"/>
      <c r="G36" s="22"/>
      <c r="H36" s="22"/>
    </row>
    <row r="37" spans="1:8" ht="15.5" x14ac:dyDescent="0.35">
      <c r="A37" s="981"/>
      <c r="B37" s="22"/>
      <c r="C37" s="22"/>
      <c r="D37" s="22"/>
      <c r="E37" s="22"/>
      <c r="F37" s="22"/>
      <c r="G37" s="22"/>
      <c r="H37" s="22"/>
    </row>
    <row r="38" spans="1:8" x14ac:dyDescent="0.25">
      <c r="A38" s="981"/>
    </row>
    <row r="39" spans="1:8" x14ac:dyDescent="0.25">
      <c r="A39" s="981"/>
    </row>
    <row r="40" spans="1:8" x14ac:dyDescent="0.25">
      <c r="A40" s="981"/>
    </row>
    <row r="41" spans="1:8" x14ac:dyDescent="0.25">
      <c r="A41" s="981"/>
    </row>
    <row r="42" spans="1:8" x14ac:dyDescent="0.25">
      <c r="A42" s="981"/>
    </row>
    <row r="43" spans="1:8" x14ac:dyDescent="0.25">
      <c r="A43" s="981"/>
    </row>
    <row r="44" spans="1:8" x14ac:dyDescent="0.25">
      <c r="A44" s="981"/>
    </row>
    <row r="45" spans="1:8" x14ac:dyDescent="0.25">
      <c r="A45" s="981"/>
    </row>
    <row r="46" spans="1:8" x14ac:dyDescent="0.25">
      <c r="A46" s="981"/>
    </row>
    <row r="47" spans="1:8" x14ac:dyDescent="0.25">
      <c r="A47" s="981"/>
    </row>
    <row r="48" spans="1:8" x14ac:dyDescent="0.25">
      <c r="A48" s="981"/>
    </row>
    <row r="49" spans="1:1" x14ac:dyDescent="0.25">
      <c r="A49" s="981"/>
    </row>
    <row r="50" spans="1:1" x14ac:dyDescent="0.25">
      <c r="A50" s="981"/>
    </row>
    <row r="51" spans="1:1" x14ac:dyDescent="0.25">
      <c r="A51" s="981"/>
    </row>
    <row r="52" spans="1:1" x14ac:dyDescent="0.25">
      <c r="A52" s="981"/>
    </row>
  </sheetData>
  <mergeCells count="1">
    <mergeCell ref="A5:I5"/>
  </mergeCells>
  <printOptions horizontalCentered="1"/>
  <pageMargins left="0.25" right="0.25" top="0.5" bottom="0.5" header="0.25" footer="0.25"/>
  <pageSetup scale="80" orientation="landscape" r:id="rId1"/>
  <headerFooter alignWithMargins="0">
    <oddFooter>&amp;L&amp;"Times New Roman,Regular"&amp;14 &amp;F&amp;C&amp;"Times New Roman,Regular"&amp;14Page 1 of 4&amp;R&amp;"Times New Roman,Regular"&amp;14&amp;A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143"/>
  <sheetViews>
    <sheetView zoomScale="80" zoomScaleNormal="80" workbookViewId="0"/>
  </sheetViews>
  <sheetFormatPr defaultColWidth="9.1796875" defaultRowHeight="15.5" x14ac:dyDescent="0.3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53125" style="22" bestFit="1" customWidth="1"/>
    <col min="10" max="10" width="6" style="22" bestFit="1" customWidth="1"/>
    <col min="11" max="14" width="17.1796875" style="22" bestFit="1" customWidth="1"/>
    <col min="15" max="15" width="18.453125" style="22" bestFit="1" customWidth="1"/>
    <col min="16" max="16" width="8.54296875" style="22" bestFit="1" customWidth="1"/>
    <col min="17" max="16384" width="9.1796875" style="22"/>
  </cols>
  <sheetData>
    <row r="2" spans="1:16" ht="18" customHeight="1" x14ac:dyDescent="0.35">
      <c r="A2" s="1115" t="s">
        <v>217</v>
      </c>
      <c r="B2" s="1115"/>
      <c r="C2" s="1115"/>
      <c r="D2" s="1115"/>
      <c r="E2" s="1115"/>
      <c r="F2" s="1115"/>
      <c r="G2" s="1115"/>
      <c r="H2" s="1115"/>
      <c r="I2" s="1115"/>
      <c r="J2" s="1115"/>
      <c r="K2" s="599"/>
      <c r="L2" s="599"/>
      <c r="M2" s="599"/>
      <c r="N2" s="599"/>
      <c r="O2" s="599"/>
      <c r="P2" s="599"/>
    </row>
    <row r="3" spans="1:16" ht="18" customHeight="1" x14ac:dyDescent="0.35">
      <c r="A3" s="1115" t="s">
        <v>92</v>
      </c>
      <c r="B3" s="1115"/>
      <c r="C3" s="1115"/>
      <c r="D3" s="1115"/>
      <c r="E3" s="1115"/>
      <c r="F3" s="1115"/>
      <c r="G3" s="1115"/>
      <c r="H3" s="1115"/>
      <c r="I3" s="1115"/>
      <c r="J3" s="1115"/>
      <c r="K3" s="600"/>
      <c r="L3" s="600"/>
      <c r="M3" s="600"/>
      <c r="N3" s="600"/>
      <c r="O3" s="600"/>
      <c r="P3" s="600"/>
    </row>
    <row r="4" spans="1:16" ht="18" customHeight="1" x14ac:dyDescent="0.35">
      <c r="A4" s="1115" t="str">
        <f>'Stmt BG - Page 1'!A4</f>
        <v>Transmission Revenue Balancing Account Adjustment (TRBAA) Revenues Data to Reflect Changed Rates</v>
      </c>
      <c r="B4" s="1115"/>
      <c r="C4" s="1115"/>
      <c r="D4" s="1115"/>
      <c r="E4" s="1115"/>
      <c r="F4" s="1115"/>
      <c r="G4" s="1115"/>
      <c r="H4" s="1115"/>
      <c r="I4" s="1115"/>
      <c r="J4" s="1115"/>
      <c r="K4" s="600"/>
      <c r="L4" s="600"/>
      <c r="M4" s="600"/>
      <c r="N4" s="600"/>
      <c r="O4" s="600"/>
      <c r="P4" s="600"/>
    </row>
    <row r="5" spans="1:16" s="100" customFormat="1" ht="18" customHeight="1" x14ac:dyDescent="0.35">
      <c r="A5" s="1116" t="str">
        <f>'Stmt BG - Page 1'!A6</f>
        <v>Rate Effective Period - Twelve Months Ending December 31, 2021</v>
      </c>
      <c r="B5" s="1116"/>
      <c r="C5" s="1116"/>
      <c r="D5" s="1116"/>
      <c r="E5" s="1116"/>
      <c r="F5" s="1116"/>
      <c r="G5" s="1116"/>
      <c r="H5" s="1116"/>
      <c r="I5" s="1116"/>
      <c r="J5" s="1116"/>
      <c r="K5" s="601"/>
      <c r="L5" s="601"/>
      <c r="M5" s="601"/>
      <c r="N5" s="601"/>
      <c r="O5" s="601"/>
      <c r="P5" s="601"/>
    </row>
    <row r="6" spans="1:16" s="100" customFormat="1" ht="16" thickBot="1" x14ac:dyDescent="0.4">
      <c r="A6" s="602"/>
      <c r="B6" s="602"/>
      <c r="C6" s="602"/>
      <c r="D6" s="602"/>
      <c r="E6" s="602"/>
      <c r="F6" s="602"/>
      <c r="G6" s="602"/>
      <c r="H6" s="602"/>
      <c r="I6" s="602"/>
      <c r="J6" s="602"/>
      <c r="K6" s="603"/>
      <c r="L6" s="603"/>
      <c r="M6" s="603"/>
      <c r="N6" s="603"/>
      <c r="O6" s="603"/>
      <c r="P6" s="603"/>
    </row>
    <row r="7" spans="1:16" s="100" customFormat="1" x14ac:dyDescent="0.35">
      <c r="A7" s="853" t="s">
        <v>93</v>
      </c>
      <c r="B7" s="664"/>
      <c r="C7" s="854" t="s">
        <v>115</v>
      </c>
      <c r="D7" s="673" t="s">
        <v>132</v>
      </c>
      <c r="E7" s="801" t="s">
        <v>229</v>
      </c>
      <c r="F7" s="673" t="s">
        <v>230</v>
      </c>
      <c r="G7" s="673" t="s">
        <v>231</v>
      </c>
      <c r="H7" s="801" t="s">
        <v>232</v>
      </c>
      <c r="I7" s="665" t="s">
        <v>233</v>
      </c>
      <c r="J7" s="857" t="s">
        <v>93</v>
      </c>
    </row>
    <row r="8" spans="1:16" s="100" customFormat="1" ht="16" thickBot="1" x14ac:dyDescent="0.4">
      <c r="A8" s="855" t="s">
        <v>87</v>
      </c>
      <c r="B8" s="269" t="s">
        <v>221</v>
      </c>
      <c r="C8" s="983">
        <v>44197</v>
      </c>
      <c r="D8" s="983">
        <v>44228</v>
      </c>
      <c r="E8" s="983">
        <v>44256</v>
      </c>
      <c r="F8" s="983">
        <v>44287</v>
      </c>
      <c r="G8" s="983">
        <v>44317</v>
      </c>
      <c r="H8" s="983">
        <v>44348</v>
      </c>
      <c r="I8" s="802"/>
      <c r="J8" s="856" t="s">
        <v>87</v>
      </c>
    </row>
    <row r="9" spans="1:16" x14ac:dyDescent="0.35">
      <c r="A9" s="308"/>
      <c r="B9" s="10"/>
      <c r="C9" s="10"/>
      <c r="D9" s="10"/>
      <c r="E9" s="10"/>
      <c r="F9" s="10"/>
      <c r="G9" s="10"/>
      <c r="H9" s="10"/>
      <c r="I9" s="17"/>
      <c r="J9" s="309"/>
    </row>
    <row r="10" spans="1:16" ht="18.5" x14ac:dyDescent="0.35">
      <c r="A10" s="308">
        <v>1</v>
      </c>
      <c r="B10" s="17" t="s">
        <v>321</v>
      </c>
      <c r="C10" s="19">
        <f>'Stmt BG - Page 3'!C33</f>
        <v>-672887.26491000003</v>
      </c>
      <c r="D10" s="19">
        <f>'Stmt BG - Page 3'!D33</f>
        <v>-559476.32892</v>
      </c>
      <c r="E10" s="19">
        <f>'Stmt BG - Page 3'!E33</f>
        <v>-520200.43631999998</v>
      </c>
      <c r="F10" s="19">
        <f>'Stmt BG - Page 3'!F33</f>
        <v>-453048.55556999997</v>
      </c>
      <c r="G10" s="19">
        <f>'Stmt BG - Page 3'!G33</f>
        <v>-443187.7206</v>
      </c>
      <c r="H10" s="19">
        <f>'Stmt BG - Page 3'!H33</f>
        <v>-473942.72792999999</v>
      </c>
      <c r="I10" s="17"/>
      <c r="J10" s="309">
        <v>1</v>
      </c>
    </row>
    <row r="11" spans="1:16" x14ac:dyDescent="0.35">
      <c r="A11" s="308">
        <f>A10+1</f>
        <v>2</v>
      </c>
      <c r="B11" s="449"/>
      <c r="C11" s="459"/>
      <c r="D11" s="459"/>
      <c r="E11" s="459"/>
      <c r="F11" s="459"/>
      <c r="G11" s="459"/>
      <c r="H11" s="459"/>
      <c r="I11" s="17"/>
      <c r="J11" s="309">
        <f>J10+1</f>
        <v>2</v>
      </c>
    </row>
    <row r="12" spans="1:16" ht="18.5" x14ac:dyDescent="0.35">
      <c r="A12" s="308">
        <f t="shared" ref="A12:A22" si="0">A11+1</f>
        <v>3</v>
      </c>
      <c r="B12" s="17" t="s">
        <v>322</v>
      </c>
      <c r="C12" s="31">
        <f>'Stmt BG - Page 3'!C35</f>
        <v>-212339.37596999999</v>
      </c>
      <c r="D12" s="31">
        <f>'Stmt BG - Page 3'!D35</f>
        <v>-204628.74458999999</v>
      </c>
      <c r="E12" s="31">
        <f>'Stmt BG - Page 3'!E35</f>
        <v>-203838.36381000001</v>
      </c>
      <c r="F12" s="31">
        <f>'Stmt BG - Page 3'!F35</f>
        <v>-204549.04058999999</v>
      </c>
      <c r="G12" s="31">
        <f>'Stmt BG - Page 3'!G35</f>
        <v>-208092.08387999999</v>
      </c>
      <c r="H12" s="31">
        <f>'Stmt BG - Page 3'!H35</f>
        <v>-220223.90721</v>
      </c>
      <c r="I12" s="17"/>
      <c r="J12" s="309">
        <f t="shared" ref="J12:J22" si="1">J11+1</f>
        <v>3</v>
      </c>
    </row>
    <row r="13" spans="1:16" x14ac:dyDescent="0.35">
      <c r="A13" s="308">
        <f t="shared" si="0"/>
        <v>4</v>
      </c>
      <c r="B13" s="451"/>
      <c r="C13" s="460"/>
      <c r="D13" s="460"/>
      <c r="E13" s="460"/>
      <c r="F13" s="460"/>
      <c r="G13" s="460"/>
      <c r="H13" s="460"/>
      <c r="I13" s="17"/>
      <c r="J13" s="309">
        <f t="shared" si="1"/>
        <v>4</v>
      </c>
    </row>
    <row r="14" spans="1:16" ht="18.5" x14ac:dyDescent="0.35">
      <c r="A14" s="308">
        <f t="shared" si="0"/>
        <v>5</v>
      </c>
      <c r="B14" s="17" t="s">
        <v>323</v>
      </c>
      <c r="C14" s="31">
        <f>'Stmt BG - Page 3'!C37</f>
        <v>-899472.97935000004</v>
      </c>
      <c r="D14" s="31">
        <f>'Stmt BG - Page 3'!D37</f>
        <v>-880751.15672999993</v>
      </c>
      <c r="E14" s="31">
        <f>'Stmt BG - Page 3'!E37</f>
        <v>-870043.28717999998</v>
      </c>
      <c r="F14" s="31">
        <f>'Stmt BG - Page 3'!F37</f>
        <v>-907792.24547999993</v>
      </c>
      <c r="G14" s="31">
        <f>'Stmt BG - Page 3'!G37</f>
        <v>-917730.84104999993</v>
      </c>
      <c r="H14" s="31">
        <f>'Stmt BG - Page 3'!H37</f>
        <v>-967462.88615999999</v>
      </c>
      <c r="I14" s="17"/>
      <c r="J14" s="309">
        <f t="shared" si="1"/>
        <v>5</v>
      </c>
    </row>
    <row r="15" spans="1:16" x14ac:dyDescent="0.35">
      <c r="A15" s="308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309">
        <f t="shared" si="1"/>
        <v>6</v>
      </c>
    </row>
    <row r="16" spans="1:16" ht="18.5" x14ac:dyDescent="0.35">
      <c r="A16" s="308">
        <f t="shared" si="0"/>
        <v>7</v>
      </c>
      <c r="B16" s="62" t="s">
        <v>324</v>
      </c>
      <c r="C16" s="31">
        <f>'Stmt BG - Page 3'!C39</f>
        <v>-7506.2816400000002</v>
      </c>
      <c r="D16" s="31">
        <f>'Stmt BG - Page 3'!D39</f>
        <v>-7885.1474699999999</v>
      </c>
      <c r="E16" s="31">
        <f>'Stmt BG - Page 3'!E39</f>
        <v>-6853.43577</v>
      </c>
      <c r="F16" s="31">
        <f>'Stmt BG - Page 3'!F39</f>
        <v>-9013.1201999999994</v>
      </c>
      <c r="G16" s="31">
        <f>'Stmt BG - Page 3'!G39</f>
        <v>-10340.024519999999</v>
      </c>
      <c r="H16" s="31">
        <f>'Stmt BG - Page 3'!H39</f>
        <v>-11845.933199999999</v>
      </c>
      <c r="I16" s="17"/>
      <c r="J16" s="309">
        <f t="shared" si="1"/>
        <v>7</v>
      </c>
    </row>
    <row r="17" spans="1:18" x14ac:dyDescent="0.35">
      <c r="A17" s="308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309">
        <f t="shared" si="1"/>
        <v>8</v>
      </c>
    </row>
    <row r="18" spans="1:18" ht="18.5" x14ac:dyDescent="0.35">
      <c r="A18" s="308">
        <f t="shared" si="0"/>
        <v>9</v>
      </c>
      <c r="B18" s="62" t="s">
        <v>240</v>
      </c>
      <c r="C18" s="31">
        <f>'Stmt BG - Page 3'!C41</f>
        <v>-17228.865839999999</v>
      </c>
      <c r="D18" s="31">
        <f>'Stmt BG - Page 3'!D41</f>
        <v>-17851.05888</v>
      </c>
      <c r="E18" s="31">
        <f>'Stmt BG - Page 3'!E41</f>
        <v>-18352.19901</v>
      </c>
      <c r="F18" s="31">
        <f>'Stmt BG - Page 3'!F41</f>
        <v>-20437.402020000001</v>
      </c>
      <c r="G18" s="31">
        <f>'Stmt BG - Page 3'!G41</f>
        <v>-21833.101469999998</v>
      </c>
      <c r="H18" s="31">
        <f>'Stmt BG - Page 3'!H41</f>
        <v>-23612.238659999999</v>
      </c>
      <c r="I18" s="17"/>
      <c r="J18" s="309">
        <f t="shared" si="1"/>
        <v>9</v>
      </c>
    </row>
    <row r="19" spans="1:18" x14ac:dyDescent="0.35">
      <c r="A19" s="308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309">
        <f t="shared" si="1"/>
        <v>10</v>
      </c>
    </row>
    <row r="20" spans="1:18" ht="18.5" x14ac:dyDescent="0.35">
      <c r="A20" s="308">
        <f t="shared" si="0"/>
        <v>11</v>
      </c>
      <c r="B20" s="17" t="s">
        <v>241</v>
      </c>
      <c r="C20" s="38">
        <f>'Stmt BG - Page 3'!C43</f>
        <v>-9068.5710600000002</v>
      </c>
      <c r="D20" s="38">
        <f>'Stmt BG - Page 3'!D43</f>
        <v>-8650.8347699999995</v>
      </c>
      <c r="E20" s="38">
        <f>'Stmt BG - Page 3'!E43</f>
        <v>-8679.7028699999992</v>
      </c>
      <c r="F20" s="38">
        <f>'Stmt BG - Page 3'!F43</f>
        <v>-8469.0137099999993</v>
      </c>
      <c r="G20" s="38">
        <f>'Stmt BG - Page 3'!G43</f>
        <v>-8533.3390199999994</v>
      </c>
      <c r="H20" s="38">
        <f>'Stmt BG - Page 3'!H43</f>
        <v>-8794.4151299999994</v>
      </c>
      <c r="I20" s="17"/>
      <c r="J20" s="309">
        <f t="shared" si="1"/>
        <v>11</v>
      </c>
    </row>
    <row r="21" spans="1:18" x14ac:dyDescent="0.35">
      <c r="A21" s="308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309">
        <f t="shared" si="1"/>
        <v>12</v>
      </c>
    </row>
    <row r="22" spans="1:18" x14ac:dyDescent="0.35">
      <c r="A22" s="308">
        <f t="shared" si="0"/>
        <v>13</v>
      </c>
      <c r="B22" s="449" t="s">
        <v>33</v>
      </c>
      <c r="C22" s="597">
        <f t="shared" ref="C22:H22" si="2">SUM(C10:C20)</f>
        <v>-1818503.33877</v>
      </c>
      <c r="D22" s="597">
        <f t="shared" si="2"/>
        <v>-1679243.2713599999</v>
      </c>
      <c r="E22" s="597">
        <f t="shared" si="2"/>
        <v>-1627967.42496</v>
      </c>
      <c r="F22" s="597">
        <f t="shared" si="2"/>
        <v>-1603309.3775699998</v>
      </c>
      <c r="G22" s="597">
        <f t="shared" si="2"/>
        <v>-1609717.11054</v>
      </c>
      <c r="H22" s="597">
        <f t="shared" si="2"/>
        <v>-1705882.1082900004</v>
      </c>
      <c r="I22" s="12"/>
      <c r="J22" s="309">
        <f t="shared" si="1"/>
        <v>13</v>
      </c>
    </row>
    <row r="23" spans="1:18" ht="16" thickBot="1" x14ac:dyDescent="0.4">
      <c r="A23" s="349"/>
      <c r="B23" s="669"/>
      <c r="C23" s="670"/>
      <c r="D23" s="805"/>
      <c r="E23" s="671"/>
      <c r="F23" s="805"/>
      <c r="G23" s="671"/>
      <c r="H23" s="805"/>
      <c r="I23" s="672"/>
      <c r="J23" s="473"/>
      <c r="R23" s="164"/>
    </row>
    <row r="24" spans="1:18" ht="16" thickBot="1" x14ac:dyDescent="0.4">
      <c r="A24" s="37"/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</row>
    <row r="25" spans="1:18" x14ac:dyDescent="0.35">
      <c r="A25" s="902" t="s">
        <v>93</v>
      </c>
      <c r="B25" s="673"/>
      <c r="C25" s="662" t="str">
        <f t="shared" ref="C25:I25" si="3">C7</f>
        <v>(A)</v>
      </c>
      <c r="D25" s="662" t="str">
        <f t="shared" si="3"/>
        <v>(B)</v>
      </c>
      <c r="E25" s="662" t="str">
        <f t="shared" si="3"/>
        <v>(C)</v>
      </c>
      <c r="F25" s="662" t="str">
        <f t="shared" si="3"/>
        <v>(D)</v>
      </c>
      <c r="G25" s="662" t="str">
        <f t="shared" si="3"/>
        <v>(E)</v>
      </c>
      <c r="H25" s="662" t="str">
        <f t="shared" si="3"/>
        <v>(F)</v>
      </c>
      <c r="I25" s="662" t="str">
        <f t="shared" si="3"/>
        <v>(G)</v>
      </c>
      <c r="J25" s="903" t="s">
        <v>93</v>
      </c>
      <c r="K25" s="462"/>
      <c r="L25" s="462"/>
      <c r="M25" s="462"/>
      <c r="N25" s="462"/>
      <c r="O25" s="462"/>
    </row>
    <row r="26" spans="1:18" ht="16" thickBot="1" x14ac:dyDescent="0.4">
      <c r="A26" s="904" t="s">
        <v>87</v>
      </c>
      <c r="B26" s="269" t="s">
        <v>221</v>
      </c>
      <c r="C26" s="807">
        <v>44378</v>
      </c>
      <c r="D26" s="807">
        <v>44409</v>
      </c>
      <c r="E26" s="807">
        <v>44440</v>
      </c>
      <c r="F26" s="807">
        <v>44470</v>
      </c>
      <c r="G26" s="807">
        <v>44501</v>
      </c>
      <c r="H26" s="807">
        <v>44531</v>
      </c>
      <c r="I26" s="803"/>
      <c r="J26" s="804" t="s">
        <v>87</v>
      </c>
      <c r="K26" s="462"/>
      <c r="L26" s="462"/>
      <c r="M26" s="462"/>
      <c r="N26" s="462"/>
      <c r="O26" s="462"/>
    </row>
    <row r="27" spans="1:18" x14ac:dyDescent="0.35">
      <c r="A27" s="308"/>
      <c r="B27" s="10"/>
      <c r="C27" s="10"/>
      <c r="D27" s="10"/>
      <c r="E27" s="10"/>
      <c r="F27" s="10"/>
      <c r="G27" s="10"/>
      <c r="H27" s="10"/>
      <c r="I27" s="10"/>
      <c r="J27" s="309"/>
      <c r="K27" s="462"/>
      <c r="L27" s="462"/>
      <c r="M27" s="462"/>
      <c r="N27" s="462"/>
      <c r="O27" s="462"/>
    </row>
    <row r="28" spans="1:18" ht="18.5" x14ac:dyDescent="0.35">
      <c r="A28" s="308">
        <f>A22+1</f>
        <v>14</v>
      </c>
      <c r="B28" s="17" t="s">
        <v>321</v>
      </c>
      <c r="C28" s="19">
        <f>'Stmt BG - Page 4'!C33</f>
        <v>-596356.83588000003</v>
      </c>
      <c r="D28" s="19">
        <f>'Stmt BG - Page 4'!D33</f>
        <v>-679083.82287000003</v>
      </c>
      <c r="E28" s="19">
        <f>'Stmt BG - Page 4'!E33</f>
        <v>-731138.38595999999</v>
      </c>
      <c r="F28" s="19">
        <f>'Stmt BG - Page 4'!F33</f>
        <v>-605356.94513999997</v>
      </c>
      <c r="G28" s="19">
        <f>'Stmt BG - Page 4'!G33</f>
        <v>-541350.08828999999</v>
      </c>
      <c r="H28" s="19">
        <f>'Stmt BG - Page 4'!H33</f>
        <v>-624394.68833999999</v>
      </c>
      <c r="I28" s="19">
        <f>SUM(C10:H10,C28:H28)</f>
        <v>-6900423.8007300003</v>
      </c>
      <c r="J28" s="309">
        <f>J22+1</f>
        <v>14</v>
      </c>
      <c r="K28" s="462"/>
      <c r="L28" s="462"/>
      <c r="M28" s="462"/>
      <c r="N28" s="462"/>
      <c r="O28" s="462"/>
    </row>
    <row r="29" spans="1:18" x14ac:dyDescent="0.35">
      <c r="A29" s="308">
        <f>A28+1</f>
        <v>15</v>
      </c>
      <c r="B29" s="449"/>
      <c r="C29" s="459"/>
      <c r="D29" s="459"/>
      <c r="E29" s="459"/>
      <c r="F29" s="459"/>
      <c r="G29" s="459"/>
      <c r="H29" s="459"/>
      <c r="I29" s="459"/>
      <c r="J29" s="309">
        <f>J28+1</f>
        <v>15</v>
      </c>
      <c r="K29" s="462"/>
      <c r="L29" s="462"/>
      <c r="M29" s="462"/>
      <c r="N29" s="462"/>
      <c r="O29" s="462"/>
    </row>
    <row r="30" spans="1:18" ht="18.5" x14ac:dyDescent="0.35">
      <c r="A30" s="308">
        <f t="shared" ref="A30:A40" si="4">A29+1</f>
        <v>16</v>
      </c>
      <c r="B30" s="17" t="s">
        <v>322</v>
      </c>
      <c r="C30" s="31">
        <f>'Stmt BG - Page 4'!C35</f>
        <v>-243530.25347999998</v>
      </c>
      <c r="D30" s="31">
        <f>'Stmt BG - Page 4'!D35</f>
        <v>-251517.98540999999</v>
      </c>
      <c r="E30" s="31">
        <f>'Stmt BG - Page 4'!E35</f>
        <v>-258908.07879</v>
      </c>
      <c r="F30" s="31">
        <f>'Stmt BG - Page 4'!F35</f>
        <v>-235595.48658</v>
      </c>
      <c r="G30" s="31">
        <f>'Stmt BG - Page 4'!G35</f>
        <v>-217304.63381999999</v>
      </c>
      <c r="H30" s="31">
        <f>'Stmt BG - Page 4'!H35</f>
        <v>-210015.77067</v>
      </c>
      <c r="I30" s="19">
        <f>SUM(C12:H12,C30:H30)</f>
        <v>-2670543.7248</v>
      </c>
      <c r="J30" s="309">
        <f t="shared" ref="J30:J40" si="5">J29+1</f>
        <v>16</v>
      </c>
      <c r="K30" s="462"/>
      <c r="L30" s="462"/>
      <c r="M30" s="462"/>
      <c r="N30" s="462"/>
      <c r="O30" s="462"/>
    </row>
    <row r="31" spans="1:18" x14ac:dyDescent="0.35">
      <c r="A31" s="308">
        <f t="shared" si="4"/>
        <v>17</v>
      </c>
      <c r="B31" s="451"/>
      <c r="C31" s="460"/>
      <c r="D31" s="460"/>
      <c r="E31" s="460"/>
      <c r="F31" s="460"/>
      <c r="G31" s="460"/>
      <c r="H31" s="460"/>
      <c r="I31" s="31"/>
      <c r="J31" s="309">
        <f t="shared" si="5"/>
        <v>17</v>
      </c>
      <c r="K31" s="462"/>
      <c r="L31" s="462"/>
      <c r="M31" s="462"/>
      <c r="N31" s="462"/>
      <c r="O31" s="462"/>
    </row>
    <row r="32" spans="1:18" ht="18.5" x14ac:dyDescent="0.35">
      <c r="A32" s="308">
        <f t="shared" si="4"/>
        <v>18</v>
      </c>
      <c r="B32" s="17" t="s">
        <v>323</v>
      </c>
      <c r="C32" s="31">
        <f>'Stmt BG - Page 4'!C37</f>
        <v>-1054853.42922</v>
      </c>
      <c r="D32" s="31">
        <f>'Stmt BG - Page 4'!D37</f>
        <v>-1075339.2637199999</v>
      </c>
      <c r="E32" s="31">
        <f>'Stmt BG - Page 4'!E37</f>
        <v>-1125374.4509400001</v>
      </c>
      <c r="F32" s="31">
        <f>'Stmt BG - Page 4'!F37</f>
        <v>-1033237.9787099999</v>
      </c>
      <c r="G32" s="31">
        <f>'Stmt BG - Page 4'!G37</f>
        <v>-979170.06059999997</v>
      </c>
      <c r="H32" s="31">
        <f>'Stmt BG - Page 4'!H37</f>
        <v>-919236.66362999985</v>
      </c>
      <c r="I32" s="19">
        <f>SUM(C14:H14,C32:H32)</f>
        <v>-11630465.242769999</v>
      </c>
      <c r="J32" s="309">
        <f t="shared" si="5"/>
        <v>18</v>
      </c>
      <c r="K32" s="462"/>
      <c r="L32" s="462"/>
      <c r="M32" s="462"/>
      <c r="N32" s="462"/>
      <c r="O32" s="462"/>
    </row>
    <row r="33" spans="1:15" x14ac:dyDescent="0.35">
      <c r="A33" s="308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309">
        <f t="shared" si="5"/>
        <v>19</v>
      </c>
      <c r="K33" s="462"/>
      <c r="L33" s="462"/>
      <c r="M33" s="462"/>
      <c r="N33" s="462"/>
      <c r="O33" s="462"/>
    </row>
    <row r="34" spans="1:15" ht="18.5" x14ac:dyDescent="0.35">
      <c r="A34" s="308">
        <f t="shared" si="4"/>
        <v>20</v>
      </c>
      <c r="B34" s="62" t="s">
        <v>324</v>
      </c>
      <c r="C34" s="31">
        <f>'Stmt BG - Page 4'!C39</f>
        <v>-13747.995359999999</v>
      </c>
      <c r="D34" s="31">
        <f>'Stmt BG - Page 4'!D39</f>
        <v>-13663.30494</v>
      </c>
      <c r="E34" s="31">
        <f>'Stmt BG - Page 4'!E39</f>
        <v>-14110.91301</v>
      </c>
      <c r="F34" s="31">
        <f>'Stmt BG - Page 4'!F39</f>
        <v>-12297.39486</v>
      </c>
      <c r="G34" s="31">
        <f>'Stmt BG - Page 4'!G39</f>
        <v>-11322.25086</v>
      </c>
      <c r="H34" s="31">
        <f>'Stmt BG - Page 4'!H39</f>
        <v>-9154.9392000000007</v>
      </c>
      <c r="I34" s="19">
        <f>SUM(C16:H16,C34:H34)</f>
        <v>-127740.74103</v>
      </c>
      <c r="J34" s="309">
        <f t="shared" si="5"/>
        <v>20</v>
      </c>
      <c r="K34" s="462"/>
      <c r="L34" s="462"/>
      <c r="M34" s="462"/>
      <c r="N34" s="462"/>
      <c r="O34" s="462"/>
    </row>
    <row r="35" spans="1:15" x14ac:dyDescent="0.35">
      <c r="A35" s="308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309">
        <f t="shared" si="5"/>
        <v>21</v>
      </c>
      <c r="K35" s="462"/>
      <c r="L35" s="462"/>
      <c r="M35" s="462"/>
      <c r="N35" s="462"/>
      <c r="O35" s="462"/>
    </row>
    <row r="36" spans="1:15" ht="18.5" x14ac:dyDescent="0.35">
      <c r="A36" s="308">
        <f t="shared" si="4"/>
        <v>22</v>
      </c>
      <c r="B36" s="62" t="s">
        <v>240</v>
      </c>
      <c r="C36" s="31">
        <f>'Stmt BG - Page 4'!C41</f>
        <v>-25907.4162</v>
      </c>
      <c r="D36" s="31">
        <f>'Stmt BG - Page 4'!D41</f>
        <v>-24426.450689999998</v>
      </c>
      <c r="E36" s="31">
        <f>'Stmt BG - Page 4'!E41</f>
        <v>-26414.369309999998</v>
      </c>
      <c r="F36" s="31">
        <f>'Stmt BG - Page 4'!F41</f>
        <v>-23513.660309999999</v>
      </c>
      <c r="G36" s="31">
        <f>'Stmt BG - Page 4'!G41</f>
        <v>-22065.81624</v>
      </c>
      <c r="H36" s="31">
        <f>'Stmt BG - Page 4'!H41</f>
        <v>-19113.519809999998</v>
      </c>
      <c r="I36" s="19">
        <f>SUM(C18:H18,C36:H36)</f>
        <v>-260756.09844</v>
      </c>
      <c r="J36" s="309">
        <f t="shared" si="5"/>
        <v>22</v>
      </c>
      <c r="K36" s="462"/>
      <c r="L36" s="462"/>
      <c r="M36" s="462"/>
      <c r="N36" s="462"/>
      <c r="O36" s="462"/>
    </row>
    <row r="37" spans="1:15" x14ac:dyDescent="0.35">
      <c r="A37" s="308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309">
        <f t="shared" si="5"/>
        <v>23</v>
      </c>
      <c r="K37" s="462"/>
      <c r="L37" s="462"/>
      <c r="M37" s="462"/>
      <c r="N37" s="462"/>
      <c r="O37" s="462"/>
    </row>
    <row r="38" spans="1:15" ht="18.5" x14ac:dyDescent="0.35">
      <c r="A38" s="308">
        <f t="shared" si="4"/>
        <v>24</v>
      </c>
      <c r="B38" s="17" t="s">
        <v>241</v>
      </c>
      <c r="C38" s="38">
        <f>'Stmt BG - Page 4'!C43</f>
        <v>-8889.68109</v>
      </c>
      <c r="D38" s="38">
        <f>'Stmt BG - Page 4'!D43</f>
        <v>-8451.9388500000005</v>
      </c>
      <c r="E38" s="38">
        <f>'Stmt BG - Page 4'!E43</f>
        <v>-8877.5336100000004</v>
      </c>
      <c r="F38" s="38">
        <f>'Stmt BG - Page 4'!F43</f>
        <v>-8535.2553599999992</v>
      </c>
      <c r="G38" s="38">
        <f>'Stmt BG - Page 4'!G43</f>
        <v>-8616.4230599999992</v>
      </c>
      <c r="H38" s="38">
        <f>'Stmt BG - Page 4'!H43</f>
        <v>-8904.0511800000004</v>
      </c>
      <c r="I38" s="14">
        <f>SUM(C20:H20,C38:H38)</f>
        <v>-104470.75970999998</v>
      </c>
      <c r="J38" s="309">
        <f t="shared" si="5"/>
        <v>24</v>
      </c>
      <c r="K38" s="462"/>
      <c r="L38" s="462"/>
      <c r="M38" s="462"/>
      <c r="N38" s="462"/>
      <c r="O38" s="462"/>
    </row>
    <row r="39" spans="1:15" x14ac:dyDescent="0.35">
      <c r="A39" s="308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309">
        <f t="shared" si="5"/>
        <v>25</v>
      </c>
      <c r="K39" s="462"/>
      <c r="L39" s="462"/>
      <c r="M39" s="462"/>
      <c r="N39" s="462"/>
      <c r="O39" s="462"/>
    </row>
    <row r="40" spans="1:15" x14ac:dyDescent="0.35">
      <c r="A40" s="308">
        <f t="shared" si="4"/>
        <v>26</v>
      </c>
      <c r="B40" s="449" t="s">
        <v>33</v>
      </c>
      <c r="C40" s="597">
        <f t="shared" ref="C40:I40" si="6">SUM(C28:C38)</f>
        <v>-1943285.6112300002</v>
      </c>
      <c r="D40" s="597">
        <f t="shared" si="6"/>
        <v>-2052482.76648</v>
      </c>
      <c r="E40" s="597">
        <f t="shared" si="6"/>
        <v>-2164823.7316199997</v>
      </c>
      <c r="F40" s="597">
        <f t="shared" si="6"/>
        <v>-1918536.7209600001</v>
      </c>
      <c r="G40" s="597">
        <f t="shared" si="6"/>
        <v>-1779829.27287</v>
      </c>
      <c r="H40" s="597">
        <f t="shared" si="6"/>
        <v>-1790819.6328299996</v>
      </c>
      <c r="I40" s="597">
        <f t="shared" si="6"/>
        <v>-21694400.367479995</v>
      </c>
      <c r="J40" s="309">
        <f t="shared" si="5"/>
        <v>26</v>
      </c>
      <c r="K40" s="462"/>
      <c r="L40" s="462"/>
      <c r="M40" s="462"/>
      <c r="N40" s="462"/>
      <c r="O40" s="462"/>
    </row>
    <row r="41" spans="1:15" ht="16" thickBot="1" x14ac:dyDescent="0.4">
      <c r="A41" s="349"/>
      <c r="B41" s="669"/>
      <c r="C41" s="805"/>
      <c r="D41" s="671"/>
      <c r="E41" s="670"/>
      <c r="F41" s="805"/>
      <c r="G41" s="671"/>
      <c r="H41" s="805"/>
      <c r="I41" s="306"/>
      <c r="J41" s="473"/>
      <c r="K41" s="462"/>
      <c r="L41" s="462"/>
      <c r="M41" s="462"/>
      <c r="N41" s="462"/>
      <c r="O41" s="462"/>
    </row>
    <row r="42" spans="1:15" x14ac:dyDescent="0.35">
      <c r="A42" s="551"/>
      <c r="B42" s="462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3"/>
    </row>
    <row r="43" spans="1:15" ht="18.5" x14ac:dyDescent="0.35">
      <c r="A43" s="90" t="s">
        <v>36</v>
      </c>
      <c r="B43" s="22" t="s">
        <v>374</v>
      </c>
      <c r="C43" s="426"/>
      <c r="D43" s="426"/>
      <c r="F43" s="606">
        <v>4</v>
      </c>
      <c r="G43" s="22" t="s">
        <v>377</v>
      </c>
    </row>
    <row r="44" spans="1:15" ht="18.5" x14ac:dyDescent="0.35">
      <c r="A44" s="90">
        <v>2</v>
      </c>
      <c r="B44" s="22" t="s">
        <v>375</v>
      </c>
      <c r="C44" s="982"/>
      <c r="D44" s="982"/>
      <c r="F44" s="606">
        <v>5</v>
      </c>
      <c r="G44" s="22" t="s">
        <v>378</v>
      </c>
    </row>
    <row r="45" spans="1:15" ht="18.5" x14ac:dyDescent="0.35">
      <c r="A45" s="90">
        <v>3</v>
      </c>
      <c r="B45" s="22" t="s">
        <v>376</v>
      </c>
      <c r="C45" s="426"/>
      <c r="D45" s="426"/>
      <c r="F45" s="606">
        <v>6</v>
      </c>
      <c r="G45" s="22" t="s">
        <v>325</v>
      </c>
    </row>
    <row r="46" spans="1:15" x14ac:dyDescent="0.35">
      <c r="C46" s="426"/>
      <c r="D46" s="426"/>
    </row>
    <row r="47" spans="1:15" x14ac:dyDescent="0.35">
      <c r="C47" s="426"/>
      <c r="D47" s="426"/>
    </row>
    <row r="48" spans="1:15" x14ac:dyDescent="0.35">
      <c r="C48" s="287"/>
      <c r="D48" s="287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  <row r="53" spans="1:1" x14ac:dyDescent="0.35">
      <c r="A53" s="37"/>
    </row>
    <row r="54" spans="1:1" x14ac:dyDescent="0.35">
      <c r="A54" s="37"/>
    </row>
    <row r="55" spans="1:1" x14ac:dyDescent="0.35">
      <c r="A55" s="37"/>
    </row>
    <row r="56" spans="1:1" x14ac:dyDescent="0.35">
      <c r="A56" s="37"/>
    </row>
    <row r="57" spans="1:1" x14ac:dyDescent="0.35">
      <c r="A57" s="37"/>
    </row>
    <row r="58" spans="1:1" x14ac:dyDescent="0.35">
      <c r="A58" s="37"/>
    </row>
    <row r="59" spans="1:1" x14ac:dyDescent="0.35">
      <c r="A59" s="37"/>
    </row>
    <row r="60" spans="1:1" x14ac:dyDescent="0.35">
      <c r="A60" s="37"/>
    </row>
    <row r="61" spans="1:1" x14ac:dyDescent="0.35">
      <c r="A61" s="37"/>
    </row>
    <row r="62" spans="1:1" x14ac:dyDescent="0.35">
      <c r="A62" s="37"/>
    </row>
    <row r="63" spans="1:1" x14ac:dyDescent="0.35">
      <c r="A63" s="37"/>
    </row>
    <row r="64" spans="1:1" x14ac:dyDescent="0.35">
      <c r="A64" s="37"/>
    </row>
    <row r="65" spans="1:1" x14ac:dyDescent="0.35">
      <c r="A65" s="37"/>
    </row>
    <row r="66" spans="1:1" x14ac:dyDescent="0.35">
      <c r="A66" s="37"/>
    </row>
    <row r="67" spans="1:1" x14ac:dyDescent="0.35">
      <c r="A67" s="37"/>
    </row>
    <row r="68" spans="1:1" x14ac:dyDescent="0.35">
      <c r="A68" s="37"/>
    </row>
    <row r="69" spans="1:1" x14ac:dyDescent="0.35">
      <c r="A69" s="37"/>
    </row>
    <row r="70" spans="1:1" x14ac:dyDescent="0.35">
      <c r="A70" s="37"/>
    </row>
    <row r="71" spans="1:1" x14ac:dyDescent="0.35">
      <c r="A71" s="37"/>
    </row>
    <row r="72" spans="1:1" x14ac:dyDescent="0.35">
      <c r="A72" s="37"/>
    </row>
    <row r="73" spans="1:1" x14ac:dyDescent="0.35">
      <c r="A73" s="37"/>
    </row>
    <row r="74" spans="1:1" x14ac:dyDescent="0.35">
      <c r="A74" s="37"/>
    </row>
    <row r="75" spans="1:1" x14ac:dyDescent="0.35">
      <c r="A75" s="37"/>
    </row>
    <row r="76" spans="1:1" x14ac:dyDescent="0.35">
      <c r="A76" s="37"/>
    </row>
    <row r="77" spans="1:1" x14ac:dyDescent="0.35">
      <c r="A77" s="37"/>
    </row>
    <row r="78" spans="1:1" x14ac:dyDescent="0.35">
      <c r="A78" s="37"/>
    </row>
    <row r="79" spans="1:1" x14ac:dyDescent="0.35">
      <c r="A79" s="37"/>
    </row>
    <row r="80" spans="1:1" x14ac:dyDescent="0.35">
      <c r="A80" s="37"/>
    </row>
    <row r="81" spans="1:1" x14ac:dyDescent="0.35">
      <c r="A81" s="37"/>
    </row>
    <row r="82" spans="1:1" x14ac:dyDescent="0.35">
      <c r="A82" s="37"/>
    </row>
    <row r="83" spans="1:1" x14ac:dyDescent="0.35">
      <c r="A83" s="37"/>
    </row>
    <row r="84" spans="1:1" x14ac:dyDescent="0.35">
      <c r="A84" s="37"/>
    </row>
    <row r="85" spans="1:1" x14ac:dyDescent="0.35">
      <c r="A85" s="37"/>
    </row>
    <row r="86" spans="1:1" x14ac:dyDescent="0.35">
      <c r="A86" s="37"/>
    </row>
    <row r="87" spans="1:1" x14ac:dyDescent="0.35">
      <c r="A87" s="37"/>
    </row>
    <row r="88" spans="1:1" x14ac:dyDescent="0.35">
      <c r="A88" s="37"/>
    </row>
    <row r="89" spans="1:1" x14ac:dyDescent="0.35">
      <c r="A89" s="37"/>
    </row>
    <row r="90" spans="1:1" x14ac:dyDescent="0.35">
      <c r="A90" s="37"/>
    </row>
    <row r="91" spans="1:1" x14ac:dyDescent="0.35">
      <c r="A91" s="37"/>
    </row>
    <row r="92" spans="1:1" x14ac:dyDescent="0.35">
      <c r="A92" s="37"/>
    </row>
    <row r="93" spans="1:1" x14ac:dyDescent="0.35">
      <c r="A93" s="37"/>
    </row>
    <row r="94" spans="1:1" x14ac:dyDescent="0.35">
      <c r="A94" s="37"/>
    </row>
    <row r="95" spans="1:1" x14ac:dyDescent="0.35">
      <c r="A95" s="37"/>
    </row>
    <row r="96" spans="1:1" x14ac:dyDescent="0.35">
      <c r="A96" s="37"/>
    </row>
    <row r="97" spans="1:1" x14ac:dyDescent="0.35">
      <c r="A97" s="37"/>
    </row>
    <row r="98" spans="1:1" x14ac:dyDescent="0.35">
      <c r="A98" s="37"/>
    </row>
    <row r="99" spans="1:1" x14ac:dyDescent="0.35">
      <c r="A99" s="37"/>
    </row>
    <row r="100" spans="1:1" x14ac:dyDescent="0.35">
      <c r="A100" s="37"/>
    </row>
    <row r="101" spans="1:1" x14ac:dyDescent="0.35">
      <c r="A101" s="37"/>
    </row>
    <row r="102" spans="1:1" x14ac:dyDescent="0.35">
      <c r="A102" s="37"/>
    </row>
    <row r="103" spans="1:1" x14ac:dyDescent="0.35">
      <c r="A103" s="37"/>
    </row>
    <row r="104" spans="1:1" x14ac:dyDescent="0.35">
      <c r="A104" s="37"/>
    </row>
    <row r="105" spans="1:1" x14ac:dyDescent="0.35">
      <c r="A105" s="37"/>
    </row>
    <row r="106" spans="1:1" x14ac:dyDescent="0.35">
      <c r="A106" s="37"/>
    </row>
    <row r="107" spans="1:1" x14ac:dyDescent="0.35">
      <c r="A107" s="37"/>
    </row>
    <row r="108" spans="1:1" x14ac:dyDescent="0.35">
      <c r="A108" s="37"/>
    </row>
    <row r="109" spans="1:1" x14ac:dyDescent="0.35">
      <c r="A109" s="37"/>
    </row>
    <row r="110" spans="1:1" x14ac:dyDescent="0.35">
      <c r="A110" s="37"/>
    </row>
    <row r="111" spans="1:1" x14ac:dyDescent="0.35">
      <c r="A111" s="37"/>
    </row>
    <row r="112" spans="1:1" x14ac:dyDescent="0.35">
      <c r="A112" s="37"/>
    </row>
    <row r="113" spans="1:1" x14ac:dyDescent="0.35">
      <c r="A113" s="37"/>
    </row>
    <row r="114" spans="1:1" x14ac:dyDescent="0.35">
      <c r="A114" s="37"/>
    </row>
    <row r="115" spans="1:1" x14ac:dyDescent="0.35">
      <c r="A115" s="37"/>
    </row>
    <row r="116" spans="1:1" x14ac:dyDescent="0.35">
      <c r="A116" s="37"/>
    </row>
    <row r="117" spans="1:1" x14ac:dyDescent="0.35">
      <c r="A117" s="37"/>
    </row>
    <row r="118" spans="1:1" x14ac:dyDescent="0.35">
      <c r="A118" s="37"/>
    </row>
    <row r="119" spans="1:1" x14ac:dyDescent="0.35">
      <c r="A119" s="37"/>
    </row>
    <row r="120" spans="1:1" x14ac:dyDescent="0.35">
      <c r="A120" s="37"/>
    </row>
    <row r="121" spans="1:1" x14ac:dyDescent="0.35">
      <c r="A121" s="37"/>
    </row>
    <row r="122" spans="1:1" x14ac:dyDescent="0.35">
      <c r="A122" s="37"/>
    </row>
    <row r="123" spans="1:1" x14ac:dyDescent="0.35">
      <c r="A123" s="37"/>
    </row>
    <row r="124" spans="1:1" x14ac:dyDescent="0.35">
      <c r="A124" s="37"/>
    </row>
    <row r="125" spans="1:1" x14ac:dyDescent="0.35">
      <c r="A125" s="37"/>
    </row>
    <row r="126" spans="1:1" x14ac:dyDescent="0.35">
      <c r="A126" s="37"/>
    </row>
    <row r="127" spans="1:1" x14ac:dyDescent="0.35">
      <c r="A127" s="37"/>
    </row>
    <row r="128" spans="1:1" x14ac:dyDescent="0.35">
      <c r="A128" s="37"/>
    </row>
    <row r="129" spans="1:1" x14ac:dyDescent="0.35">
      <c r="A129" s="37"/>
    </row>
    <row r="130" spans="1:1" x14ac:dyDescent="0.35">
      <c r="A130" s="37"/>
    </row>
    <row r="131" spans="1:1" x14ac:dyDescent="0.35">
      <c r="A131" s="37"/>
    </row>
    <row r="132" spans="1:1" x14ac:dyDescent="0.35">
      <c r="A132" s="37"/>
    </row>
    <row r="133" spans="1:1" x14ac:dyDescent="0.35">
      <c r="A133" s="37"/>
    </row>
    <row r="134" spans="1:1" x14ac:dyDescent="0.35">
      <c r="A134" s="37"/>
    </row>
    <row r="135" spans="1:1" x14ac:dyDescent="0.35">
      <c r="A135" s="37"/>
    </row>
    <row r="136" spans="1:1" x14ac:dyDescent="0.35">
      <c r="A136" s="37"/>
    </row>
    <row r="137" spans="1:1" x14ac:dyDescent="0.35">
      <c r="A137" s="37"/>
    </row>
    <row r="138" spans="1:1" x14ac:dyDescent="0.35">
      <c r="A138" s="37"/>
    </row>
    <row r="139" spans="1:1" x14ac:dyDescent="0.35">
      <c r="A139" s="37"/>
    </row>
    <row r="140" spans="1:1" x14ac:dyDescent="0.35">
      <c r="A140" s="37"/>
    </row>
    <row r="141" spans="1:1" x14ac:dyDescent="0.35">
      <c r="A141" s="37"/>
    </row>
    <row r="142" spans="1:1" x14ac:dyDescent="0.35">
      <c r="A142" s="37"/>
    </row>
    <row r="143" spans="1:1" x14ac:dyDescent="0.3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75" orientation="landscape" r:id="rId1"/>
  <headerFooter alignWithMargins="0">
    <oddFooter>&amp;L&amp;"Times New Roman,Regular"&amp;14&amp;F&amp;C&amp;"Times New Roman,Regular"&amp;14Page 2 of 4&amp;R&amp;"Times New Roman,Regular"&amp;14Stmt BG - Page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122"/>
  <sheetViews>
    <sheetView zoomScale="80" zoomScaleNormal="80" workbookViewId="0"/>
  </sheetViews>
  <sheetFormatPr defaultColWidth="9.1796875" defaultRowHeight="12.5" x14ac:dyDescent="0.25"/>
  <cols>
    <col min="1" max="1" width="5.54296875" style="287" customWidth="1"/>
    <col min="2" max="2" width="45.54296875" style="287" customWidth="1"/>
    <col min="3" max="8" width="15.54296875" style="287" customWidth="1"/>
    <col min="9" max="9" width="40.54296875" style="287" customWidth="1"/>
    <col min="10" max="10" width="5.54296875" style="287" customWidth="1"/>
    <col min="11" max="16384" width="9.1796875" style="287"/>
  </cols>
  <sheetData>
    <row r="2" spans="1:10" ht="15.5" x14ac:dyDescent="0.25">
      <c r="A2" s="5" t="s">
        <v>217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5" x14ac:dyDescent="0.25">
      <c r="A3" s="487" t="s">
        <v>228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5" x14ac:dyDescent="0.25">
      <c r="A4" s="5" t="str">
        <f>'Stmt BG - Page 1'!A4</f>
        <v>Transmission Revenue Balancing Account Adjustment (TRBAA) Revenues Data to Reflect Changed Rates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.5" x14ac:dyDescent="0.25">
      <c r="A5" s="487" t="str">
        <f>'Stmt BG - Page 1'!A6</f>
        <v>Rate Effective Period - Twelve Months Ending December 31, 2021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" thickBot="1" x14ac:dyDescent="0.4">
      <c r="A6" s="458"/>
      <c r="B6" s="22"/>
      <c r="C6" s="22"/>
      <c r="D6" s="22"/>
      <c r="E6" s="22"/>
      <c r="F6" s="22"/>
      <c r="G6" s="22"/>
      <c r="H6" s="22"/>
      <c r="I6" s="22"/>
      <c r="J6" s="22"/>
    </row>
    <row r="7" spans="1:10" ht="15" x14ac:dyDescent="0.3">
      <c r="A7" s="661"/>
      <c r="B7" s="525"/>
      <c r="C7" s="674" t="s">
        <v>115</v>
      </c>
      <c r="D7" s="674" t="s">
        <v>132</v>
      </c>
      <c r="E7" s="674" t="s">
        <v>229</v>
      </c>
      <c r="F7" s="674" t="s">
        <v>230</v>
      </c>
      <c r="G7" s="674" t="s">
        <v>231</v>
      </c>
      <c r="H7" s="675" t="s">
        <v>232</v>
      </c>
      <c r="I7" s="675" t="s">
        <v>233</v>
      </c>
      <c r="J7" s="663"/>
    </row>
    <row r="8" spans="1:10" ht="15" x14ac:dyDescent="0.3">
      <c r="A8" s="655" t="s">
        <v>93</v>
      </c>
      <c r="B8" s="82"/>
      <c r="C8" s="676">
        <f>'Stmt BG - Page 2'!C8</f>
        <v>44197</v>
      </c>
      <c r="D8" s="676">
        <f>'Stmt BG - Page 2'!D8</f>
        <v>44228</v>
      </c>
      <c r="E8" s="676">
        <f>'Stmt BG - Page 2'!E8</f>
        <v>44256</v>
      </c>
      <c r="F8" s="676">
        <f>'Stmt BG - Page 2'!F8</f>
        <v>44287</v>
      </c>
      <c r="G8" s="676">
        <f>'Stmt BG - Page 2'!G8</f>
        <v>44317</v>
      </c>
      <c r="H8" s="676">
        <f>'Stmt BG - Page 2'!H8</f>
        <v>44348</v>
      </c>
      <c r="I8" s="677"/>
      <c r="J8" s="656" t="s">
        <v>93</v>
      </c>
    </row>
    <row r="9" spans="1:10" ht="15.5" thickBot="1" x14ac:dyDescent="0.35">
      <c r="A9" s="678" t="s">
        <v>87</v>
      </c>
      <c r="B9" s="174" t="s">
        <v>221</v>
      </c>
      <c r="C9" s="174" t="s">
        <v>242</v>
      </c>
      <c r="D9" s="174" t="s">
        <v>242</v>
      </c>
      <c r="E9" s="174" t="s">
        <v>242</v>
      </c>
      <c r="F9" s="174" t="s">
        <v>242</v>
      </c>
      <c r="G9" s="174" t="s">
        <v>242</v>
      </c>
      <c r="H9" s="174" t="s">
        <v>242</v>
      </c>
      <c r="I9" s="174" t="s">
        <v>91</v>
      </c>
      <c r="J9" s="679" t="s">
        <v>87</v>
      </c>
    </row>
    <row r="10" spans="1:10" ht="15.5" x14ac:dyDescent="0.35">
      <c r="A10" s="308"/>
      <c r="B10" s="10"/>
      <c r="C10" s="81"/>
      <c r="D10" s="10"/>
      <c r="E10" s="10"/>
      <c r="F10" s="10"/>
      <c r="G10" s="10"/>
      <c r="H10" s="10"/>
      <c r="I10" s="10"/>
      <c r="J10" s="309"/>
    </row>
    <row r="11" spans="1:10" ht="15.5" x14ac:dyDescent="0.35">
      <c r="A11" s="308">
        <v>1</v>
      </c>
      <c r="B11" s="11" t="s">
        <v>223</v>
      </c>
      <c r="C11" s="31">
        <f>'WP 1.2 Forecast Sales'!C6*1000</f>
        <v>547062817</v>
      </c>
      <c r="D11" s="31">
        <f>'WP 1.2 Forecast Sales'!D6*1000</f>
        <v>454858804</v>
      </c>
      <c r="E11" s="31">
        <f>'WP 1.2 Forecast Sales'!E6*1000</f>
        <v>422927184</v>
      </c>
      <c r="F11" s="31">
        <f>'WP 1.2 Forecast Sales'!F6*1000</f>
        <v>368332159</v>
      </c>
      <c r="G11" s="31">
        <f>'WP 1.2 Forecast Sales'!G6*1000</f>
        <v>360315220</v>
      </c>
      <c r="H11" s="31">
        <f>'WP 1.2 Forecast Sales'!H6*1000</f>
        <v>385319291</v>
      </c>
      <c r="I11" s="285" t="s">
        <v>265</v>
      </c>
      <c r="J11" s="309">
        <v>1</v>
      </c>
    </row>
    <row r="12" spans="1:10" ht="15.5" x14ac:dyDescent="0.35">
      <c r="A12" s="308">
        <f>A11+1</f>
        <v>2</v>
      </c>
      <c r="B12" s="449"/>
      <c r="C12" s="465"/>
      <c r="D12" s="465"/>
      <c r="E12" s="465"/>
      <c r="F12" s="465"/>
      <c r="G12" s="465"/>
      <c r="H12" s="465"/>
      <c r="I12" s="466"/>
      <c r="J12" s="309">
        <f>J11+1</f>
        <v>2</v>
      </c>
    </row>
    <row r="13" spans="1:10" ht="15.5" x14ac:dyDescent="0.35">
      <c r="A13" s="308">
        <f t="shared" ref="A13:A45" si="0">A12+1</f>
        <v>3</v>
      </c>
      <c r="B13" s="11" t="s">
        <v>243</v>
      </c>
      <c r="C13" s="31">
        <f>'WP 1.2 Forecast Sales'!C7*1000</f>
        <v>172633639</v>
      </c>
      <c r="D13" s="31">
        <f>'WP 1.2 Forecast Sales'!D7*1000</f>
        <v>166364833</v>
      </c>
      <c r="E13" s="31">
        <f>'WP 1.2 Forecast Sales'!E7*1000</f>
        <v>165722247</v>
      </c>
      <c r="F13" s="31">
        <f>'WP 1.2 Forecast Sales'!F7*1000</f>
        <v>166300033</v>
      </c>
      <c r="G13" s="31">
        <f>'WP 1.2 Forecast Sales'!G7*1000</f>
        <v>169180556</v>
      </c>
      <c r="H13" s="31">
        <f>'WP 1.2 Forecast Sales'!H7*1000</f>
        <v>179043827</v>
      </c>
      <c r="I13" s="285" t="s">
        <v>266</v>
      </c>
      <c r="J13" s="309">
        <f t="shared" ref="J13:J45" si="1">J12+1</f>
        <v>3</v>
      </c>
    </row>
    <row r="14" spans="1:10" ht="15.5" x14ac:dyDescent="0.35">
      <c r="A14" s="308">
        <f t="shared" si="0"/>
        <v>4</v>
      </c>
      <c r="B14" s="451"/>
      <c r="C14" s="460"/>
      <c r="D14" s="460"/>
      <c r="E14" s="460"/>
      <c r="F14" s="460"/>
      <c r="G14" s="460"/>
      <c r="H14" s="460"/>
      <c r="I14" s="467"/>
      <c r="J14" s="309">
        <f t="shared" si="1"/>
        <v>4</v>
      </c>
    </row>
    <row r="15" spans="1:10" ht="15.5" x14ac:dyDescent="0.35">
      <c r="A15" s="308">
        <f t="shared" si="0"/>
        <v>5</v>
      </c>
      <c r="B15" s="17" t="s">
        <v>326</v>
      </c>
      <c r="C15" s="31">
        <f>'WP 1.2 Forecast Sales'!C8*1000</f>
        <v>731278845</v>
      </c>
      <c r="D15" s="31">
        <f>'WP 1.2 Forecast Sales'!D8*1000</f>
        <v>716057851</v>
      </c>
      <c r="E15" s="31">
        <f>'WP 1.2 Forecast Sales'!E8*1000</f>
        <v>707352266</v>
      </c>
      <c r="F15" s="31">
        <f>'WP 1.2 Forecast Sales'!F8*1000</f>
        <v>738042476</v>
      </c>
      <c r="G15" s="31">
        <f>'WP 1.2 Forecast Sales'!G8*1000</f>
        <v>746122635</v>
      </c>
      <c r="H15" s="31">
        <f>'WP 1.2 Forecast Sales'!H8*1000</f>
        <v>786555192</v>
      </c>
      <c r="I15" s="285" t="s">
        <v>267</v>
      </c>
      <c r="J15" s="309">
        <f t="shared" si="1"/>
        <v>5</v>
      </c>
    </row>
    <row r="16" spans="1:10" ht="15.5" x14ac:dyDescent="0.35">
      <c r="A16" s="308">
        <f t="shared" si="0"/>
        <v>6</v>
      </c>
      <c r="B16" s="11"/>
      <c r="C16" s="31"/>
      <c r="D16" s="31"/>
      <c r="E16" s="31"/>
      <c r="F16" s="31"/>
      <c r="G16" s="31"/>
      <c r="H16" s="31"/>
      <c r="I16" s="468"/>
      <c r="J16" s="309">
        <f t="shared" si="1"/>
        <v>6</v>
      </c>
    </row>
    <row r="17" spans="1:10" ht="15.5" x14ac:dyDescent="0.35">
      <c r="A17" s="308">
        <f t="shared" si="0"/>
        <v>7</v>
      </c>
      <c r="B17" s="11" t="s">
        <v>177</v>
      </c>
      <c r="C17" s="31">
        <f>'WP 1.2 Forecast Sales'!C9*1000</f>
        <v>6102668</v>
      </c>
      <c r="D17" s="31">
        <f>'WP 1.2 Forecast Sales'!D9*1000</f>
        <v>6410689</v>
      </c>
      <c r="E17" s="31">
        <f>'WP 1.2 Forecast Sales'!E9*1000</f>
        <v>5571899</v>
      </c>
      <c r="F17" s="31">
        <f>'WP 1.2 Forecast Sales'!F9*1000</f>
        <v>7327740</v>
      </c>
      <c r="G17" s="31">
        <f>'WP 1.2 Forecast Sales'!G9*1000</f>
        <v>8406524</v>
      </c>
      <c r="H17" s="31">
        <f>'WP 1.2 Forecast Sales'!H9*1000</f>
        <v>9630840</v>
      </c>
      <c r="I17" s="285" t="s">
        <v>268</v>
      </c>
      <c r="J17" s="309">
        <f t="shared" si="1"/>
        <v>7</v>
      </c>
    </row>
    <row r="18" spans="1:10" ht="15.5" x14ac:dyDescent="0.35">
      <c r="A18" s="308">
        <f t="shared" si="0"/>
        <v>8</v>
      </c>
      <c r="B18" s="11"/>
      <c r="C18" s="31"/>
      <c r="D18" s="31"/>
      <c r="E18" s="31"/>
      <c r="F18" s="31"/>
      <c r="G18" s="31"/>
      <c r="H18" s="31"/>
      <c r="I18" s="468"/>
      <c r="J18" s="309">
        <f t="shared" si="1"/>
        <v>8</v>
      </c>
    </row>
    <row r="19" spans="1:10" ht="15.5" x14ac:dyDescent="0.35">
      <c r="A19" s="308">
        <f t="shared" si="0"/>
        <v>9</v>
      </c>
      <c r="B19" s="11" t="s">
        <v>176</v>
      </c>
      <c r="C19" s="31">
        <f>'WP 1.2 Forecast Sales'!C10*1000</f>
        <v>14007208</v>
      </c>
      <c r="D19" s="31">
        <f>'WP 1.2 Forecast Sales'!D10*1000</f>
        <v>14513056</v>
      </c>
      <c r="E19" s="31">
        <f>'WP 1.2 Forecast Sales'!E10*1000</f>
        <v>14920487</v>
      </c>
      <c r="F19" s="31">
        <f>'WP 1.2 Forecast Sales'!F10*1000</f>
        <v>16615774.000000002</v>
      </c>
      <c r="G19" s="31">
        <f>'WP 1.2 Forecast Sales'!G10*1000</f>
        <v>17750489</v>
      </c>
      <c r="H19" s="31">
        <f>'WP 1.2 Forecast Sales'!H10*1000</f>
        <v>19196942</v>
      </c>
      <c r="I19" s="285" t="s">
        <v>269</v>
      </c>
      <c r="J19" s="309">
        <f t="shared" si="1"/>
        <v>9</v>
      </c>
    </row>
    <row r="20" spans="1:10" ht="15.5" x14ac:dyDescent="0.35">
      <c r="A20" s="308">
        <f t="shared" si="0"/>
        <v>10</v>
      </c>
      <c r="B20" s="11"/>
      <c r="C20" s="31"/>
      <c r="D20" s="31"/>
      <c r="E20" s="31"/>
      <c r="F20" s="31"/>
      <c r="G20" s="31"/>
      <c r="H20" s="31"/>
      <c r="I20" s="468"/>
      <c r="J20" s="309">
        <f t="shared" si="1"/>
        <v>10</v>
      </c>
    </row>
    <row r="21" spans="1:10" ht="15.5" x14ac:dyDescent="0.35">
      <c r="A21" s="308">
        <f t="shared" si="0"/>
        <v>11</v>
      </c>
      <c r="B21" s="11" t="s">
        <v>244</v>
      </c>
      <c r="C21" s="38">
        <f>'WP 1.2 Forecast Sales'!C11*1000</f>
        <v>7372822</v>
      </c>
      <c r="D21" s="38">
        <f>'WP 1.2 Forecast Sales'!D11*1000</f>
        <v>7033199</v>
      </c>
      <c r="E21" s="38">
        <f>'WP 1.2 Forecast Sales'!E11*1000</f>
        <v>7056669</v>
      </c>
      <c r="F21" s="38">
        <f>'WP 1.2 Forecast Sales'!F11*1000</f>
        <v>6885377</v>
      </c>
      <c r="G21" s="38">
        <f>'WP 1.2 Forecast Sales'!G11*1000</f>
        <v>6937674</v>
      </c>
      <c r="H21" s="38">
        <f>'WP 1.2 Forecast Sales'!H11*1000</f>
        <v>7149931</v>
      </c>
      <c r="I21" s="285" t="s">
        <v>270</v>
      </c>
      <c r="J21" s="309">
        <f t="shared" si="1"/>
        <v>11</v>
      </c>
    </row>
    <row r="22" spans="1:10" ht="15.5" x14ac:dyDescent="0.35">
      <c r="A22" s="308">
        <f t="shared" si="0"/>
        <v>12</v>
      </c>
      <c r="B22" s="11"/>
      <c r="C22" s="31"/>
      <c r="D22" s="31"/>
      <c r="E22" s="31"/>
      <c r="F22" s="31"/>
      <c r="G22" s="31"/>
      <c r="H22" s="31"/>
      <c r="I22" s="184"/>
      <c r="J22" s="309">
        <f t="shared" si="1"/>
        <v>12</v>
      </c>
    </row>
    <row r="23" spans="1:10" ht="16" thickBot="1" x14ac:dyDescent="0.4">
      <c r="A23" s="308">
        <f t="shared" si="0"/>
        <v>13</v>
      </c>
      <c r="B23" s="449" t="s">
        <v>33</v>
      </c>
      <c r="C23" s="552">
        <f>SUM(C11:C21)</f>
        <v>1478457999</v>
      </c>
      <c r="D23" s="552">
        <f t="shared" ref="D23:H23" si="2">SUM(D11:D21)</f>
        <v>1365238432</v>
      </c>
      <c r="E23" s="552">
        <f t="shared" si="2"/>
        <v>1323550752</v>
      </c>
      <c r="F23" s="552">
        <f t="shared" si="2"/>
        <v>1303503559</v>
      </c>
      <c r="G23" s="552">
        <f t="shared" si="2"/>
        <v>1308713098</v>
      </c>
      <c r="H23" s="552">
        <f t="shared" si="2"/>
        <v>1386896023</v>
      </c>
      <c r="I23" s="466" t="s">
        <v>245</v>
      </c>
      <c r="J23" s="309">
        <f t="shared" si="1"/>
        <v>13</v>
      </c>
    </row>
    <row r="24" spans="1:10" ht="16.5" thickTop="1" thickBot="1" x14ac:dyDescent="0.4">
      <c r="A24" s="349">
        <f t="shared" si="0"/>
        <v>14</v>
      </c>
      <c r="B24" s="488"/>
      <c r="C24" s="980"/>
      <c r="D24" s="64"/>
      <c r="E24" s="64"/>
      <c r="F24" s="64"/>
      <c r="G24" s="64"/>
      <c r="H24" s="64"/>
      <c r="I24" s="64"/>
      <c r="J24" s="350">
        <f t="shared" si="1"/>
        <v>14</v>
      </c>
    </row>
    <row r="25" spans="1:10" ht="15.5" x14ac:dyDescent="0.35">
      <c r="A25" s="308">
        <f t="shared" si="0"/>
        <v>15</v>
      </c>
      <c r="B25" s="11"/>
      <c r="C25" s="17"/>
      <c r="D25" s="17"/>
      <c r="E25" s="17"/>
      <c r="F25" s="17"/>
      <c r="G25" s="17"/>
      <c r="H25" s="17"/>
      <c r="I25" s="17"/>
      <c r="J25" s="309">
        <f t="shared" si="1"/>
        <v>15</v>
      </c>
    </row>
    <row r="26" spans="1:10" ht="16" thickBot="1" x14ac:dyDescent="0.4">
      <c r="A26" s="349">
        <f>A25+1</f>
        <v>16</v>
      </c>
      <c r="B26" s="488"/>
      <c r="C26" s="63" t="s">
        <v>246</v>
      </c>
      <c r="D26" s="63" t="s">
        <v>246</v>
      </c>
      <c r="E26" s="63" t="s">
        <v>246</v>
      </c>
      <c r="F26" s="63" t="s">
        <v>246</v>
      </c>
      <c r="G26" s="63" t="s">
        <v>246</v>
      </c>
      <c r="H26" s="63" t="s">
        <v>246</v>
      </c>
      <c r="I26" s="63"/>
      <c r="J26" s="350">
        <f>J25+1</f>
        <v>16</v>
      </c>
    </row>
    <row r="27" spans="1:10" ht="15.5" x14ac:dyDescent="0.35">
      <c r="A27" s="308">
        <f t="shared" si="0"/>
        <v>17</v>
      </c>
      <c r="B27" s="11"/>
      <c r="C27" s="82"/>
      <c r="D27" s="10"/>
      <c r="E27" s="10"/>
      <c r="F27" s="10"/>
      <c r="G27" s="10"/>
      <c r="H27" s="10"/>
      <c r="I27" s="10"/>
      <c r="J27" s="309">
        <f t="shared" si="1"/>
        <v>17</v>
      </c>
    </row>
    <row r="28" spans="1:10" ht="15.5" x14ac:dyDescent="0.35">
      <c r="A28" s="308">
        <f t="shared" si="0"/>
        <v>18</v>
      </c>
      <c r="B28" s="11" t="s">
        <v>379</v>
      </c>
      <c r="C28" s="450">
        <f>('Stmnt BL (Retail) - TRBAA'!C36)</f>
        <v>-1.23E-3</v>
      </c>
      <c r="D28" s="450">
        <f>$C28</f>
        <v>-1.23E-3</v>
      </c>
      <c r="E28" s="450">
        <f>$C28</f>
        <v>-1.23E-3</v>
      </c>
      <c r="F28" s="450">
        <f>$C28</f>
        <v>-1.23E-3</v>
      </c>
      <c r="G28" s="450">
        <f>$C28</f>
        <v>-1.23E-3</v>
      </c>
      <c r="H28" s="450">
        <f>$C28</f>
        <v>-1.23E-3</v>
      </c>
      <c r="I28" s="469" t="s">
        <v>483</v>
      </c>
      <c r="J28" s="309">
        <f t="shared" si="1"/>
        <v>18</v>
      </c>
    </row>
    <row r="29" spans="1:10" ht="16" thickBot="1" x14ac:dyDescent="0.4">
      <c r="A29" s="349">
        <f>A28+1</f>
        <v>19</v>
      </c>
      <c r="B29" s="488"/>
      <c r="C29" s="64"/>
      <c r="D29" s="64"/>
      <c r="E29" s="64"/>
      <c r="F29" s="64"/>
      <c r="G29" s="64"/>
      <c r="H29" s="64"/>
      <c r="I29" s="64"/>
      <c r="J29" s="350">
        <f>J28+1</f>
        <v>19</v>
      </c>
    </row>
    <row r="30" spans="1:10" ht="15.5" x14ac:dyDescent="0.35">
      <c r="A30" s="308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309">
        <f t="shared" si="1"/>
        <v>20</v>
      </c>
    </row>
    <row r="31" spans="1:10" ht="31.5" thickBot="1" x14ac:dyDescent="0.4">
      <c r="A31" s="349">
        <f t="shared" si="0"/>
        <v>21</v>
      </c>
      <c r="B31" s="488"/>
      <c r="C31" s="470" t="s">
        <v>247</v>
      </c>
      <c r="D31" s="470" t="s">
        <v>247</v>
      </c>
      <c r="E31" s="470" t="s">
        <v>247</v>
      </c>
      <c r="F31" s="470" t="s">
        <v>247</v>
      </c>
      <c r="G31" s="470" t="s">
        <v>247</v>
      </c>
      <c r="H31" s="470" t="s">
        <v>247</v>
      </c>
      <c r="I31" s="63"/>
      <c r="J31" s="350">
        <f t="shared" si="1"/>
        <v>21</v>
      </c>
    </row>
    <row r="32" spans="1:10" ht="15.5" x14ac:dyDescent="0.35">
      <c r="A32" s="308">
        <f t="shared" si="0"/>
        <v>22</v>
      </c>
      <c r="B32" s="11"/>
      <c r="C32" s="10"/>
      <c r="D32" s="10"/>
      <c r="E32" s="10"/>
      <c r="F32" s="10"/>
      <c r="G32" s="10"/>
      <c r="H32" s="10"/>
      <c r="I32" s="81"/>
      <c r="J32" s="309">
        <f t="shared" si="1"/>
        <v>22</v>
      </c>
    </row>
    <row r="33" spans="1:10" ht="15.5" x14ac:dyDescent="0.35">
      <c r="A33" s="308">
        <f t="shared" si="0"/>
        <v>23</v>
      </c>
      <c r="B33" s="11" t="s">
        <v>223</v>
      </c>
      <c r="C33" s="162">
        <f>C11*C$28</f>
        <v>-672887.26491000003</v>
      </c>
      <c r="D33" s="162">
        <f t="shared" ref="D33:H33" si="3">D11*D$28</f>
        <v>-559476.32892</v>
      </c>
      <c r="E33" s="162">
        <f t="shared" si="3"/>
        <v>-520200.43631999998</v>
      </c>
      <c r="F33" s="162">
        <f t="shared" si="3"/>
        <v>-453048.55556999997</v>
      </c>
      <c r="G33" s="162">
        <f t="shared" si="3"/>
        <v>-443187.7206</v>
      </c>
      <c r="H33" s="162">
        <f t="shared" si="3"/>
        <v>-473942.72792999999</v>
      </c>
      <c r="I33" s="26" t="s">
        <v>256</v>
      </c>
      <c r="J33" s="309">
        <f t="shared" si="1"/>
        <v>23</v>
      </c>
    </row>
    <row r="34" spans="1:10" ht="15.5" x14ac:dyDescent="0.35">
      <c r="A34" s="308">
        <f t="shared" si="0"/>
        <v>24</v>
      </c>
      <c r="B34" s="449"/>
      <c r="C34" s="465"/>
      <c r="D34" s="465"/>
      <c r="E34" s="465"/>
      <c r="F34" s="465"/>
      <c r="G34" s="465"/>
      <c r="H34" s="465"/>
      <c r="I34" s="471"/>
      <c r="J34" s="309">
        <f t="shared" si="1"/>
        <v>24</v>
      </c>
    </row>
    <row r="35" spans="1:10" ht="15.5" x14ac:dyDescent="0.35">
      <c r="A35" s="308">
        <f t="shared" si="0"/>
        <v>25</v>
      </c>
      <c r="B35" s="11" t="s">
        <v>243</v>
      </c>
      <c r="C35" s="46">
        <f>C13*C$28</f>
        <v>-212339.37596999999</v>
      </c>
      <c r="D35" s="46">
        <f t="shared" ref="D35:H35" si="4">D13*D$28</f>
        <v>-204628.74458999999</v>
      </c>
      <c r="E35" s="46">
        <f t="shared" si="4"/>
        <v>-203838.36381000001</v>
      </c>
      <c r="F35" s="46">
        <f t="shared" si="4"/>
        <v>-204549.04058999999</v>
      </c>
      <c r="G35" s="46">
        <f t="shared" si="4"/>
        <v>-208092.08387999999</v>
      </c>
      <c r="H35" s="46">
        <f t="shared" si="4"/>
        <v>-220223.90721</v>
      </c>
      <c r="I35" s="26" t="s">
        <v>380</v>
      </c>
      <c r="J35" s="309">
        <f t="shared" si="1"/>
        <v>25</v>
      </c>
    </row>
    <row r="36" spans="1:10" ht="15.5" x14ac:dyDescent="0.35">
      <c r="A36" s="308">
        <f t="shared" si="0"/>
        <v>26</v>
      </c>
      <c r="B36" s="451"/>
      <c r="C36" s="460"/>
      <c r="D36" s="460"/>
      <c r="E36" s="460"/>
      <c r="F36" s="460"/>
      <c r="G36" s="460"/>
      <c r="H36" s="460"/>
      <c r="I36" s="26"/>
      <c r="J36" s="309">
        <f t="shared" si="1"/>
        <v>26</v>
      </c>
    </row>
    <row r="37" spans="1:10" ht="15.5" x14ac:dyDescent="0.35">
      <c r="A37" s="308">
        <f t="shared" si="0"/>
        <v>27</v>
      </c>
      <c r="B37" s="17" t="s">
        <v>326</v>
      </c>
      <c r="C37" s="46">
        <f>C15*C$28</f>
        <v>-899472.97935000004</v>
      </c>
      <c r="D37" s="46">
        <f t="shared" ref="D37:H37" si="5">D15*D$28</f>
        <v>-880751.15672999993</v>
      </c>
      <c r="E37" s="46">
        <f t="shared" si="5"/>
        <v>-870043.28717999998</v>
      </c>
      <c r="F37" s="46">
        <f t="shared" si="5"/>
        <v>-907792.24547999993</v>
      </c>
      <c r="G37" s="46">
        <f t="shared" si="5"/>
        <v>-917730.84104999993</v>
      </c>
      <c r="H37" s="46">
        <f t="shared" si="5"/>
        <v>-967462.88615999999</v>
      </c>
      <c r="I37" s="26" t="s">
        <v>381</v>
      </c>
      <c r="J37" s="309">
        <f t="shared" si="1"/>
        <v>27</v>
      </c>
    </row>
    <row r="38" spans="1:10" ht="15.5" x14ac:dyDescent="0.35">
      <c r="A38" s="308">
        <f t="shared" si="0"/>
        <v>28</v>
      </c>
      <c r="B38" s="11"/>
      <c r="C38" s="46"/>
      <c r="D38" s="46"/>
      <c r="E38" s="46"/>
      <c r="F38" s="46"/>
      <c r="G38" s="46"/>
      <c r="H38" s="46"/>
      <c r="I38" s="26"/>
      <c r="J38" s="309">
        <f t="shared" si="1"/>
        <v>28</v>
      </c>
    </row>
    <row r="39" spans="1:10" ht="15.5" x14ac:dyDescent="0.35">
      <c r="A39" s="308">
        <f t="shared" si="0"/>
        <v>29</v>
      </c>
      <c r="B39" s="11" t="s">
        <v>177</v>
      </c>
      <c r="C39" s="46">
        <f>C17*C$28</f>
        <v>-7506.2816400000002</v>
      </c>
      <c r="D39" s="46">
        <f t="shared" ref="D39:H39" si="6">D17*D$28</f>
        <v>-7885.1474699999999</v>
      </c>
      <c r="E39" s="46">
        <f t="shared" si="6"/>
        <v>-6853.43577</v>
      </c>
      <c r="F39" s="46">
        <f t="shared" si="6"/>
        <v>-9013.1201999999994</v>
      </c>
      <c r="G39" s="46">
        <f t="shared" si="6"/>
        <v>-10340.024519999999</v>
      </c>
      <c r="H39" s="46">
        <f t="shared" si="6"/>
        <v>-11845.933199999999</v>
      </c>
      <c r="I39" s="26" t="s">
        <v>382</v>
      </c>
      <c r="J39" s="309">
        <f t="shared" si="1"/>
        <v>29</v>
      </c>
    </row>
    <row r="40" spans="1:10" ht="15.5" x14ac:dyDescent="0.35">
      <c r="A40" s="308">
        <f t="shared" si="0"/>
        <v>30</v>
      </c>
      <c r="B40" s="11"/>
      <c r="C40" s="46"/>
      <c r="D40" s="46"/>
      <c r="E40" s="46"/>
      <c r="F40" s="46"/>
      <c r="G40" s="46"/>
      <c r="H40" s="46"/>
      <c r="I40" s="26"/>
      <c r="J40" s="309">
        <f t="shared" si="1"/>
        <v>30</v>
      </c>
    </row>
    <row r="41" spans="1:10" ht="15.5" x14ac:dyDescent="0.35">
      <c r="A41" s="308">
        <f t="shared" si="0"/>
        <v>31</v>
      </c>
      <c r="B41" s="11" t="s">
        <v>176</v>
      </c>
      <c r="C41" s="46">
        <f>C19*C$28</f>
        <v>-17228.865839999999</v>
      </c>
      <c r="D41" s="46">
        <f t="shared" ref="D41:H41" si="7">D19*D$28</f>
        <v>-17851.05888</v>
      </c>
      <c r="E41" s="46">
        <f t="shared" si="7"/>
        <v>-18352.19901</v>
      </c>
      <c r="F41" s="46">
        <f t="shared" si="7"/>
        <v>-20437.402020000001</v>
      </c>
      <c r="G41" s="46">
        <f t="shared" si="7"/>
        <v>-21833.101469999998</v>
      </c>
      <c r="H41" s="46">
        <f t="shared" si="7"/>
        <v>-23612.238659999999</v>
      </c>
      <c r="I41" s="26" t="s">
        <v>383</v>
      </c>
      <c r="J41" s="309">
        <f t="shared" si="1"/>
        <v>31</v>
      </c>
    </row>
    <row r="42" spans="1:10" ht="15.5" x14ac:dyDescent="0.35">
      <c r="A42" s="308">
        <f t="shared" si="0"/>
        <v>32</v>
      </c>
      <c r="B42" s="11"/>
      <c r="C42" s="46"/>
      <c r="D42" s="46"/>
      <c r="E42" s="46"/>
      <c r="F42" s="46"/>
      <c r="G42" s="46"/>
      <c r="H42" s="46"/>
      <c r="I42" s="26"/>
      <c r="J42" s="309">
        <f t="shared" si="1"/>
        <v>32</v>
      </c>
    </row>
    <row r="43" spans="1:10" ht="15.5" x14ac:dyDescent="0.35">
      <c r="A43" s="308">
        <f t="shared" si="0"/>
        <v>33</v>
      </c>
      <c r="B43" s="11" t="s">
        <v>244</v>
      </c>
      <c r="C43" s="55">
        <f>C21*C$28</f>
        <v>-9068.5710600000002</v>
      </c>
      <c r="D43" s="55">
        <f t="shared" ref="D43:H43" si="8">D21*D$28</f>
        <v>-8650.8347699999995</v>
      </c>
      <c r="E43" s="55">
        <f t="shared" si="8"/>
        <v>-8679.7028699999992</v>
      </c>
      <c r="F43" s="55">
        <f t="shared" si="8"/>
        <v>-8469.0137099999993</v>
      </c>
      <c r="G43" s="55">
        <f t="shared" si="8"/>
        <v>-8533.3390199999994</v>
      </c>
      <c r="H43" s="55">
        <f t="shared" si="8"/>
        <v>-8794.4151299999994</v>
      </c>
      <c r="I43" s="26" t="s">
        <v>384</v>
      </c>
      <c r="J43" s="309">
        <f t="shared" si="1"/>
        <v>33</v>
      </c>
    </row>
    <row r="44" spans="1:10" ht="15.5" x14ac:dyDescent="0.35">
      <c r="A44" s="308">
        <f t="shared" si="0"/>
        <v>34</v>
      </c>
      <c r="B44" s="11"/>
      <c r="C44" s="162"/>
      <c r="D44" s="162"/>
      <c r="E44" s="162"/>
      <c r="F44" s="162"/>
      <c r="G44" s="162"/>
      <c r="H44" s="162"/>
      <c r="I44" s="26"/>
      <c r="J44" s="309">
        <f t="shared" si="1"/>
        <v>34</v>
      </c>
    </row>
    <row r="45" spans="1:10" ht="16" thickBot="1" x14ac:dyDescent="0.4">
      <c r="A45" s="308">
        <f t="shared" si="0"/>
        <v>35</v>
      </c>
      <c r="B45" s="449" t="s">
        <v>33</v>
      </c>
      <c r="C45" s="596">
        <f>SUM(C33:C43)</f>
        <v>-1818503.33877</v>
      </c>
      <c r="D45" s="596">
        <f t="shared" ref="D45:H45" si="9">SUM(D33:D43)</f>
        <v>-1679243.2713599999</v>
      </c>
      <c r="E45" s="596">
        <f t="shared" si="9"/>
        <v>-1627967.42496</v>
      </c>
      <c r="F45" s="596">
        <f t="shared" si="9"/>
        <v>-1603309.3775699998</v>
      </c>
      <c r="G45" s="596">
        <f t="shared" si="9"/>
        <v>-1609717.11054</v>
      </c>
      <c r="H45" s="596">
        <f t="shared" si="9"/>
        <v>-1705882.1082900004</v>
      </c>
      <c r="I45" s="472" t="s">
        <v>385</v>
      </c>
      <c r="J45" s="309">
        <f t="shared" si="1"/>
        <v>35</v>
      </c>
    </row>
    <row r="46" spans="1:10" ht="16.5" thickTop="1" thickBot="1" x14ac:dyDescent="0.4">
      <c r="A46" s="349"/>
      <c r="B46" s="88"/>
      <c r="C46" s="980"/>
      <c r="D46" s="64"/>
      <c r="E46" s="64"/>
      <c r="F46" s="64"/>
      <c r="G46" s="64"/>
      <c r="H46" s="64"/>
      <c r="I46" s="64"/>
      <c r="J46" s="473"/>
    </row>
    <row r="47" spans="1:10" ht="15.5" x14ac:dyDescent="0.35">
      <c r="A47" s="37"/>
      <c r="B47" s="456"/>
      <c r="C47" s="22"/>
      <c r="D47" s="22"/>
      <c r="E47" s="22"/>
      <c r="F47" s="22"/>
      <c r="G47" s="22"/>
      <c r="H47" s="22"/>
      <c r="I47" s="22"/>
      <c r="J47" s="22"/>
    </row>
    <row r="48" spans="1:10" ht="18.5" x14ac:dyDescent="0.35">
      <c r="A48" s="75"/>
      <c r="B48" s="22"/>
      <c r="C48" s="22"/>
      <c r="D48" s="22"/>
      <c r="E48" s="22"/>
      <c r="F48" s="22"/>
      <c r="G48" s="22"/>
      <c r="H48" s="22"/>
      <c r="I48" s="22"/>
      <c r="J48" s="22"/>
    </row>
    <row r="49" spans="1:10" ht="15.5" x14ac:dyDescent="0.35">
      <c r="A49" s="981"/>
      <c r="B49" s="22"/>
      <c r="C49" s="22"/>
      <c r="D49" s="22"/>
      <c r="E49" s="22"/>
      <c r="F49" s="22"/>
      <c r="G49" s="22"/>
      <c r="H49" s="22"/>
      <c r="I49" s="22"/>
      <c r="J49" s="22"/>
    </row>
    <row r="50" spans="1:10" ht="15.5" x14ac:dyDescent="0.35">
      <c r="A50" s="981"/>
      <c r="B50" s="161"/>
      <c r="C50" s="22"/>
      <c r="D50" s="22"/>
      <c r="E50" s="22"/>
      <c r="F50" s="22"/>
      <c r="G50" s="22"/>
      <c r="H50" s="22"/>
      <c r="I50" s="22"/>
      <c r="J50" s="22"/>
    </row>
    <row r="51" spans="1:10" ht="15.5" x14ac:dyDescent="0.35">
      <c r="A51" s="37"/>
      <c r="B51" s="22"/>
      <c r="C51" s="22"/>
      <c r="D51" s="22"/>
      <c r="E51" s="22"/>
      <c r="F51" s="22"/>
      <c r="G51" s="22"/>
      <c r="H51" s="22"/>
      <c r="I51" s="22"/>
      <c r="J51" s="22"/>
    </row>
    <row r="52" spans="1:10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981"/>
    </row>
    <row r="80" spans="1:10" x14ac:dyDescent="0.25">
      <c r="A80" s="981"/>
    </row>
    <row r="81" spans="1:1" x14ac:dyDescent="0.25">
      <c r="A81" s="981"/>
    </row>
    <row r="82" spans="1:1" x14ac:dyDescent="0.25">
      <c r="A82" s="981"/>
    </row>
    <row r="83" spans="1:1" x14ac:dyDescent="0.25">
      <c r="A83" s="981"/>
    </row>
    <row r="84" spans="1:1" x14ac:dyDescent="0.25">
      <c r="A84" s="981"/>
    </row>
    <row r="85" spans="1:1" x14ac:dyDescent="0.25">
      <c r="A85" s="981"/>
    </row>
    <row r="86" spans="1:1" x14ac:dyDescent="0.25">
      <c r="A86" s="981"/>
    </row>
    <row r="87" spans="1:1" x14ac:dyDescent="0.25">
      <c r="A87" s="981"/>
    </row>
    <row r="88" spans="1:1" x14ac:dyDescent="0.25">
      <c r="A88" s="981"/>
    </row>
    <row r="89" spans="1:1" x14ac:dyDescent="0.25">
      <c r="A89" s="981"/>
    </row>
    <row r="90" spans="1:1" x14ac:dyDescent="0.25">
      <c r="A90" s="981"/>
    </row>
    <row r="91" spans="1:1" x14ac:dyDescent="0.25">
      <c r="A91" s="981"/>
    </row>
    <row r="92" spans="1:1" x14ac:dyDescent="0.25">
      <c r="A92" s="981"/>
    </row>
    <row r="93" spans="1:1" x14ac:dyDescent="0.25">
      <c r="A93" s="981"/>
    </row>
    <row r="94" spans="1:1" x14ac:dyDescent="0.25">
      <c r="A94" s="981"/>
    </row>
    <row r="95" spans="1:1" x14ac:dyDescent="0.25">
      <c r="A95" s="981"/>
    </row>
    <row r="96" spans="1:1" x14ac:dyDescent="0.25">
      <c r="A96" s="981"/>
    </row>
    <row r="97" spans="1:1" x14ac:dyDescent="0.25">
      <c r="A97" s="981"/>
    </row>
    <row r="98" spans="1:1" x14ac:dyDescent="0.25">
      <c r="A98" s="981"/>
    </row>
    <row r="99" spans="1:1" x14ac:dyDescent="0.25">
      <c r="A99" s="981"/>
    </row>
    <row r="100" spans="1:1" x14ac:dyDescent="0.25">
      <c r="A100" s="981"/>
    </row>
    <row r="101" spans="1:1" x14ac:dyDescent="0.25">
      <c r="A101" s="981"/>
    </row>
    <row r="102" spans="1:1" x14ac:dyDescent="0.25">
      <c r="A102" s="981"/>
    </row>
    <row r="103" spans="1:1" x14ac:dyDescent="0.25">
      <c r="A103" s="981"/>
    </row>
    <row r="104" spans="1:1" x14ac:dyDescent="0.25">
      <c r="A104" s="981"/>
    </row>
    <row r="105" spans="1:1" x14ac:dyDescent="0.25">
      <c r="A105" s="981"/>
    </row>
    <row r="106" spans="1:1" x14ac:dyDescent="0.25">
      <c r="A106" s="981"/>
    </row>
    <row r="107" spans="1:1" x14ac:dyDescent="0.25">
      <c r="A107" s="981"/>
    </row>
    <row r="108" spans="1:1" x14ac:dyDescent="0.25">
      <c r="A108" s="981"/>
    </row>
    <row r="109" spans="1:1" x14ac:dyDescent="0.25">
      <c r="A109" s="981"/>
    </row>
    <row r="110" spans="1:1" x14ac:dyDescent="0.25">
      <c r="A110" s="981"/>
    </row>
    <row r="111" spans="1:1" x14ac:dyDescent="0.25">
      <c r="A111" s="981"/>
    </row>
    <row r="112" spans="1:1" x14ac:dyDescent="0.25">
      <c r="A112" s="981"/>
    </row>
    <row r="113" spans="1:1" x14ac:dyDescent="0.25">
      <c r="A113" s="981"/>
    </row>
    <row r="114" spans="1:1" x14ac:dyDescent="0.25">
      <c r="A114" s="981"/>
    </row>
    <row r="115" spans="1:1" x14ac:dyDescent="0.25">
      <c r="A115" s="981"/>
    </row>
    <row r="116" spans="1:1" x14ac:dyDescent="0.25">
      <c r="A116" s="981"/>
    </row>
    <row r="117" spans="1:1" x14ac:dyDescent="0.25">
      <c r="A117" s="981"/>
    </row>
    <row r="118" spans="1:1" x14ac:dyDescent="0.25">
      <c r="A118" s="981"/>
    </row>
    <row r="119" spans="1:1" x14ac:dyDescent="0.25">
      <c r="A119" s="981"/>
    </row>
    <row r="120" spans="1:1" x14ac:dyDescent="0.25">
      <c r="A120" s="981"/>
    </row>
    <row r="121" spans="1:1" x14ac:dyDescent="0.25">
      <c r="A121" s="981"/>
    </row>
    <row r="122" spans="1:1" x14ac:dyDescent="0.25">
      <c r="A122" s="981"/>
    </row>
  </sheetData>
  <printOptions horizontalCentered="1"/>
  <pageMargins left="0.25" right="0.25" top="0.5" bottom="0.5" header="0.25" footer="0.25"/>
  <pageSetup scale="71" orientation="landscape" r:id="rId1"/>
  <headerFooter scaleWithDoc="0" alignWithMargins="0">
    <oddFooter>&amp;L&amp;"Times New Roman,Regular"&amp;12&amp;F&amp;C&amp;"Times New Roman,Regular"&amp;12Page 3 of 4&amp;R&amp;"Times New Roman,Regular"&amp;12&amp;A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122"/>
  <sheetViews>
    <sheetView zoomScale="80" zoomScaleNormal="80" workbookViewId="0"/>
  </sheetViews>
  <sheetFormatPr defaultColWidth="9.1796875" defaultRowHeight="12.5" x14ac:dyDescent="0.25"/>
  <cols>
    <col min="1" max="1" width="5.54296875" style="287" customWidth="1"/>
    <col min="2" max="2" width="45.54296875" style="287" customWidth="1"/>
    <col min="3" max="8" width="15.54296875" style="287" customWidth="1"/>
    <col min="9" max="9" width="18.54296875" style="287" customWidth="1"/>
    <col min="10" max="10" width="40.54296875" style="287" customWidth="1"/>
    <col min="11" max="11" width="5.54296875" style="287" customWidth="1"/>
    <col min="12" max="16384" width="9.1796875" style="287"/>
  </cols>
  <sheetData>
    <row r="2" spans="1:11" ht="15.5" x14ac:dyDescent="0.25">
      <c r="A2" s="5" t="s">
        <v>217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5" x14ac:dyDescent="0.25">
      <c r="A3" s="5" t="s">
        <v>228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5" x14ac:dyDescent="0.25">
      <c r="A4" s="5" t="str">
        <f>'Stmt BG - Page 1'!A4</f>
        <v>Transmission Revenue Balancing Account Adjustment (TRBAA) Revenues Data to Reflect Changed Rates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.5" x14ac:dyDescent="0.25">
      <c r="A5" s="487" t="str">
        <f>'Stmt BG - Page 1'!A6</f>
        <v>Rate Effective Period - Twelve Months Ending December 31, 2021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" thickBot="1" x14ac:dyDescent="0.4">
      <c r="A6" s="474"/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5" x14ac:dyDescent="0.3">
      <c r="A7" s="82"/>
      <c r="B7" s="82"/>
      <c r="C7" s="682" t="s">
        <v>234</v>
      </c>
      <c r="D7" s="682" t="s">
        <v>235</v>
      </c>
      <c r="E7" s="682" t="s">
        <v>236</v>
      </c>
      <c r="F7" s="682" t="s">
        <v>237</v>
      </c>
      <c r="G7" s="682" t="s">
        <v>238</v>
      </c>
      <c r="H7" s="682" t="s">
        <v>239</v>
      </c>
      <c r="I7" s="682" t="s">
        <v>249</v>
      </c>
      <c r="J7" s="682" t="s">
        <v>250</v>
      </c>
      <c r="K7" s="82"/>
    </row>
    <row r="8" spans="1:11" ht="15" x14ac:dyDescent="0.3">
      <c r="A8" s="82" t="s">
        <v>93</v>
      </c>
      <c r="B8" s="82"/>
      <c r="C8" s="683">
        <f>'Stmt BG - Page 2'!C26</f>
        <v>44378</v>
      </c>
      <c r="D8" s="683">
        <f>'Stmt BG - Page 2'!D26</f>
        <v>44409</v>
      </c>
      <c r="E8" s="683">
        <f>'Stmt BG - Page 2'!E26</f>
        <v>44440</v>
      </c>
      <c r="F8" s="683">
        <f>'Stmt BG - Page 2'!F26</f>
        <v>44470</v>
      </c>
      <c r="G8" s="683">
        <f>'Stmt BG - Page 2'!G26</f>
        <v>44501</v>
      </c>
      <c r="H8" s="683">
        <f>'Stmt BG - Page 2'!H26</f>
        <v>44531</v>
      </c>
      <c r="I8" s="683" t="s">
        <v>88</v>
      </c>
      <c r="J8" s="677"/>
      <c r="K8" s="82" t="s">
        <v>93</v>
      </c>
    </row>
    <row r="9" spans="1:11" ht="15.5" thickBot="1" x14ac:dyDescent="0.35">
      <c r="A9" s="174" t="s">
        <v>87</v>
      </c>
      <c r="B9" s="174" t="s">
        <v>221</v>
      </c>
      <c r="C9" s="174" t="s">
        <v>242</v>
      </c>
      <c r="D9" s="174" t="s">
        <v>242</v>
      </c>
      <c r="E9" s="174" t="s">
        <v>242</v>
      </c>
      <c r="F9" s="174" t="s">
        <v>242</v>
      </c>
      <c r="G9" s="174" t="s">
        <v>242</v>
      </c>
      <c r="H9" s="174" t="s">
        <v>242</v>
      </c>
      <c r="I9" s="174" t="s">
        <v>242</v>
      </c>
      <c r="J9" s="174" t="s">
        <v>91</v>
      </c>
      <c r="K9" s="174" t="s">
        <v>87</v>
      </c>
    </row>
    <row r="10" spans="1:11" ht="15.5" x14ac:dyDescent="0.35">
      <c r="A10" s="10"/>
      <c r="B10" s="10"/>
      <c r="C10" s="81"/>
      <c r="D10" s="10"/>
      <c r="E10" s="10"/>
      <c r="F10" s="10"/>
      <c r="G10" s="10"/>
      <c r="H10" s="10"/>
      <c r="I10" s="10"/>
      <c r="J10" s="10"/>
      <c r="K10" s="10"/>
    </row>
    <row r="11" spans="1:11" ht="15.5" x14ac:dyDescent="0.35">
      <c r="A11" s="10">
        <v>1</v>
      </c>
      <c r="B11" s="11" t="s">
        <v>223</v>
      </c>
      <c r="C11" s="31">
        <f>'WP 1.2 Forecast Sales'!I6*1000</f>
        <v>484842956</v>
      </c>
      <c r="D11" s="31">
        <f>'WP 1.2 Forecast Sales'!J6*1000</f>
        <v>552100669</v>
      </c>
      <c r="E11" s="31">
        <f>'WP 1.2 Forecast Sales'!K6*1000</f>
        <v>594421452</v>
      </c>
      <c r="F11" s="31">
        <f>'WP 1.2 Forecast Sales'!L6*1000</f>
        <v>492160118</v>
      </c>
      <c r="G11" s="31">
        <f>'WP 1.2 Forecast Sales'!M6*1000</f>
        <v>440122023</v>
      </c>
      <c r="H11" s="31">
        <f>'WP 1.2 Forecast Sales'!N6*1000</f>
        <v>507637958</v>
      </c>
      <c r="I11" s="31">
        <f>SUM('Stmt BG - Page 3'!C11:H11)+SUM('Stmt BG - Page 4'!C11:H11)</f>
        <v>5610100651</v>
      </c>
      <c r="J11" s="466" t="s">
        <v>265</v>
      </c>
      <c r="K11" s="10">
        <v>1</v>
      </c>
    </row>
    <row r="12" spans="1:11" ht="15.5" x14ac:dyDescent="0.35">
      <c r="A12" s="10">
        <f>A11+1</f>
        <v>2</v>
      </c>
      <c r="B12" s="449"/>
      <c r="C12" s="465"/>
      <c r="D12" s="465"/>
      <c r="E12" s="465"/>
      <c r="F12" s="465"/>
      <c r="G12" s="465"/>
      <c r="H12" s="465"/>
      <c r="I12" s="465"/>
      <c r="J12" s="471"/>
      <c r="K12" s="10">
        <f>K11+1</f>
        <v>2</v>
      </c>
    </row>
    <row r="13" spans="1:11" ht="15.5" x14ac:dyDescent="0.35">
      <c r="A13" s="10">
        <f t="shared" ref="A13:A45" si="0">A12+1</f>
        <v>3</v>
      </c>
      <c r="B13" s="11" t="s">
        <v>243</v>
      </c>
      <c r="C13" s="31">
        <f>'WP 1.2 Forecast Sales'!I7*1000</f>
        <v>197992076</v>
      </c>
      <c r="D13" s="31">
        <f>'WP 1.2 Forecast Sales'!J7*1000</f>
        <v>204486167</v>
      </c>
      <c r="E13" s="31">
        <f>'WP 1.2 Forecast Sales'!K7*1000</f>
        <v>210494373</v>
      </c>
      <c r="F13" s="31">
        <f>'WP 1.2 Forecast Sales'!L7*1000</f>
        <v>191541046</v>
      </c>
      <c r="G13" s="31">
        <f>'WP 1.2 Forecast Sales'!M7*1000</f>
        <v>176670434</v>
      </c>
      <c r="H13" s="31">
        <f>'WP 1.2 Forecast Sales'!N7*1000</f>
        <v>170744529</v>
      </c>
      <c r="I13" s="31">
        <f>SUM('Stmt BG - Page 3'!C13:H13)+SUM('Stmt BG - Page 4'!C13:H13)</f>
        <v>2171173760</v>
      </c>
      <c r="J13" s="466" t="s">
        <v>266</v>
      </c>
      <c r="K13" s="10">
        <f t="shared" ref="K13:K45" si="1">K12+1</f>
        <v>3</v>
      </c>
    </row>
    <row r="14" spans="1:11" ht="15.5" x14ac:dyDescent="0.35">
      <c r="A14" s="10">
        <f t="shared" si="0"/>
        <v>4</v>
      </c>
      <c r="B14" s="451"/>
      <c r="C14" s="460"/>
      <c r="D14" s="460"/>
      <c r="E14" s="460"/>
      <c r="F14" s="460"/>
      <c r="G14" s="460"/>
      <c r="H14" s="460"/>
      <c r="I14" s="31"/>
      <c r="J14" s="475"/>
      <c r="K14" s="10">
        <f t="shared" si="1"/>
        <v>4</v>
      </c>
    </row>
    <row r="15" spans="1:11" ht="15.5" x14ac:dyDescent="0.35">
      <c r="A15" s="10">
        <f t="shared" si="0"/>
        <v>5</v>
      </c>
      <c r="B15" s="17" t="s">
        <v>326</v>
      </c>
      <c r="C15" s="31">
        <f>'WP 1.2 Forecast Sales'!I8*1000</f>
        <v>857604414.00000012</v>
      </c>
      <c r="D15" s="31">
        <f>'WP 1.2 Forecast Sales'!J8*1000</f>
        <v>874259564</v>
      </c>
      <c r="E15" s="31">
        <f>'WP 1.2 Forecast Sales'!K8*1000</f>
        <v>914938578.00000012</v>
      </c>
      <c r="F15" s="31">
        <f>'WP 1.2 Forecast Sales'!L8*1000</f>
        <v>840030877</v>
      </c>
      <c r="G15" s="31">
        <f>'WP 1.2 Forecast Sales'!M8*1000</f>
        <v>796073220</v>
      </c>
      <c r="H15" s="31">
        <f>'WP 1.2 Forecast Sales'!N8*1000</f>
        <v>747346880.99999988</v>
      </c>
      <c r="I15" s="31">
        <f>SUM('Stmt BG - Page 3'!C15:H15)+SUM('Stmt BG - Page 4'!C15:H15)</f>
        <v>9455662799</v>
      </c>
      <c r="J15" s="466" t="s">
        <v>267</v>
      </c>
      <c r="K15" s="10">
        <f t="shared" si="1"/>
        <v>5</v>
      </c>
    </row>
    <row r="16" spans="1:11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34"/>
      <c r="K16" s="10">
        <f t="shared" si="1"/>
        <v>6</v>
      </c>
    </row>
    <row r="17" spans="1:11" ht="15.5" x14ac:dyDescent="0.35">
      <c r="A17" s="10">
        <f t="shared" si="0"/>
        <v>7</v>
      </c>
      <c r="B17" s="11" t="s">
        <v>177</v>
      </c>
      <c r="C17" s="31">
        <f>'WP 1.2 Forecast Sales'!I9*1000</f>
        <v>11177232</v>
      </c>
      <c r="D17" s="31">
        <f>'WP 1.2 Forecast Sales'!J9*1000</f>
        <v>11108378</v>
      </c>
      <c r="E17" s="31">
        <f>'WP 1.2 Forecast Sales'!K9*1000</f>
        <v>11472287</v>
      </c>
      <c r="F17" s="31">
        <f>'WP 1.2 Forecast Sales'!L9*1000</f>
        <v>9997882</v>
      </c>
      <c r="G17" s="31">
        <f>'WP 1.2 Forecast Sales'!M9*1000</f>
        <v>9205082</v>
      </c>
      <c r="H17" s="31">
        <f>'WP 1.2 Forecast Sales'!N9*1000</f>
        <v>7443040</v>
      </c>
      <c r="I17" s="31">
        <f>SUM('Stmt BG - Page 3'!C17:H17)+SUM('Stmt BG - Page 4'!C17:H17)</f>
        <v>103854261</v>
      </c>
      <c r="J17" s="466" t="s">
        <v>268</v>
      </c>
      <c r="K17" s="10">
        <f t="shared" si="1"/>
        <v>7</v>
      </c>
    </row>
    <row r="18" spans="1:11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34"/>
      <c r="K18" s="10">
        <f t="shared" si="1"/>
        <v>8</v>
      </c>
    </row>
    <row r="19" spans="1:11" ht="15.5" x14ac:dyDescent="0.35">
      <c r="A19" s="10">
        <f t="shared" si="0"/>
        <v>9</v>
      </c>
      <c r="B19" s="11" t="s">
        <v>176</v>
      </c>
      <c r="C19" s="31">
        <f>'WP 1.2 Forecast Sales'!I10*1000</f>
        <v>21062940</v>
      </c>
      <c r="D19" s="31">
        <f>'WP 1.2 Forecast Sales'!J10*1000</f>
        <v>19858903</v>
      </c>
      <c r="E19" s="31">
        <f>'WP 1.2 Forecast Sales'!K10*1000</f>
        <v>21475097</v>
      </c>
      <c r="F19" s="31">
        <f>'WP 1.2 Forecast Sales'!L10*1000</f>
        <v>19116797</v>
      </c>
      <c r="G19" s="31">
        <f>'WP 1.2 Forecast Sales'!M10*1000</f>
        <v>17939688</v>
      </c>
      <c r="H19" s="31">
        <f>'WP 1.2 Forecast Sales'!N10*1000</f>
        <v>15539447</v>
      </c>
      <c r="I19" s="31">
        <f>SUM('Stmt BG - Page 3'!C19:H19)+SUM('Stmt BG - Page 4'!C19:H19)</f>
        <v>211996828</v>
      </c>
      <c r="J19" s="466" t="s">
        <v>269</v>
      </c>
      <c r="K19" s="10">
        <f t="shared" si="1"/>
        <v>9</v>
      </c>
    </row>
    <row r="20" spans="1:11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34"/>
      <c r="K20" s="10">
        <f t="shared" si="1"/>
        <v>10</v>
      </c>
    </row>
    <row r="21" spans="1:11" ht="15.5" x14ac:dyDescent="0.35">
      <c r="A21" s="10">
        <f t="shared" si="0"/>
        <v>11</v>
      </c>
      <c r="B21" s="11" t="s">
        <v>244</v>
      </c>
      <c r="C21" s="38">
        <f>'WP 1.2 Forecast Sales'!I11*1000</f>
        <v>7227383</v>
      </c>
      <c r="D21" s="38">
        <f>'WP 1.2 Forecast Sales'!J11*1000</f>
        <v>6871495</v>
      </c>
      <c r="E21" s="38">
        <f>'WP 1.2 Forecast Sales'!K11*1000</f>
        <v>7217507</v>
      </c>
      <c r="F21" s="38">
        <f>'WP 1.2 Forecast Sales'!L11*1000</f>
        <v>6939232</v>
      </c>
      <c r="G21" s="38">
        <f>'WP 1.2 Forecast Sales'!M11*1000</f>
        <v>7005222</v>
      </c>
      <c r="H21" s="38">
        <f>'WP 1.2 Forecast Sales'!N11*1000</f>
        <v>7239066</v>
      </c>
      <c r="I21" s="38">
        <f>SUM('Stmt BG - Page 3'!C21:H21)+SUM('Stmt BG - Page 4'!C21:H21)</f>
        <v>84935577</v>
      </c>
      <c r="J21" s="466" t="s">
        <v>270</v>
      </c>
      <c r="K21" s="10">
        <f t="shared" si="1"/>
        <v>11</v>
      </c>
    </row>
    <row r="22" spans="1:11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471"/>
      <c r="K22" s="10">
        <f t="shared" si="1"/>
        <v>12</v>
      </c>
    </row>
    <row r="23" spans="1:11" ht="16" thickBot="1" x14ac:dyDescent="0.4">
      <c r="A23" s="10">
        <f t="shared" si="0"/>
        <v>13</v>
      </c>
      <c r="B23" s="449" t="s">
        <v>248</v>
      </c>
      <c r="C23" s="552">
        <f>SUM(C11:C21)</f>
        <v>1579907001</v>
      </c>
      <c r="D23" s="552">
        <f t="shared" ref="D23:I23" si="2">SUM(D11:D21)</f>
        <v>1668685176</v>
      </c>
      <c r="E23" s="552">
        <f t="shared" si="2"/>
        <v>1760019294</v>
      </c>
      <c r="F23" s="552">
        <f t="shared" si="2"/>
        <v>1559785952</v>
      </c>
      <c r="G23" s="552">
        <f t="shared" si="2"/>
        <v>1447015669</v>
      </c>
      <c r="H23" s="552">
        <f t="shared" si="2"/>
        <v>1455950921</v>
      </c>
      <c r="I23" s="552">
        <f t="shared" si="2"/>
        <v>17637723876</v>
      </c>
      <c r="J23" s="466" t="s">
        <v>245</v>
      </c>
      <c r="K23" s="10">
        <f t="shared" si="1"/>
        <v>13</v>
      </c>
    </row>
    <row r="24" spans="1:11" ht="16.5" thickTop="1" thickBot="1" x14ac:dyDescent="0.4">
      <c r="A24" s="63">
        <f t="shared" si="0"/>
        <v>14</v>
      </c>
      <c r="B24" s="488"/>
      <c r="C24" s="980"/>
      <c r="D24" s="64"/>
      <c r="E24" s="64"/>
      <c r="F24" s="64"/>
      <c r="G24" s="64"/>
      <c r="H24" s="64"/>
      <c r="I24" s="64"/>
      <c r="J24" s="64"/>
      <c r="K24" s="63">
        <f t="shared" si="1"/>
        <v>14</v>
      </c>
    </row>
    <row r="25" spans="1:11" ht="15.5" x14ac:dyDescent="0.35">
      <c r="A25" s="10">
        <f t="shared" si="0"/>
        <v>15</v>
      </c>
      <c r="B25" s="489"/>
      <c r="C25" s="476"/>
      <c r="D25" s="476"/>
      <c r="E25" s="476"/>
      <c r="F25" s="476"/>
      <c r="G25" s="476"/>
      <c r="H25" s="476"/>
      <c r="I25" s="476"/>
      <c r="J25" s="476"/>
      <c r="K25" s="10">
        <f t="shared" si="1"/>
        <v>15</v>
      </c>
    </row>
    <row r="26" spans="1:11" ht="16" thickBot="1" x14ac:dyDescent="0.4">
      <c r="A26" s="63">
        <f>A25+1</f>
        <v>16</v>
      </c>
      <c r="B26" s="488"/>
      <c r="C26" s="63" t="s">
        <v>246</v>
      </c>
      <c r="D26" s="63" t="s">
        <v>246</v>
      </c>
      <c r="E26" s="63" t="s">
        <v>246</v>
      </c>
      <c r="F26" s="63" t="s">
        <v>246</v>
      </c>
      <c r="G26" s="63" t="s">
        <v>246</v>
      </c>
      <c r="H26" s="63" t="s">
        <v>246</v>
      </c>
      <c r="I26" s="63"/>
      <c r="J26" s="63"/>
      <c r="K26" s="63">
        <f>K25+1</f>
        <v>16</v>
      </c>
    </row>
    <row r="27" spans="1:11" ht="15.5" x14ac:dyDescent="0.35">
      <c r="A27" s="10">
        <f t="shared" si="0"/>
        <v>17</v>
      </c>
      <c r="B27" s="11"/>
      <c r="C27" s="82"/>
      <c r="D27" s="10"/>
      <c r="E27" s="10"/>
      <c r="F27" s="10"/>
      <c r="G27" s="10"/>
      <c r="H27" s="10"/>
      <c r="I27" s="10"/>
      <c r="J27" s="10"/>
      <c r="K27" s="10">
        <f t="shared" si="1"/>
        <v>17</v>
      </c>
    </row>
    <row r="28" spans="1:11" ht="15.5" x14ac:dyDescent="0.35">
      <c r="A28" s="10">
        <f t="shared" si="0"/>
        <v>18</v>
      </c>
      <c r="B28" s="11" t="str">
        <f>'Stmt BG - Page 3'!B28</f>
        <v>Retail TRBAA Rate ($/kWh) @ Changed Rate</v>
      </c>
      <c r="C28" s="450">
        <f>'Stmt BG - Page 3'!C28</f>
        <v>-1.23E-3</v>
      </c>
      <c r="D28" s="450">
        <f>$C28</f>
        <v>-1.23E-3</v>
      </c>
      <c r="E28" s="450">
        <f>$C28</f>
        <v>-1.23E-3</v>
      </c>
      <c r="F28" s="450">
        <f>$C28</f>
        <v>-1.23E-3</v>
      </c>
      <c r="G28" s="450">
        <f>$C28</f>
        <v>-1.23E-3</v>
      </c>
      <c r="H28" s="450">
        <f>$C28</f>
        <v>-1.23E-3</v>
      </c>
      <c r="I28" s="31"/>
      <c r="J28" s="469" t="str">
        <f>'Stmt BG - Page 3'!I28</f>
        <v>Statement BL (Retail); Page 1; Line 27</v>
      </c>
      <c r="K28" s="10">
        <f t="shared" si="1"/>
        <v>18</v>
      </c>
    </row>
    <row r="29" spans="1:11" ht="16" thickBot="1" x14ac:dyDescent="0.4">
      <c r="A29" s="63">
        <f>A28+1</f>
        <v>19</v>
      </c>
      <c r="B29" s="488"/>
      <c r="C29" s="64"/>
      <c r="D29" s="64"/>
      <c r="E29" s="64"/>
      <c r="F29" s="64"/>
      <c r="G29" s="64"/>
      <c r="H29" s="64"/>
      <c r="I29" s="64"/>
      <c r="J29" s="64"/>
      <c r="K29" s="63">
        <f>K28+1</f>
        <v>19</v>
      </c>
    </row>
    <row r="30" spans="1:11" ht="15.5" x14ac:dyDescent="0.3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7"/>
      <c r="K30" s="10">
        <f t="shared" si="1"/>
        <v>20</v>
      </c>
    </row>
    <row r="31" spans="1:11" ht="31.5" thickBot="1" x14ac:dyDescent="0.4">
      <c r="A31" s="63">
        <f t="shared" si="0"/>
        <v>21</v>
      </c>
      <c r="B31" s="488"/>
      <c r="C31" s="470" t="s">
        <v>247</v>
      </c>
      <c r="D31" s="470" t="s">
        <v>247</v>
      </c>
      <c r="E31" s="470" t="s">
        <v>247</v>
      </c>
      <c r="F31" s="470" t="s">
        <v>247</v>
      </c>
      <c r="G31" s="470" t="s">
        <v>247</v>
      </c>
      <c r="H31" s="470" t="s">
        <v>247</v>
      </c>
      <c r="I31" s="470" t="s">
        <v>247</v>
      </c>
      <c r="J31" s="63"/>
      <c r="K31" s="63">
        <f t="shared" si="1"/>
        <v>21</v>
      </c>
    </row>
    <row r="32" spans="1:11" ht="15.5" x14ac:dyDescent="0.3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10"/>
      <c r="J32" s="81"/>
      <c r="K32" s="10">
        <f t="shared" si="1"/>
        <v>22</v>
      </c>
    </row>
    <row r="33" spans="1:11" ht="15.5" x14ac:dyDescent="0.35">
      <c r="A33" s="10">
        <f t="shared" si="0"/>
        <v>23</v>
      </c>
      <c r="B33" s="11" t="s">
        <v>223</v>
      </c>
      <c r="C33" s="162">
        <f>C11*C$28</f>
        <v>-596356.83588000003</v>
      </c>
      <c r="D33" s="162">
        <f t="shared" ref="D33:H33" si="3">D11*D$28</f>
        <v>-679083.82287000003</v>
      </c>
      <c r="E33" s="162">
        <f t="shared" si="3"/>
        <v>-731138.38595999999</v>
      </c>
      <c r="F33" s="162">
        <f t="shared" si="3"/>
        <v>-605356.94513999997</v>
      </c>
      <c r="G33" s="162">
        <f t="shared" si="3"/>
        <v>-541350.08828999999</v>
      </c>
      <c r="H33" s="162">
        <f t="shared" si="3"/>
        <v>-624394.68833999999</v>
      </c>
      <c r="I33" s="162">
        <f>SUM('Stmt BG - Page 3'!C33:H33)+SUM('Stmt BG - Page 4'!C33:H33)</f>
        <v>-6900423.8007299993</v>
      </c>
      <c r="J33" s="26" t="s">
        <v>256</v>
      </c>
      <c r="K33" s="10">
        <f t="shared" si="1"/>
        <v>23</v>
      </c>
    </row>
    <row r="34" spans="1:11" ht="15.5" x14ac:dyDescent="0.35">
      <c r="A34" s="10">
        <f t="shared" si="0"/>
        <v>24</v>
      </c>
      <c r="B34" s="449"/>
      <c r="C34" s="465"/>
      <c r="D34" s="465"/>
      <c r="E34" s="465"/>
      <c r="F34" s="465"/>
      <c r="G34" s="465"/>
      <c r="H34" s="465"/>
      <c r="I34" s="465"/>
      <c r="J34" s="471"/>
      <c r="K34" s="10">
        <f t="shared" si="1"/>
        <v>24</v>
      </c>
    </row>
    <row r="35" spans="1:11" ht="15.5" x14ac:dyDescent="0.35">
      <c r="A35" s="10">
        <f t="shared" si="0"/>
        <v>25</v>
      </c>
      <c r="B35" s="11" t="s">
        <v>243</v>
      </c>
      <c r="C35" s="46">
        <f>C13*C$28</f>
        <v>-243530.25347999998</v>
      </c>
      <c r="D35" s="46">
        <f t="shared" ref="D35:H35" si="4">D13*D$28</f>
        <v>-251517.98540999999</v>
      </c>
      <c r="E35" s="46">
        <f t="shared" si="4"/>
        <v>-258908.07879</v>
      </c>
      <c r="F35" s="46">
        <f t="shared" si="4"/>
        <v>-235595.48658</v>
      </c>
      <c r="G35" s="46">
        <f t="shared" si="4"/>
        <v>-217304.63381999999</v>
      </c>
      <c r="H35" s="46">
        <f t="shared" si="4"/>
        <v>-210015.77067</v>
      </c>
      <c r="I35" s="46">
        <f>SUM('Stmt BG - Page 3'!C35:H35)+SUM('Stmt BG - Page 4'!C35:H35)</f>
        <v>-2670543.7248</v>
      </c>
      <c r="J35" s="26" t="s">
        <v>380</v>
      </c>
      <c r="K35" s="10">
        <f t="shared" si="1"/>
        <v>25</v>
      </c>
    </row>
    <row r="36" spans="1:11" ht="15.5" x14ac:dyDescent="0.35">
      <c r="A36" s="10">
        <f t="shared" si="0"/>
        <v>26</v>
      </c>
      <c r="B36" s="451"/>
      <c r="C36" s="460"/>
      <c r="D36" s="460"/>
      <c r="E36" s="460"/>
      <c r="F36" s="460"/>
      <c r="G36" s="460"/>
      <c r="H36" s="460"/>
      <c r="I36" s="46"/>
      <c r="J36" s="26"/>
      <c r="K36" s="10">
        <f t="shared" si="1"/>
        <v>26</v>
      </c>
    </row>
    <row r="37" spans="1:11" ht="15.5" x14ac:dyDescent="0.35">
      <c r="A37" s="10">
        <f t="shared" si="0"/>
        <v>27</v>
      </c>
      <c r="B37" s="17" t="s">
        <v>326</v>
      </c>
      <c r="C37" s="46">
        <f>C15*C$28</f>
        <v>-1054853.42922</v>
      </c>
      <c r="D37" s="46">
        <f t="shared" ref="D37:H37" si="5">D15*D$28</f>
        <v>-1075339.2637199999</v>
      </c>
      <c r="E37" s="46">
        <f t="shared" si="5"/>
        <v>-1125374.4509400001</v>
      </c>
      <c r="F37" s="46">
        <f t="shared" si="5"/>
        <v>-1033237.9787099999</v>
      </c>
      <c r="G37" s="46">
        <f t="shared" si="5"/>
        <v>-979170.06059999997</v>
      </c>
      <c r="H37" s="46">
        <f t="shared" si="5"/>
        <v>-919236.66362999985</v>
      </c>
      <c r="I37" s="46">
        <f>SUM('Stmt BG - Page 3'!C37:H37)+SUM('Stmt BG - Page 4'!C37:H37)</f>
        <v>-11630465.242769998</v>
      </c>
      <c r="J37" s="26" t="s">
        <v>381</v>
      </c>
      <c r="K37" s="10">
        <f t="shared" si="1"/>
        <v>27</v>
      </c>
    </row>
    <row r="38" spans="1:11" ht="15.5" x14ac:dyDescent="0.35">
      <c r="A38" s="10">
        <f t="shared" si="0"/>
        <v>28</v>
      </c>
      <c r="B38" s="11"/>
      <c r="C38" s="46"/>
      <c r="D38" s="46"/>
      <c r="E38" s="46"/>
      <c r="F38" s="46"/>
      <c r="G38" s="46"/>
      <c r="H38" s="46"/>
      <c r="I38" s="46"/>
      <c r="J38" s="26"/>
      <c r="K38" s="10">
        <f t="shared" si="1"/>
        <v>28</v>
      </c>
    </row>
    <row r="39" spans="1:11" ht="15.5" x14ac:dyDescent="0.35">
      <c r="A39" s="10">
        <f t="shared" si="0"/>
        <v>29</v>
      </c>
      <c r="B39" s="11" t="s">
        <v>177</v>
      </c>
      <c r="C39" s="46">
        <f>C17*C$28</f>
        <v>-13747.995359999999</v>
      </c>
      <c r="D39" s="46">
        <f t="shared" ref="D39:H39" si="6">D17*D$28</f>
        <v>-13663.30494</v>
      </c>
      <c r="E39" s="46">
        <f t="shared" si="6"/>
        <v>-14110.91301</v>
      </c>
      <c r="F39" s="46">
        <f t="shared" si="6"/>
        <v>-12297.39486</v>
      </c>
      <c r="G39" s="46">
        <f t="shared" si="6"/>
        <v>-11322.25086</v>
      </c>
      <c r="H39" s="46">
        <f t="shared" si="6"/>
        <v>-9154.9392000000007</v>
      </c>
      <c r="I39" s="46">
        <f>SUM('Stmt BG - Page 3'!C39:H39)+SUM('Stmt BG - Page 4'!C39:H39)</f>
        <v>-127740.74103</v>
      </c>
      <c r="J39" s="26" t="s">
        <v>382</v>
      </c>
      <c r="K39" s="10">
        <f t="shared" si="1"/>
        <v>29</v>
      </c>
    </row>
    <row r="40" spans="1:11" ht="15.5" x14ac:dyDescent="0.35">
      <c r="A40" s="10">
        <f t="shared" si="0"/>
        <v>30</v>
      </c>
      <c r="B40" s="11"/>
      <c r="C40" s="46"/>
      <c r="D40" s="46"/>
      <c r="E40" s="46"/>
      <c r="F40" s="46"/>
      <c r="G40" s="46"/>
      <c r="H40" s="46"/>
      <c r="I40" s="46"/>
      <c r="J40" s="26"/>
      <c r="K40" s="10">
        <f t="shared" si="1"/>
        <v>30</v>
      </c>
    </row>
    <row r="41" spans="1:11" ht="15.5" x14ac:dyDescent="0.35">
      <c r="A41" s="10">
        <f t="shared" si="0"/>
        <v>31</v>
      </c>
      <c r="B41" s="11" t="s">
        <v>176</v>
      </c>
      <c r="C41" s="46">
        <f>C19*C$28</f>
        <v>-25907.4162</v>
      </c>
      <c r="D41" s="46">
        <f t="shared" ref="D41:H41" si="7">D19*D$28</f>
        <v>-24426.450689999998</v>
      </c>
      <c r="E41" s="46">
        <f t="shared" si="7"/>
        <v>-26414.369309999998</v>
      </c>
      <c r="F41" s="46">
        <f t="shared" si="7"/>
        <v>-23513.660309999999</v>
      </c>
      <c r="G41" s="46">
        <f t="shared" si="7"/>
        <v>-22065.81624</v>
      </c>
      <c r="H41" s="46">
        <f t="shared" si="7"/>
        <v>-19113.519809999998</v>
      </c>
      <c r="I41" s="46">
        <f>SUM('Stmt BG - Page 3'!C41:H41)+SUM('Stmt BG - Page 4'!C41:H41)</f>
        <v>-260756.09843999997</v>
      </c>
      <c r="J41" s="26" t="s">
        <v>383</v>
      </c>
      <c r="K41" s="10">
        <f t="shared" si="1"/>
        <v>31</v>
      </c>
    </row>
    <row r="42" spans="1:11" ht="15.5" x14ac:dyDescent="0.35">
      <c r="A42" s="10">
        <f t="shared" si="0"/>
        <v>32</v>
      </c>
      <c r="B42" s="11"/>
      <c r="C42" s="46"/>
      <c r="D42" s="46"/>
      <c r="E42" s="46"/>
      <c r="F42" s="46"/>
      <c r="G42" s="46"/>
      <c r="H42" s="46"/>
      <c r="I42" s="46"/>
      <c r="J42" s="26"/>
      <c r="K42" s="10">
        <f t="shared" si="1"/>
        <v>32</v>
      </c>
    </row>
    <row r="43" spans="1:11" ht="15.5" x14ac:dyDescent="0.35">
      <c r="A43" s="10">
        <f t="shared" si="0"/>
        <v>33</v>
      </c>
      <c r="B43" s="11" t="s">
        <v>244</v>
      </c>
      <c r="C43" s="55">
        <f>C21*C$28</f>
        <v>-8889.68109</v>
      </c>
      <c r="D43" s="55">
        <f t="shared" ref="D43:H43" si="8">D21*D$28</f>
        <v>-8451.9388500000005</v>
      </c>
      <c r="E43" s="55">
        <f t="shared" si="8"/>
        <v>-8877.5336100000004</v>
      </c>
      <c r="F43" s="55">
        <f t="shared" si="8"/>
        <v>-8535.2553599999992</v>
      </c>
      <c r="G43" s="55">
        <f t="shared" si="8"/>
        <v>-8616.4230599999992</v>
      </c>
      <c r="H43" s="55">
        <f t="shared" si="8"/>
        <v>-8904.0511800000004</v>
      </c>
      <c r="I43" s="46">
        <f>SUM('Stmt BG - Page 3'!C43:H43)+SUM('Stmt BG - Page 4'!C43:H43)</f>
        <v>-104470.75971</v>
      </c>
      <c r="J43" s="26" t="s">
        <v>384</v>
      </c>
      <c r="K43" s="10">
        <f t="shared" si="1"/>
        <v>33</v>
      </c>
    </row>
    <row r="44" spans="1:11" ht="15.5" x14ac:dyDescent="0.35">
      <c r="A44" s="10">
        <f t="shared" si="0"/>
        <v>34</v>
      </c>
      <c r="B44" s="11"/>
      <c r="C44" s="553"/>
      <c r="D44" s="553"/>
      <c r="E44" s="553"/>
      <c r="F44" s="553"/>
      <c r="G44" s="553"/>
      <c r="H44" s="553"/>
      <c r="I44" s="553"/>
      <c r="J44" s="26"/>
      <c r="K44" s="10">
        <f t="shared" si="1"/>
        <v>34</v>
      </c>
    </row>
    <row r="45" spans="1:11" ht="15.5" x14ac:dyDescent="0.35">
      <c r="A45" s="10">
        <f t="shared" si="0"/>
        <v>35</v>
      </c>
      <c r="B45" s="449" t="s">
        <v>248</v>
      </c>
      <c r="C45" s="597">
        <f>SUM(C33:C43)</f>
        <v>-1943285.6112300002</v>
      </c>
      <c r="D45" s="597">
        <f t="shared" ref="D45:I45" si="9">SUM(D33:D43)</f>
        <v>-2052482.76648</v>
      </c>
      <c r="E45" s="597">
        <f t="shared" si="9"/>
        <v>-2164823.7316199997</v>
      </c>
      <c r="F45" s="597">
        <f t="shared" si="9"/>
        <v>-1918536.7209600001</v>
      </c>
      <c r="G45" s="597">
        <f t="shared" si="9"/>
        <v>-1779829.27287</v>
      </c>
      <c r="H45" s="597">
        <f t="shared" si="9"/>
        <v>-1790819.6328299996</v>
      </c>
      <c r="I45" s="597">
        <f t="shared" si="9"/>
        <v>-21694400.367479995</v>
      </c>
      <c r="J45" s="472" t="s">
        <v>385</v>
      </c>
      <c r="K45" s="10">
        <f t="shared" si="1"/>
        <v>35</v>
      </c>
    </row>
    <row r="46" spans="1:11" ht="16" thickBot="1" x14ac:dyDescent="0.4">
      <c r="A46" s="63"/>
      <c r="B46" s="63"/>
      <c r="C46" s="980"/>
      <c r="D46" s="64"/>
      <c r="E46" s="64"/>
      <c r="F46" s="64"/>
      <c r="G46" s="64"/>
      <c r="H46" s="64"/>
      <c r="I46" s="64"/>
      <c r="J46" s="64"/>
      <c r="K46" s="63"/>
    </row>
    <row r="47" spans="1:11" ht="15.5" x14ac:dyDescent="0.35">
      <c r="A47" s="37"/>
      <c r="B47" s="456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5" x14ac:dyDescent="0.35">
      <c r="A48" s="75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5.5" x14ac:dyDescent="0.35">
      <c r="A49" s="981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5.5" x14ac:dyDescent="0.35">
      <c r="A50" s="981"/>
      <c r="B50" s="161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5.5" x14ac:dyDescent="0.35">
      <c r="A51" s="37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5" x14ac:dyDescent="0.3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5" x14ac:dyDescent="0.3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5" x14ac:dyDescent="0.3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5" x14ac:dyDescent="0.3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5" x14ac:dyDescent="0.3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5" x14ac:dyDescent="0.3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5" x14ac:dyDescent="0.3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5" x14ac:dyDescent="0.3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5" x14ac:dyDescent="0.3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5" x14ac:dyDescent="0.3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5" x14ac:dyDescent="0.3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5" x14ac:dyDescent="0.3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5" x14ac:dyDescent="0.3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5" x14ac:dyDescent="0.3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5" x14ac:dyDescent="0.3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5" x14ac:dyDescent="0.3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5" x14ac:dyDescent="0.3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5" x14ac:dyDescent="0.3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5" x14ac:dyDescent="0.3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5" x14ac:dyDescent="0.3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5" x14ac:dyDescent="0.3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5" x14ac:dyDescent="0.3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5" x14ac:dyDescent="0.3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5" x14ac:dyDescent="0.3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5" x14ac:dyDescent="0.3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5" x14ac:dyDescent="0.3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5" x14ac:dyDescent="0.3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5" x14ac:dyDescent="0.3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5" x14ac:dyDescent="0.3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5" x14ac:dyDescent="0.3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5" x14ac:dyDescent="0.3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5" x14ac:dyDescent="0.3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5" x14ac:dyDescent="0.3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5">
      <c r="A112" s="981"/>
    </row>
    <row r="113" spans="1:1" x14ac:dyDescent="0.25">
      <c r="A113" s="981"/>
    </row>
    <row r="114" spans="1:1" x14ac:dyDescent="0.25">
      <c r="A114" s="981"/>
    </row>
    <row r="115" spans="1:1" x14ac:dyDescent="0.25">
      <c r="A115" s="981"/>
    </row>
    <row r="116" spans="1:1" x14ac:dyDescent="0.25">
      <c r="A116" s="981"/>
    </row>
    <row r="117" spans="1:1" x14ac:dyDescent="0.25">
      <c r="A117" s="981"/>
    </row>
    <row r="118" spans="1:1" x14ac:dyDescent="0.25">
      <c r="A118" s="981"/>
    </row>
    <row r="119" spans="1:1" x14ac:dyDescent="0.25">
      <c r="A119" s="981"/>
    </row>
    <row r="120" spans="1:1" x14ac:dyDescent="0.25">
      <c r="A120" s="981"/>
    </row>
    <row r="121" spans="1:1" x14ac:dyDescent="0.25">
      <c r="A121" s="981"/>
    </row>
    <row r="122" spans="1:1" x14ac:dyDescent="0.25">
      <c r="A122" s="981"/>
    </row>
  </sheetData>
  <printOptions horizontalCentered="1"/>
  <pageMargins left="0.25" right="0.25" top="0.5" bottom="0.5" header="0.25" footer="0.25"/>
  <pageSetup scale="65" orientation="landscape" r:id="rId1"/>
  <headerFooter alignWithMargins="0">
    <oddFooter>&amp;L&amp;"Times New Roman,Regular"&amp;14&amp;F&amp;C&amp;"Times New Roman,Regular"&amp;14Page 4 of 4&amp;R&amp;"Times New Roman,Regular"&amp;14&amp;A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01F8CF909BF4BB0B4E8D232C71D43" ma:contentTypeVersion="8" ma:contentTypeDescription="Create a new document." ma:contentTypeScope="" ma:versionID="3668939d278788d1be5fd463f4d6f4b4">
  <xsd:schema xmlns:xsd="http://www.w3.org/2001/XMLSchema" xmlns:xs="http://www.w3.org/2001/XMLSchema" xmlns:p="http://schemas.microsoft.com/office/2006/metadata/properties" xmlns:ns2="c0dbeaa4-cb46-4866-b30d-3e09d5b56e2f" targetNamespace="http://schemas.microsoft.com/office/2006/metadata/properties" ma:root="true" ma:fieldsID="3a85000d7fbd6efbb6b6ff419e32dcea" ns2:_="">
    <xsd:import namespace="c0dbeaa4-cb46-4866-b30d-3e09d5b56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beaa4-cb46-4866-b30d-3e09d5b56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D883E1-D7F1-4B52-B5CA-7803708D19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297B1-FE97-4212-A05A-D269667DDA0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c0dbeaa4-cb46-4866-b30d-3e09d5b56e2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8D4836-10D1-4835-ACC0-6FA655CE3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dbeaa4-cb46-4866-b30d-3e09d5b56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13</vt:i4>
      </vt:variant>
    </vt:vector>
  </HeadingPairs>
  <TitlesOfParts>
    <vt:vector size="43" baseType="lpstr">
      <vt:lpstr>Stmnt BD - Recorded KWH</vt:lpstr>
      <vt:lpstr>Stmnt BD - Forecast KWH</vt:lpstr>
      <vt:lpstr>Stmnt BD-Forecast MWH@Transm.</vt:lpstr>
      <vt:lpstr>Stmt BD-Forecast Pump Storage</vt:lpstr>
      <vt:lpstr>Stmt BD-Pump Load True Up Adj</vt:lpstr>
      <vt:lpstr>Stmt BG - Page 1</vt:lpstr>
      <vt:lpstr>Stmt BG - Page 2</vt:lpstr>
      <vt:lpstr>Stmt BG - Page 3</vt:lpstr>
      <vt:lpstr>Stmt BG - Page 4</vt:lpstr>
      <vt:lpstr>Stmt BH - Page 1</vt:lpstr>
      <vt:lpstr>Stmt BH - Page 2</vt:lpstr>
      <vt:lpstr>Stmt BH - Page 3</vt:lpstr>
      <vt:lpstr>Stmnt BK1 - TRBAA</vt:lpstr>
      <vt:lpstr>Stmnt BK2 - TRBAA</vt:lpstr>
      <vt:lpstr>Stmnt BL (Retail) - TRBAA</vt:lpstr>
      <vt:lpstr>Stmnt BL - CAISO WHOLESALE</vt:lpstr>
      <vt:lpstr>WP 1.1 Recorded Sales</vt:lpstr>
      <vt:lpstr>WP 1.2 Forecast Sales</vt:lpstr>
      <vt:lpstr>WP 2 Allocation of TRBAA</vt:lpstr>
      <vt:lpstr>WP 3 Standby Revenues</vt:lpstr>
      <vt:lpstr>WP 4 Monthly TRBAA </vt:lpstr>
      <vt:lpstr>WP 4 Footnotes</vt:lpstr>
      <vt:lpstr>WP 5 CAISO Charges</vt:lpstr>
      <vt:lpstr>WP 6 HV LV Alloc Summary</vt:lpstr>
      <vt:lpstr>WP 7 Wheeling Revenues</vt:lpstr>
      <vt:lpstr>WP 8 CT4575</vt:lpstr>
      <vt:lpstr>WP 9 ETC Cost Diffs</vt:lpstr>
      <vt:lpstr>WP 10 ETC Costs</vt:lpstr>
      <vt:lpstr>WP 11 Other PTO Forecast</vt:lpstr>
      <vt:lpstr>WP 12 PTO</vt:lpstr>
      <vt:lpstr>'Stmt BG - Page 2'!Print_Area</vt:lpstr>
      <vt:lpstr>'Stmt BH - Page 1'!Print_Area</vt:lpstr>
      <vt:lpstr>'Stmt BH - Page 2'!Print_Area</vt:lpstr>
      <vt:lpstr>'Stmt BH - Page 3'!Print_Area</vt:lpstr>
      <vt:lpstr>'WP 10 ETC Costs'!Print_Area</vt:lpstr>
      <vt:lpstr>'WP 12 PTO'!Print_Area</vt:lpstr>
      <vt:lpstr>'WP 3 Standby Revenues'!Print_Area</vt:lpstr>
      <vt:lpstr>'WP 4 Monthly TRBAA '!Print_Area</vt:lpstr>
      <vt:lpstr>'WP 5 CAISO Charges'!Print_Area</vt:lpstr>
      <vt:lpstr>'WP 6 HV LV Alloc Summary'!Print_Area</vt:lpstr>
      <vt:lpstr>'WP 10 ETC Costs'!Print_Titles</vt:lpstr>
      <vt:lpstr>'WP 4 Monthly TRBAA '!Print_Titles</vt:lpstr>
      <vt:lpstr>'WP 5 CAISO Charges'!Print_Titles</vt:lpstr>
    </vt:vector>
  </TitlesOfParts>
  <Company>Southern California 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Configuration</dc:creator>
  <cp:lastModifiedBy>Penn, Christopher R</cp:lastModifiedBy>
  <cp:lastPrinted>2020-11-02T17:57:17Z</cp:lastPrinted>
  <dcterms:created xsi:type="dcterms:W3CDTF">2001-12-04T15:42:58Z</dcterms:created>
  <dcterms:modified xsi:type="dcterms:W3CDTF">2020-11-02T17:57:59Z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 TRBAA Filing.xlsx</vt:lpwstr>
  </property>
  <property fmtid="{D5CDD505-2E9C-101B-9397-08002B2CF9AE}" pid="3" name="LINKTEK-ID-FILE">
    <vt:lpwstr>0198-58FE-34DB-7A1C</vt:lpwstr>
  </property>
  <property fmtid="{D5CDD505-2E9C-101B-9397-08002B2CF9AE}" pid="4" name="LINKTEK-ID-LINK=1">
    <vt:lpwstr>0199-2CFC-E4E6-C374|/2018/TO5-Cycle 1 Formula Rate Filing/B Statements/BD/TO5 C1 Statement BD.xlsx</vt:lpwstr>
  </property>
  <property fmtid="{D5CDD505-2E9C-101B-9397-08002B2CF9AE}" pid="5" name="LINKTEK-ID-LINK=2">
    <vt:lpwstr>011A-09EA-FF42-DCE9|2019 TRBAA Workpapers.xlsx</vt:lpwstr>
  </property>
  <property fmtid="{D5CDD505-2E9C-101B-9397-08002B2CF9AE}" pid="6" name="ContentTypeId">
    <vt:lpwstr>0x0101004FB01F8CF909BF4BB0B4E8D232C71D43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